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rinastefanescu/Documents/ESS/GEANT4/DREAM_ENDCAP/"/>
    </mc:Choice>
  </mc:AlternateContent>
  <xr:revisionPtr revIDLastSave="0" documentId="13_ncr:1_{BA4FF871-2ED9-6D4A-9B14-0B160290E3DD}" xr6:coauthVersionLast="36" xr6:coauthVersionMax="36" xr10:uidLastSave="{00000000-0000-0000-0000-000000000000}"/>
  <bookViews>
    <workbookView xWindow="17880" yWindow="660" windowWidth="20940" windowHeight="20580" activeTab="1" xr2:uid="{00000000-000D-0000-FFFF-FFFF01000000}"/>
  </bookViews>
  <sheets>
    <sheet name="Main" sheetId="1" r:id="rId1"/>
    <sheet name="Sumo3" sheetId="5" r:id="rId2"/>
    <sheet name="Sumo4" sheetId="6" r:id="rId3"/>
    <sheet name="Sumo5" sheetId="7" r:id="rId4"/>
    <sheet name="Sumo6" sheetId="8" r:id="rId5"/>
    <sheet name="All" sheetId="9" r:id="rId6"/>
    <sheet name="angles" sheetId="10" r:id="rId7"/>
    <sheet name="draw" sheetId="15" r:id="rId8"/>
    <sheet name="draw (2)" sheetId="16" r:id="rId9"/>
    <sheet name="draw (3)" sheetId="17" r:id="rId10"/>
    <sheet name="draw (4)" sheetId="18" r:id="rId11"/>
  </sheets>
  <calcPr calcId="181029"/>
</workbook>
</file>

<file path=xl/calcChain.xml><?xml version="1.0" encoding="utf-8"?>
<calcChain xmlns="http://schemas.openxmlformats.org/spreadsheetml/2006/main">
  <c r="F23" i="17" l="1"/>
  <c r="F24" i="17"/>
  <c r="F25" i="17"/>
  <c r="F26" i="17"/>
  <c r="F27" i="17"/>
  <c r="F28" i="17"/>
  <c r="F29" i="17"/>
  <c r="F30" i="17"/>
  <c r="H23" i="17"/>
  <c r="H24" i="17"/>
  <c r="H25" i="17"/>
  <c r="H26" i="17"/>
  <c r="H27" i="17"/>
  <c r="H28" i="17"/>
  <c r="H29" i="17"/>
  <c r="H30" i="17"/>
  <c r="J23" i="17"/>
  <c r="J24" i="17"/>
  <c r="J25" i="17"/>
  <c r="J26" i="17"/>
  <c r="J27" i="17"/>
  <c r="J28" i="17"/>
  <c r="J29" i="17"/>
  <c r="J30" i="17"/>
  <c r="J63" i="18"/>
  <c r="I63" i="18"/>
  <c r="H63" i="18"/>
  <c r="J62" i="18"/>
  <c r="I62" i="18"/>
  <c r="H62" i="18"/>
  <c r="J61" i="18"/>
  <c r="I61" i="18"/>
  <c r="H61" i="18"/>
  <c r="J60" i="18"/>
  <c r="I60" i="18"/>
  <c r="H60" i="18"/>
  <c r="J59" i="18"/>
  <c r="I59" i="18"/>
  <c r="H59" i="18"/>
  <c r="J58" i="18"/>
  <c r="I58" i="18"/>
  <c r="H58" i="18"/>
  <c r="J57" i="18"/>
  <c r="I57" i="18"/>
  <c r="H57" i="18"/>
  <c r="J56" i="18"/>
  <c r="I56" i="18"/>
  <c r="H56" i="18"/>
  <c r="J52" i="18"/>
  <c r="I52" i="18"/>
  <c r="H52" i="18"/>
  <c r="J51" i="18"/>
  <c r="I51" i="18"/>
  <c r="H51" i="18"/>
  <c r="J50" i="18"/>
  <c r="I50" i="18"/>
  <c r="H50" i="18"/>
  <c r="J49" i="18"/>
  <c r="I49" i="18"/>
  <c r="H49" i="18"/>
  <c r="J48" i="18"/>
  <c r="I48" i="18"/>
  <c r="H48" i="18"/>
  <c r="J47" i="18"/>
  <c r="I47" i="18"/>
  <c r="H47" i="18"/>
  <c r="J46" i="18"/>
  <c r="I46" i="18"/>
  <c r="H46" i="18"/>
  <c r="J45" i="18"/>
  <c r="I45" i="18"/>
  <c r="H45" i="18"/>
  <c r="J41" i="18"/>
  <c r="I41" i="18"/>
  <c r="H41" i="18"/>
  <c r="J40" i="18"/>
  <c r="I40" i="18"/>
  <c r="H40" i="18"/>
  <c r="J39" i="18"/>
  <c r="I39" i="18"/>
  <c r="H39" i="18"/>
  <c r="J38" i="18"/>
  <c r="I38" i="18"/>
  <c r="H38" i="18"/>
  <c r="J37" i="18"/>
  <c r="I37" i="18"/>
  <c r="H37" i="18"/>
  <c r="J36" i="18"/>
  <c r="I36" i="18"/>
  <c r="H36" i="18"/>
  <c r="J35" i="18"/>
  <c r="I35" i="18"/>
  <c r="H35" i="18"/>
  <c r="J34" i="18"/>
  <c r="I34" i="18"/>
  <c r="H34" i="18"/>
  <c r="H24" i="18"/>
  <c r="I24" i="18"/>
  <c r="J24" i="18"/>
  <c r="H25" i="18"/>
  <c r="I25" i="18"/>
  <c r="J25" i="18"/>
  <c r="H26" i="18"/>
  <c r="I26" i="18"/>
  <c r="J26" i="18"/>
  <c r="H27" i="18"/>
  <c r="I27" i="18"/>
  <c r="J27" i="18"/>
  <c r="H28" i="18"/>
  <c r="I28" i="18"/>
  <c r="J28" i="18"/>
  <c r="H29" i="18"/>
  <c r="I29" i="18"/>
  <c r="J29" i="18"/>
  <c r="H30" i="18"/>
  <c r="I30" i="18"/>
  <c r="J30" i="18"/>
  <c r="J23" i="18"/>
  <c r="H23" i="18"/>
  <c r="G63" i="18"/>
  <c r="F63" i="18"/>
  <c r="E63" i="18"/>
  <c r="G62" i="18"/>
  <c r="F62" i="18"/>
  <c r="E62" i="18"/>
  <c r="G61" i="18"/>
  <c r="F61" i="18"/>
  <c r="E61" i="18"/>
  <c r="G60" i="18"/>
  <c r="F60" i="18"/>
  <c r="E60" i="18"/>
  <c r="G59" i="18"/>
  <c r="F59" i="18"/>
  <c r="E59" i="18"/>
  <c r="G58" i="18"/>
  <c r="F58" i="18"/>
  <c r="E58" i="18"/>
  <c r="G57" i="18"/>
  <c r="F57" i="18"/>
  <c r="E57" i="18"/>
  <c r="G56" i="18"/>
  <c r="F56" i="18"/>
  <c r="E56" i="18"/>
  <c r="G52" i="18"/>
  <c r="F52" i="18"/>
  <c r="E52" i="18"/>
  <c r="G51" i="18"/>
  <c r="F51" i="18"/>
  <c r="E51" i="18"/>
  <c r="G50" i="18"/>
  <c r="F50" i="18"/>
  <c r="E50" i="18"/>
  <c r="G49" i="18"/>
  <c r="F49" i="18"/>
  <c r="E49" i="18"/>
  <c r="G48" i="18"/>
  <c r="F48" i="18"/>
  <c r="E48" i="18"/>
  <c r="G47" i="18"/>
  <c r="F47" i="18"/>
  <c r="E47" i="18"/>
  <c r="G46" i="18"/>
  <c r="F46" i="18"/>
  <c r="E46" i="18"/>
  <c r="G45" i="18"/>
  <c r="F45" i="18"/>
  <c r="E45" i="18"/>
  <c r="G41" i="18"/>
  <c r="F41" i="18"/>
  <c r="E41" i="18"/>
  <c r="G40" i="18"/>
  <c r="F40" i="18"/>
  <c r="E40" i="18"/>
  <c r="G39" i="18"/>
  <c r="F39" i="18"/>
  <c r="E39" i="18"/>
  <c r="G38" i="18"/>
  <c r="F38" i="18"/>
  <c r="E38" i="18"/>
  <c r="G37" i="18"/>
  <c r="F37" i="18"/>
  <c r="E37" i="18"/>
  <c r="G36" i="18"/>
  <c r="F36" i="18"/>
  <c r="E36" i="18"/>
  <c r="G35" i="18"/>
  <c r="F35" i="18"/>
  <c r="E35" i="18"/>
  <c r="G34" i="18"/>
  <c r="F34" i="18"/>
  <c r="E34" i="18"/>
  <c r="F24" i="18"/>
  <c r="F25" i="18"/>
  <c r="F26" i="18"/>
  <c r="F27" i="18"/>
  <c r="F28" i="18"/>
  <c r="F29" i="18"/>
  <c r="F30" i="18"/>
  <c r="F23" i="18"/>
  <c r="E24" i="18"/>
  <c r="E25" i="18"/>
  <c r="E26" i="18"/>
  <c r="E27" i="18"/>
  <c r="E28" i="18"/>
  <c r="E29" i="18"/>
  <c r="E30" i="18"/>
  <c r="E23" i="18"/>
  <c r="H2" i="9"/>
  <c r="I2" i="9"/>
  <c r="J2" i="9"/>
  <c r="G2" i="9"/>
  <c r="F66" i="17"/>
  <c r="E66" i="17"/>
  <c r="F65" i="17"/>
  <c r="E65" i="17"/>
  <c r="F64" i="17"/>
  <c r="E64" i="17"/>
  <c r="J64" i="17" s="1"/>
  <c r="F63" i="17"/>
  <c r="E63" i="17"/>
  <c r="H63" i="17" s="1"/>
  <c r="F62" i="17"/>
  <c r="E62" i="17"/>
  <c r="H62" i="17" s="1"/>
  <c r="F61" i="17"/>
  <c r="E61" i="17"/>
  <c r="H61" i="17" s="1"/>
  <c r="F60" i="17"/>
  <c r="E60" i="17"/>
  <c r="J60" i="17" s="1"/>
  <c r="F59" i="17"/>
  <c r="E59" i="17"/>
  <c r="H59" i="17" s="1"/>
  <c r="F54" i="17"/>
  <c r="E54" i="17"/>
  <c r="F53" i="17"/>
  <c r="E53" i="17"/>
  <c r="F52" i="17"/>
  <c r="E52" i="17"/>
  <c r="H52" i="17" s="1"/>
  <c r="F51" i="17"/>
  <c r="E51" i="17"/>
  <c r="F50" i="17"/>
  <c r="E50" i="17"/>
  <c r="F49" i="17"/>
  <c r="E49" i="17"/>
  <c r="J49" i="17" s="1"/>
  <c r="F48" i="17"/>
  <c r="E48" i="17"/>
  <c r="H48" i="17" s="1"/>
  <c r="F47" i="17"/>
  <c r="E47" i="17"/>
  <c r="H47" i="17" s="1"/>
  <c r="F42" i="17"/>
  <c r="E42" i="17"/>
  <c r="F41" i="17"/>
  <c r="E41" i="17"/>
  <c r="J41" i="17" s="1"/>
  <c r="F40" i="17"/>
  <c r="E40" i="17"/>
  <c r="F39" i="17"/>
  <c r="E39" i="17"/>
  <c r="J39" i="17" s="1"/>
  <c r="F38" i="17"/>
  <c r="E38" i="17"/>
  <c r="J38" i="17" s="1"/>
  <c r="F37" i="17"/>
  <c r="E37" i="17"/>
  <c r="J37" i="17" s="1"/>
  <c r="F36" i="17"/>
  <c r="E36" i="17"/>
  <c r="F35" i="17"/>
  <c r="E35" i="17"/>
  <c r="J35" i="17" s="1"/>
  <c r="E24" i="17"/>
  <c r="E25" i="17"/>
  <c r="E26" i="17"/>
  <c r="E27" i="17"/>
  <c r="E28" i="17"/>
  <c r="E29" i="17"/>
  <c r="E30" i="17"/>
  <c r="E23" i="17"/>
  <c r="J65" i="17"/>
  <c r="H66" i="17"/>
  <c r="H53" i="17"/>
  <c r="H54" i="17"/>
  <c r="J40" i="17"/>
  <c r="J42" i="17"/>
  <c r="I23" i="18"/>
  <c r="G24" i="18"/>
  <c r="G25" i="18"/>
  <c r="G26" i="18"/>
  <c r="G27" i="18"/>
  <c r="G28" i="18"/>
  <c r="G29" i="18"/>
  <c r="G30" i="18"/>
  <c r="G23" i="18"/>
  <c r="J61" i="17"/>
  <c r="J50" i="17"/>
  <c r="J51" i="17"/>
  <c r="J53" i="17"/>
  <c r="J54" i="17"/>
  <c r="J36" i="17"/>
  <c r="H65" i="17"/>
  <c r="H64" i="17"/>
  <c r="H51" i="17"/>
  <c r="H50" i="17"/>
  <c r="H49" i="17"/>
  <c r="J52" i="17" l="1"/>
  <c r="J59" i="17"/>
  <c r="H60" i="17"/>
  <c r="J47" i="17"/>
  <c r="J48" i="17"/>
  <c r="H39" i="17"/>
  <c r="J63" i="17"/>
  <c r="J62" i="17"/>
  <c r="J66" i="17"/>
  <c r="H36" i="17"/>
  <c r="H40" i="17"/>
  <c r="H35" i="17"/>
  <c r="H37" i="17"/>
  <c r="H41" i="17"/>
  <c r="H38" i="17"/>
  <c r="H42" i="17"/>
  <c r="G62" i="16"/>
  <c r="F62" i="16"/>
  <c r="E61" i="16"/>
  <c r="G60" i="16"/>
  <c r="F60" i="16"/>
  <c r="E60" i="16"/>
  <c r="G58" i="16"/>
  <c r="F58" i="16"/>
  <c r="I58" i="16" s="1"/>
  <c r="E57" i="16"/>
  <c r="J56" i="16"/>
  <c r="G56" i="16"/>
  <c r="F56" i="16"/>
  <c r="E56" i="16"/>
  <c r="G51" i="16"/>
  <c r="F51" i="16"/>
  <c r="E50" i="16"/>
  <c r="G49" i="16"/>
  <c r="F49" i="16"/>
  <c r="I49" i="16" s="1"/>
  <c r="E49" i="16"/>
  <c r="G47" i="16"/>
  <c r="F47" i="16"/>
  <c r="I47" i="16" s="1"/>
  <c r="E46" i="16"/>
  <c r="J45" i="16"/>
  <c r="G45" i="16"/>
  <c r="F45" i="16"/>
  <c r="E45" i="16"/>
  <c r="H45" i="16" s="1"/>
  <c r="G40" i="16"/>
  <c r="F40" i="16"/>
  <c r="I40" i="16" s="1"/>
  <c r="E39" i="16"/>
  <c r="G38" i="16"/>
  <c r="F38" i="16"/>
  <c r="E38" i="16"/>
  <c r="G36" i="16"/>
  <c r="F36" i="16"/>
  <c r="E35" i="16"/>
  <c r="J34" i="16"/>
  <c r="G34" i="16"/>
  <c r="F34" i="16"/>
  <c r="I34" i="16" s="1"/>
  <c r="E34" i="16"/>
  <c r="G29" i="16"/>
  <c r="F29" i="16"/>
  <c r="E28" i="16"/>
  <c r="G27" i="16"/>
  <c r="F27" i="16"/>
  <c r="E27" i="16"/>
  <c r="G25" i="16"/>
  <c r="F25" i="16"/>
  <c r="E24" i="16"/>
  <c r="J23" i="16"/>
  <c r="G23" i="16"/>
  <c r="F23" i="16"/>
  <c r="E23" i="16"/>
  <c r="J56" i="15"/>
  <c r="J45" i="15"/>
  <c r="J34" i="15"/>
  <c r="J23" i="15"/>
  <c r="I62" i="15"/>
  <c r="I60" i="15"/>
  <c r="I58" i="15"/>
  <c r="I56" i="15"/>
  <c r="I51" i="15"/>
  <c r="I49" i="15"/>
  <c r="I47" i="15"/>
  <c r="I45" i="15"/>
  <c r="I40" i="15"/>
  <c r="I38" i="15"/>
  <c r="I36" i="15"/>
  <c r="I34" i="15"/>
  <c r="H56" i="15"/>
  <c r="H45" i="15"/>
  <c r="H34" i="15"/>
  <c r="F62" i="15"/>
  <c r="F60" i="15"/>
  <c r="F58" i="15"/>
  <c r="F56" i="15"/>
  <c r="F51" i="15"/>
  <c r="F49" i="15"/>
  <c r="F47" i="15"/>
  <c r="F45" i="15"/>
  <c r="F40" i="15"/>
  <c r="F38" i="15"/>
  <c r="F36" i="15"/>
  <c r="F34" i="15"/>
  <c r="F29" i="15"/>
  <c r="F27" i="15"/>
  <c r="F25" i="15"/>
  <c r="F23" i="15"/>
  <c r="G62" i="15"/>
  <c r="E61" i="15"/>
  <c r="G60" i="15"/>
  <c r="E60" i="15"/>
  <c r="G58" i="15"/>
  <c r="E57" i="15"/>
  <c r="G56" i="15"/>
  <c r="E56" i="15"/>
  <c r="G51" i="15"/>
  <c r="E50" i="15"/>
  <c r="G49" i="15"/>
  <c r="E49" i="15"/>
  <c r="G47" i="15"/>
  <c r="E46" i="15"/>
  <c r="G45" i="15"/>
  <c r="E45" i="15"/>
  <c r="G29" i="15"/>
  <c r="G27" i="15"/>
  <c r="G40" i="15"/>
  <c r="G36" i="15"/>
  <c r="G38" i="15"/>
  <c r="G34" i="15"/>
  <c r="G23" i="15"/>
  <c r="G25" i="15"/>
  <c r="E28" i="15"/>
  <c r="E27" i="15"/>
  <c r="E39" i="15"/>
  <c r="E38" i="15"/>
  <c r="E35" i="15"/>
  <c r="E24" i="15"/>
  <c r="E34" i="15"/>
  <c r="E23" i="15"/>
  <c r="B20" i="9"/>
  <c r="B21" i="9"/>
  <c r="I56" i="16" l="1"/>
  <c r="H56" i="16"/>
  <c r="I45" i="16"/>
  <c r="I60" i="16"/>
  <c r="I62" i="16"/>
  <c r="H34" i="16"/>
  <c r="I51" i="16"/>
  <c r="I36" i="16"/>
  <c r="I38" i="16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3" i="10"/>
  <c r="J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3" i="10"/>
  <c r="C3" i="10"/>
  <c r="D3" i="10"/>
  <c r="E3" i="10"/>
  <c r="F3" i="10"/>
  <c r="G3" i="10"/>
  <c r="H3" i="10"/>
  <c r="L3" i="10"/>
  <c r="B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5" i="10"/>
  <c r="E27" i="9"/>
  <c r="E26" i="9"/>
  <c r="D27" i="9"/>
  <c r="D26" i="9"/>
  <c r="C27" i="9"/>
  <c r="C26" i="9"/>
  <c r="B27" i="9"/>
  <c r="C20" i="9" l="1"/>
  <c r="D20" i="9"/>
  <c r="E20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C19" i="9"/>
  <c r="D19" i="9"/>
  <c r="E19" i="9"/>
  <c r="B19" i="9"/>
  <c r="E29" i="9"/>
  <c r="D29" i="9"/>
  <c r="C29" i="9"/>
  <c r="B29" i="9"/>
  <c r="C10" i="9" l="1"/>
  <c r="D10" i="9"/>
  <c r="E10" i="9"/>
  <c r="B10" i="9"/>
  <c r="L30" i="8" l="1"/>
  <c r="M30" i="8" s="1"/>
  <c r="M29" i="8"/>
  <c r="L29" i="8"/>
  <c r="L28" i="8"/>
  <c r="M28" i="8" s="1"/>
  <c r="L27" i="8"/>
  <c r="M27" i="8" s="1"/>
  <c r="L26" i="8"/>
  <c r="L25" i="8"/>
  <c r="L24" i="8"/>
  <c r="L30" i="7"/>
  <c r="M30" i="7" s="1"/>
  <c r="L29" i="7"/>
  <c r="M29" i="7" s="1"/>
  <c r="L28" i="7"/>
  <c r="M28" i="7" s="1"/>
  <c r="L27" i="7"/>
  <c r="M27" i="7" s="1"/>
  <c r="L26" i="7"/>
  <c r="L25" i="7"/>
  <c r="L24" i="7"/>
  <c r="L30" i="6" l="1"/>
  <c r="L29" i="6"/>
  <c r="L28" i="6"/>
  <c r="L27" i="6"/>
  <c r="L26" i="6"/>
  <c r="L25" i="6"/>
  <c r="L24" i="6"/>
  <c r="L30" i="5"/>
  <c r="M30" i="5" s="1"/>
  <c r="L29" i="5"/>
  <c r="M29" i="5" s="1"/>
  <c r="L28" i="5"/>
  <c r="M28" i="5" s="1"/>
  <c r="L27" i="5"/>
  <c r="M27" i="5" s="1"/>
  <c r="L26" i="5"/>
  <c r="L25" i="5"/>
  <c r="L24" i="5"/>
  <c r="G39" i="8" l="1"/>
  <c r="G40" i="8" s="1"/>
  <c r="G39" i="7"/>
  <c r="G40" i="7" s="1"/>
  <c r="G39" i="6"/>
  <c r="G39" i="5"/>
  <c r="G40" i="5" s="1"/>
  <c r="G40" i="6"/>
  <c r="H10" i="8" l="1"/>
  <c r="H9" i="8"/>
  <c r="H9" i="7"/>
  <c r="I10" i="8"/>
  <c r="G10" i="8"/>
  <c r="I9" i="8"/>
  <c r="G9" i="8"/>
  <c r="I8" i="8"/>
  <c r="H8" i="8"/>
  <c r="G8" i="8"/>
  <c r="I7" i="8"/>
  <c r="H7" i="8"/>
  <c r="G7" i="8"/>
  <c r="I6" i="8" l="1"/>
  <c r="H6" i="8"/>
  <c r="G6" i="8"/>
  <c r="I5" i="8"/>
  <c r="H5" i="8"/>
  <c r="G5" i="8"/>
  <c r="I4" i="8"/>
  <c r="H4" i="8"/>
  <c r="G4" i="8"/>
  <c r="I3" i="8"/>
  <c r="H3" i="8" l="1"/>
  <c r="G3" i="8"/>
  <c r="N14" i="8"/>
  <c r="M14" i="8"/>
  <c r="L14" i="8"/>
  <c r="L17" i="8" s="1"/>
  <c r="N5" i="8"/>
  <c r="M5" i="8"/>
  <c r="L5" i="8"/>
  <c r="N4" i="8"/>
  <c r="M4" i="8"/>
  <c r="L4" i="8"/>
  <c r="N3" i="8"/>
  <c r="M3" i="8"/>
  <c r="L3" i="8"/>
  <c r="N17" i="8" l="1"/>
  <c r="M17" i="8"/>
  <c r="I2" i="8"/>
  <c r="G2" i="8"/>
  <c r="H2" i="8"/>
  <c r="I19" i="8"/>
  <c r="N6" i="8"/>
  <c r="H49" i="8"/>
  <c r="M6" i="8"/>
  <c r="G48" i="8"/>
  <c r="L6" i="8"/>
  <c r="G16" i="8"/>
  <c r="H17" i="8"/>
  <c r="I18" i="8"/>
  <c r="G20" i="8"/>
  <c r="H21" i="8"/>
  <c r="I22" i="8"/>
  <c r="G43" i="8"/>
  <c r="H44" i="8"/>
  <c r="I45" i="8"/>
  <c r="G47" i="8"/>
  <c r="H48" i="8"/>
  <c r="I49" i="8"/>
  <c r="G15" i="8"/>
  <c r="H16" i="8"/>
  <c r="I17" i="8"/>
  <c r="G19" i="8"/>
  <c r="H20" i="8"/>
  <c r="I21" i="8"/>
  <c r="G42" i="8"/>
  <c r="H43" i="8"/>
  <c r="I44" i="8"/>
  <c r="G46" i="8"/>
  <c r="H47" i="8"/>
  <c r="I48" i="8"/>
  <c r="H15" i="8"/>
  <c r="I16" i="8"/>
  <c r="G18" i="8"/>
  <c r="H19" i="8"/>
  <c r="I20" i="8"/>
  <c r="G22" i="8"/>
  <c r="H42" i="8"/>
  <c r="I43" i="8"/>
  <c r="G45" i="8"/>
  <c r="H46" i="8"/>
  <c r="I47" i="8"/>
  <c r="G49" i="8"/>
  <c r="I15" i="8"/>
  <c r="G17" i="8"/>
  <c r="H18" i="8"/>
  <c r="G21" i="8"/>
  <c r="H22" i="8"/>
  <c r="I42" i="8"/>
  <c r="G44" i="8"/>
  <c r="H45" i="8"/>
  <c r="I46" i="8"/>
  <c r="H41" i="8" l="1"/>
  <c r="G41" i="8"/>
  <c r="H14" i="8"/>
  <c r="I14" i="8"/>
  <c r="I41" i="8"/>
  <c r="G14" i="8"/>
  <c r="H5" i="7"/>
  <c r="G5" i="7"/>
  <c r="G10" i="7"/>
  <c r="H10" i="7"/>
  <c r="I10" i="7"/>
  <c r="I9" i="7"/>
  <c r="G9" i="7"/>
  <c r="I8" i="7"/>
  <c r="H8" i="7"/>
  <c r="G8" i="7"/>
  <c r="I7" i="7"/>
  <c r="H7" i="7"/>
  <c r="G7" i="7"/>
  <c r="I6" i="7"/>
  <c r="H6" i="7"/>
  <c r="G6" i="7"/>
  <c r="I5" i="7"/>
  <c r="I4" i="7"/>
  <c r="H4" i="7"/>
  <c r="G4" i="7"/>
  <c r="I3" i="7"/>
  <c r="H3" i="7"/>
  <c r="G3" i="7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H8" i="5"/>
  <c r="I3" i="5"/>
  <c r="H3" i="5"/>
  <c r="G3" i="5"/>
  <c r="I4" i="5"/>
  <c r="H7" i="5"/>
  <c r="H4" i="5"/>
  <c r="G4" i="5"/>
  <c r="I5" i="5"/>
  <c r="H5" i="5"/>
  <c r="G5" i="5"/>
  <c r="I6" i="5"/>
  <c r="H6" i="5"/>
  <c r="G6" i="5"/>
  <c r="I7" i="5"/>
  <c r="G7" i="5"/>
  <c r="I8" i="5"/>
  <c r="G8" i="5"/>
  <c r="I9" i="5"/>
  <c r="H9" i="5"/>
  <c r="G9" i="5"/>
  <c r="I10" i="5"/>
  <c r="H10" i="5"/>
  <c r="G10" i="5"/>
  <c r="L14" i="7" l="1"/>
  <c r="L17" i="7" s="1"/>
  <c r="N14" i="5"/>
  <c r="N14" i="7"/>
  <c r="M14" i="7"/>
  <c r="M17" i="7" s="1"/>
  <c r="N14" i="6"/>
  <c r="M14" i="6"/>
  <c r="M17" i="6" s="1"/>
  <c r="L14" i="6"/>
  <c r="L17" i="6" s="1"/>
  <c r="M14" i="5"/>
  <c r="L14" i="5"/>
  <c r="L17" i="5" s="1"/>
  <c r="N17" i="5" l="1"/>
  <c r="M17" i="5"/>
  <c r="N17" i="6"/>
  <c r="N17" i="7"/>
  <c r="L5" i="7"/>
  <c r="N3" i="7"/>
  <c r="L4" i="7"/>
  <c r="M4" i="7"/>
  <c r="N5" i="7"/>
  <c r="M3" i="7"/>
  <c r="N4" i="7"/>
  <c r="M5" i="7"/>
  <c r="L3" i="5"/>
  <c r="M4" i="5"/>
  <c r="N5" i="5"/>
  <c r="N5" i="6"/>
  <c r="N3" i="6"/>
  <c r="L4" i="5"/>
  <c r="M5" i="5"/>
  <c r="L5" i="5"/>
  <c r="N3" i="5"/>
  <c r="M3" i="5"/>
  <c r="N4" i="6"/>
  <c r="L3" i="7"/>
  <c r="N4" i="5"/>
  <c r="I43" i="7" l="1"/>
  <c r="H43" i="7"/>
  <c r="H46" i="7"/>
  <c r="I47" i="7"/>
  <c r="H47" i="7"/>
  <c r="H48" i="7"/>
  <c r="I48" i="7"/>
  <c r="I45" i="7"/>
  <c r="M6" i="7"/>
  <c r="I49" i="7"/>
  <c r="H42" i="7"/>
  <c r="I42" i="7"/>
  <c r="H49" i="7"/>
  <c r="N6" i="7"/>
  <c r="H45" i="7"/>
  <c r="I46" i="7"/>
  <c r="I44" i="7"/>
  <c r="H44" i="7"/>
  <c r="L6" i="5"/>
  <c r="N6" i="5"/>
  <c r="I47" i="5"/>
  <c r="H49" i="5"/>
  <c r="H44" i="5"/>
  <c r="I45" i="5"/>
  <c r="I42" i="5"/>
  <c r="I49" i="5"/>
  <c r="H43" i="5"/>
  <c r="H46" i="5"/>
  <c r="H42" i="5"/>
  <c r="H48" i="5"/>
  <c r="I46" i="5"/>
  <c r="H45" i="5"/>
  <c r="I48" i="5"/>
  <c r="I44" i="5"/>
  <c r="H47" i="5"/>
  <c r="I43" i="5"/>
  <c r="N6" i="6"/>
  <c r="M6" i="5"/>
  <c r="G47" i="5"/>
  <c r="I16" i="5"/>
  <c r="I18" i="5"/>
  <c r="H22" i="7"/>
  <c r="I2" i="7"/>
  <c r="I18" i="7"/>
  <c r="H19" i="7"/>
  <c r="H15" i="7"/>
  <c r="I20" i="7"/>
  <c r="I19" i="7"/>
  <c r="H20" i="7"/>
  <c r="H16" i="7"/>
  <c r="H21" i="7"/>
  <c r="H18" i="7"/>
  <c r="I22" i="7"/>
  <c r="G46" i="7"/>
  <c r="H2" i="7"/>
  <c r="I16" i="7"/>
  <c r="I17" i="7"/>
  <c r="G21" i="7"/>
  <c r="G42" i="7"/>
  <c r="I15" i="7"/>
  <c r="G47" i="7"/>
  <c r="G48" i="7"/>
  <c r="I21" i="7"/>
  <c r="G44" i="7"/>
  <c r="G49" i="7"/>
  <c r="G2" i="7"/>
  <c r="H17" i="7"/>
  <c r="G45" i="7"/>
  <c r="G43" i="7"/>
  <c r="G2" i="6"/>
  <c r="H2" i="6"/>
  <c r="I2" i="6"/>
  <c r="G44" i="5"/>
  <c r="G16" i="5"/>
  <c r="I17" i="5"/>
  <c r="I15" i="5"/>
  <c r="G43" i="5"/>
  <c r="G17" i="5"/>
  <c r="G48" i="5"/>
  <c r="G46" i="5"/>
  <c r="G19" i="5"/>
  <c r="I2" i="5"/>
  <c r="I20" i="5"/>
  <c r="G20" i="5"/>
  <c r="I19" i="5"/>
  <c r="G21" i="5"/>
  <c r="H21" i="5"/>
  <c r="H2" i="5"/>
  <c r="I21" i="5"/>
  <c r="G18" i="5"/>
  <c r="G15" i="5"/>
  <c r="G49" i="5"/>
  <c r="G42" i="5"/>
  <c r="G45" i="5"/>
  <c r="I22" i="5"/>
  <c r="G22" i="5"/>
  <c r="G2" i="5"/>
  <c r="G18" i="7"/>
  <c r="G19" i="7"/>
  <c r="G22" i="7"/>
  <c r="G16" i="7"/>
  <c r="G17" i="7"/>
  <c r="G20" i="7"/>
  <c r="G15" i="7"/>
  <c r="H22" i="5"/>
  <c r="H18" i="5"/>
  <c r="H19" i="5"/>
  <c r="H17" i="5"/>
  <c r="H15" i="5"/>
  <c r="H16" i="5"/>
  <c r="H20" i="5"/>
  <c r="L6" i="7"/>
  <c r="I41" i="5" l="1"/>
  <c r="H41" i="5"/>
  <c r="I41" i="7"/>
  <c r="H41" i="7"/>
  <c r="G41" i="7"/>
  <c r="I14" i="7"/>
  <c r="H14" i="7"/>
  <c r="G14" i="7"/>
  <c r="I14" i="5"/>
  <c r="H14" i="5"/>
  <c r="G41" i="5"/>
  <c r="G14" i="5"/>
  <c r="M3" i="6" l="1"/>
  <c r="M5" i="6"/>
  <c r="L5" i="6"/>
  <c r="M4" i="6" l="1"/>
  <c r="M6" i="6" s="1"/>
  <c r="L3" i="6"/>
  <c r="G49" i="6" s="1"/>
  <c r="I22" i="6"/>
  <c r="I19" i="6"/>
  <c r="I15" i="6"/>
  <c r="I17" i="6"/>
  <c r="I18" i="6"/>
  <c r="I16" i="6"/>
  <c r="I20" i="6"/>
  <c r="I14" i="6"/>
  <c r="I21" i="6"/>
  <c r="L4" i="6"/>
  <c r="G44" i="6" l="1"/>
  <c r="G20" i="6"/>
  <c r="G48" i="6"/>
  <c r="G47" i="6"/>
  <c r="G16" i="6"/>
  <c r="G14" i="6"/>
  <c r="G46" i="6"/>
  <c r="G18" i="6"/>
  <c r="G21" i="6"/>
  <c r="I42" i="6"/>
  <c r="I46" i="6"/>
  <c r="I44" i="6"/>
  <c r="H43" i="6"/>
  <c r="I49" i="6"/>
  <c r="I48" i="6"/>
  <c r="H47" i="6"/>
  <c r="H45" i="6"/>
  <c r="H42" i="6"/>
  <c r="H49" i="6"/>
  <c r="I45" i="6"/>
  <c r="I43" i="6"/>
  <c r="I47" i="6"/>
  <c r="H48" i="6"/>
  <c r="H46" i="6"/>
  <c r="H44" i="6"/>
  <c r="H41" i="6"/>
  <c r="I41" i="6"/>
  <c r="G42" i="6"/>
  <c r="G45" i="6"/>
  <c r="G43" i="6"/>
  <c r="G15" i="6"/>
  <c r="G19" i="6"/>
  <c r="G17" i="6"/>
  <c r="G22" i="6"/>
  <c r="G41" i="6"/>
  <c r="L6" i="6"/>
  <c r="H16" i="6"/>
  <c r="H20" i="6"/>
  <c r="H15" i="6"/>
  <c r="H14" i="6"/>
  <c r="H18" i="6"/>
  <c r="H21" i="6"/>
  <c r="H22" i="6"/>
  <c r="H19" i="6"/>
  <c r="H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74" authorId="0" shapeId="0" xr:uid="{00000000-0006-0000-0000-000001000000}">
      <text>
        <r>
          <rPr>
            <b/>
            <sz val="9"/>
            <rFont val="Tahoma"/>
            <family val="2"/>
          </rPr>
          <t>Schmidt, Christian Joachim Dr.:</t>
        </r>
        <r>
          <rPr>
            <sz val="9"/>
            <rFont val="Tahoma"/>
            <family val="2"/>
          </rPr>
          <t xml:space="preserve">
Dies sind die Ortsvektoren der lokalen SumoX Koordinatensysteme in globalen Koordinaten.
Das globale Koordinatensystem hat seinen Ursprung in der Streuprobe. </t>
        </r>
      </text>
    </comment>
  </commentList>
</comments>
</file>

<file path=xl/sharedStrings.xml><?xml version="1.0" encoding="utf-8"?>
<sst xmlns="http://schemas.openxmlformats.org/spreadsheetml/2006/main" count="1032" uniqueCount="204">
  <si>
    <t>Schnittpunkte von Zähldraht "n" mit senkrecht auf Mittelkathodenstreifen (MKS) 0 bzw 15 stehender Mittelebene</t>
  </si>
  <si>
    <t xml:space="preserve">zur Erläuterung: zu jeder Mittelkathode wird in der Längsrichtung eine senkrechte Ebene konstruiert (siehe Abb. links für MKS Ebene 0) </t>
  </si>
  <si>
    <t xml:space="preserve">        </t>
  </si>
  <si>
    <t>Die Schnittpunkte der Anodendrähte mit diesen Ebenen definieren die Voxelmittelpunkte</t>
  </si>
  <si>
    <t>Mittelkathodenstreifen MKS</t>
  </si>
  <si>
    <t>MKS 0 ist Zentrumsnächster</t>
  </si>
  <si>
    <t>Zähldraht</t>
  </si>
  <si>
    <t>Draht 0 ist Zentrumsnächster</t>
  </si>
  <si>
    <t>Drahtebene</t>
  </si>
  <si>
    <t>Ebene 0 ist im Uhrzeigersinn die Erste</t>
  </si>
  <si>
    <t>Xv,Yv,Zv</t>
  </si>
  <si>
    <t>Voxelpunkt  im lokalen Koordinatensystem des betreffenden SUMOs.</t>
  </si>
  <si>
    <t>Xs,Ys,Zs</t>
  </si>
  <si>
    <t>Punkt auf der X, Y oder Z-Achse des SUMO-Koordinatensystems im globalen Detektor-Koordinatensystem</t>
  </si>
  <si>
    <t>Aus Xs, Ys, Zs zusammen mit Xg, Yg und Zg kann die Drehung zwischen Sumo-Koordinatensystem und globalem Koordinatensystem errechnet werden</t>
  </si>
  <si>
    <t>Xg,Yg,Zg</t>
  </si>
  <si>
    <t>Koordinaten des Nullpunkts des SUMO-Koordiantensystems im globalen Detektor-Koordinatensystem</t>
  </si>
  <si>
    <t>Aus Xg, Yg, Zg ergibt sich die Verschiebung des Sumo-Koordinatensystems gegenüber dem globalen Koordinatensystem</t>
  </si>
  <si>
    <t xml:space="preserve">Alle anderen Voxelmittelpunkte errechnen sich aus den in 15 gleiche Teile geteilten Differenzvektoren dieser Punkte sowohl in Richtung von Anodendraht zu Anodendraht, als auch in Richtung von MKS zu MKS.  </t>
  </si>
  <si>
    <t xml:space="preserve">Jede Kassette hat zwei Anodendrahtebenen mit jeweils 16 x 16 = 256 Voxeln, also zusammen 512 Voxel. Von diesen Voxeln sind die Positionen von jeweils 8 Stück, nämlich die äußersten Eckvoxel in lokalen Koordinaten gelistet.  </t>
  </si>
  <si>
    <t>Xg</t>
  </si>
  <si>
    <t>Yg</t>
  </si>
  <si>
    <t>Zg</t>
  </si>
  <si>
    <t>Ortsvektor</t>
  </si>
  <si>
    <t>SUMO 1</t>
  </si>
  <si>
    <t>SUMO 2</t>
  </si>
  <si>
    <t>SUMO 3</t>
  </si>
  <si>
    <t>SUMO 4</t>
  </si>
  <si>
    <t>SUMO 5</t>
  </si>
  <si>
    <t>SUMO</t>
  </si>
  <si>
    <t>Kassette</t>
  </si>
  <si>
    <t>Draht Ebene</t>
  </si>
  <si>
    <t>Draht</t>
  </si>
  <si>
    <t>MKS</t>
  </si>
  <si>
    <t>Xv</t>
  </si>
  <si>
    <t>Yv</t>
  </si>
  <si>
    <t>Zv</t>
  </si>
  <si>
    <t>(Xv,Yv,Zv)</t>
  </si>
  <si>
    <t>Xs</t>
  </si>
  <si>
    <t>Ys</t>
  </si>
  <si>
    <t>Zs</t>
  </si>
  <si>
    <t>Lokale Koordinaten des Sumo</t>
  </si>
  <si>
    <t>Rotationsmatrix</t>
  </si>
  <si>
    <t>Punkt auf X-Achse</t>
  </si>
  <si>
    <t>Punkt auf Y-Achse</t>
  </si>
  <si>
    <t>Punkt auf Z-Achse</t>
  </si>
  <si>
    <t>gelb unterlegt: Eingabe</t>
  </si>
  <si>
    <t>Verschiebungsvektor</t>
  </si>
  <si>
    <t>Position Ursprung des Sumokoordinatensystems in globalen Koordinaten</t>
  </si>
  <si>
    <t>Voxelkoordinaten in globalen Koordinaten</t>
  </si>
  <si>
    <t>orange unterlegt: Ergebnis in globalen Koordinaten</t>
  </si>
  <si>
    <t>Vx</t>
  </si>
  <si>
    <t>Vy</t>
  </si>
  <si>
    <t>Vz</t>
  </si>
  <si>
    <t>8 x 16 x 16 = 2048 Voxel</t>
  </si>
  <si>
    <t>12 x 16 x 16 = 3072 Voxel</t>
  </si>
  <si>
    <t>16 x 16 x 16 = 4096 Voxel</t>
  </si>
  <si>
    <t xml:space="preserve">Es werden die Positionen der Voxelmittelpunkte der ersten sowie des letzten Drahtes einer Anodenebene und hier jeweils des ersten und des letzten Mittelkathodenstreifens gegeben. </t>
  </si>
  <si>
    <t>vorne links innen</t>
  </si>
  <si>
    <t>hinten links innen</t>
  </si>
  <si>
    <t xml:space="preserve">vorne links außen </t>
  </si>
  <si>
    <t>hinten links außen</t>
  </si>
  <si>
    <t xml:space="preserve">vorne rechts innen </t>
  </si>
  <si>
    <t>hinten rechts innen</t>
  </si>
  <si>
    <t>vorne rechts außen</t>
  </si>
  <si>
    <t>hinten rechts außen</t>
  </si>
  <si>
    <t xml:space="preserve">Draht 0 .... 15     innen bis außen </t>
  </si>
  <si>
    <t>MKS 0 ... 15          vorne bis hinten</t>
  </si>
  <si>
    <t>Hexahedron Schwerpunkt</t>
  </si>
  <si>
    <t>Hexahedron</t>
  </si>
  <si>
    <t xml:space="preserve">Voxel </t>
  </si>
  <si>
    <t>Voxeleckenbezeichnung wie Sumoeckenbezeichnung</t>
  </si>
  <si>
    <t>Definition Eckenbezeichnung Hexahedron</t>
  </si>
  <si>
    <t>&lt;--Hexahedronschwerpunkt</t>
  </si>
  <si>
    <t xml:space="preserve"> (ermöglicht Bestimmung der Drehmatrix) </t>
  </si>
  <si>
    <t>Punkt auf der lokalen X-Koordinatenachse des Sumos im globalen Koordinatensystem</t>
  </si>
  <si>
    <t xml:space="preserve">Punkt auf der lokalen Y-Koordinatenachse des Sumos im globalen Koordinatensystem </t>
  </si>
  <si>
    <t>Punkt auf der lokalen Z-Koordinatenachse des Sumos im globalen Koordinatensystem</t>
  </si>
  <si>
    <t>Volumen, Eckpunkte</t>
  </si>
  <si>
    <t>Nr 12-Grad-Segment 0...22</t>
  </si>
  <si>
    <t>Backward Endcap [0], Forward Endcap [1]</t>
  </si>
  <si>
    <t>dann Drehung für Forward oder Backward Endkappe um 180° um Y</t>
  </si>
  <si>
    <t>Draht Ebene 0 .... 7     links bis rechts</t>
  </si>
  <si>
    <t>Draht Ebene 0 ...11     links bis rechts</t>
  </si>
  <si>
    <t>Draht Ebene 0 ...15     links bis rechts</t>
  </si>
  <si>
    <t xml:space="preserve">VIL Punkt: </t>
  </si>
  <si>
    <t xml:space="preserve">VIR Punkt: </t>
  </si>
  <si>
    <t xml:space="preserve">VAL Punkt: </t>
  </si>
  <si>
    <t xml:space="preserve">VAR Punkt: </t>
  </si>
  <si>
    <t xml:space="preserve">HIL Punkt: </t>
  </si>
  <si>
    <t xml:space="preserve">HIR Punkt: </t>
  </si>
  <si>
    <t xml:space="preserve">HAL Punkt: </t>
  </si>
  <si>
    <t xml:space="preserve">HAR Punkt: </t>
  </si>
  <si>
    <t>Sumo 3 sensitives</t>
  </si>
  <si>
    <t>Sumo 4 sensitives</t>
  </si>
  <si>
    <t>Sumo 5 sensitives</t>
  </si>
  <si>
    <t>Koordinaten eines einzelnen, individuellen Voxels</t>
  </si>
  <si>
    <t>vgl. Phyton-Skript</t>
  </si>
  <si>
    <t>vorne links innen des vorne links innen liegenden Voxels</t>
  </si>
  <si>
    <t>vorne rechts innen des vorne rechts innen liegenden Voxels</t>
  </si>
  <si>
    <t>vorne rechts außen des vorne rechts außen liegenden Voxels</t>
  </si>
  <si>
    <t>vorne links außen des vorne links außen liegenden Voxels</t>
  </si>
  <si>
    <t>hinten links innen des hinten links innen liegenden Voxels</t>
  </si>
  <si>
    <t>hinten rechts innen des hinten rechts innen liegenden Voxels</t>
  </si>
  <si>
    <t>hinten rechts außen des hinten rechts außen liegenden Voxels</t>
  </si>
  <si>
    <t>Koordinaten eines einzelnen, individuellen Voxels für alle 12°-Segmente (wie in B2 und C2 eingestellt)</t>
  </si>
  <si>
    <t xml:space="preserve">Drehung von orange Unterlegtem auf 12°-Segmentposition (Segment 0 bis 22) </t>
  </si>
  <si>
    <t>hinten links außen des hinten links außen liegenden Voxels</t>
  </si>
  <si>
    <t>Phi-Winkel [rad]</t>
  </si>
  <si>
    <t>SUMO 6</t>
  </si>
  <si>
    <t>Ursprung des lokalen Koordinatensystem nach Drehung um Phi im globalen Koordinatensystem</t>
  </si>
  <si>
    <t>Phi-Offset [°]</t>
  </si>
  <si>
    <t>zusätzliche Drehung des finalen globalen Koordinatensystems um Phi [°]</t>
  </si>
  <si>
    <t>20 x 16 x 16 = 5120 Voxel</t>
  </si>
  <si>
    <t>yellow marked background depicts input cells</t>
  </si>
  <si>
    <t>No. 12-Degree-Segment 0...22</t>
  </si>
  <si>
    <t>Wire Plane 0 ...19     left to right</t>
  </si>
  <si>
    <t xml:space="preserve">Wire 0 .... 15     inner to outer radius </t>
  </si>
  <si>
    <t xml:space="preserve">cathode strip 0 ... 15          front (closer to sample) to back </t>
  </si>
  <si>
    <t>local coordinates of Sumo</t>
  </si>
  <si>
    <t>&lt;--Center of mass Hexahedron</t>
  </si>
  <si>
    <t>front left inner</t>
  </si>
  <si>
    <t>back left inner</t>
  </si>
  <si>
    <t>front left outer</t>
  </si>
  <si>
    <t>back left outer</t>
  </si>
  <si>
    <t xml:space="preserve">front right inner </t>
  </si>
  <si>
    <t>back right inner</t>
  </si>
  <si>
    <t>front right outer</t>
  </si>
  <si>
    <t>back right outer</t>
  </si>
  <si>
    <t>Voxel corners</t>
  </si>
  <si>
    <t>Coordinates of the corners of an individual voxel in global coordinates</t>
  </si>
  <si>
    <t>Voxelcoordnates in global coordinates</t>
  </si>
  <si>
    <t>rotation matrix</t>
  </si>
  <si>
    <t>Point on X-Axis</t>
  </si>
  <si>
    <t>Point on Y-Axis</t>
  </si>
  <si>
    <t>Point on Z-Axis</t>
  </si>
  <si>
    <t>Position of the origin of the local coordinate system in global coordinates</t>
  </si>
  <si>
    <t>Origin of the local coordinate system after rotation in Phi in global coordinates</t>
  </si>
  <si>
    <t>Sumo 6 sensitive</t>
  </si>
  <si>
    <t>volume, cornerpoints</t>
  </si>
  <si>
    <t xml:space="preserve">this is more complicated as we are listing the outermost corner of an outermost corner voxel. </t>
  </si>
  <si>
    <t>It is the points given on the page Main in the global coordinate system</t>
  </si>
  <si>
    <t>Coordinates of the corners of an individual voxel in global coordinates for all 12°-Segments that are selected in B2 and C2.</t>
  </si>
  <si>
    <t>Hexahedron center of mass</t>
  </si>
  <si>
    <t>Irina: used these coordinates to build the model in G4</t>
  </si>
  <si>
    <t>Aly1</t>
  </si>
  <si>
    <t>Aly2</t>
  </si>
  <si>
    <t>Alz</t>
  </si>
  <si>
    <t>Alx1</t>
  </si>
  <si>
    <t>Alx2</t>
  </si>
  <si>
    <t>Alx3</t>
  </si>
  <si>
    <t>Alx4</t>
  </si>
  <si>
    <t>SUMO3</t>
  </si>
  <si>
    <t>SUMO4</t>
  </si>
  <si>
    <t>SUMO5</t>
  </si>
  <si>
    <t>SUMO6</t>
  </si>
  <si>
    <t>height front</t>
  </si>
  <si>
    <t>height back</t>
  </si>
  <si>
    <t>depth</t>
  </si>
  <si>
    <t>front top</t>
  </si>
  <si>
    <t>front bottom</t>
  </si>
  <si>
    <t>back bottom</t>
  </si>
  <si>
    <t>back top</t>
  </si>
  <si>
    <t>4*4</t>
  </si>
  <si>
    <t>Total</t>
  </si>
  <si>
    <t>cathodes</t>
  </si>
  <si>
    <t>Anodes 2d</t>
  </si>
  <si>
    <t>Anodes 1 side</t>
  </si>
  <si>
    <t>3*4</t>
  </si>
  <si>
    <t>4*2</t>
  </si>
  <si>
    <t>4*6</t>
  </si>
  <si>
    <t>4*5</t>
  </si>
  <si>
    <t>4*8</t>
  </si>
  <si>
    <t>4*7</t>
  </si>
  <si>
    <t>4*10</t>
  </si>
  <si>
    <t>4*9</t>
  </si>
  <si>
    <t>cathode strip</t>
  </si>
  <si>
    <t>Gy1</t>
  </si>
  <si>
    <t>Gy2</t>
  </si>
  <si>
    <t>Gz</t>
  </si>
  <si>
    <t>Gx2</t>
  </si>
  <si>
    <t>Gx1</t>
  </si>
  <si>
    <t>Gx3</t>
  </si>
  <si>
    <t>Gx4</t>
  </si>
  <si>
    <t>θi</t>
  </si>
  <si>
    <t>θf</t>
  </si>
  <si>
    <t>theta</t>
  </si>
  <si>
    <t>d (A)</t>
  </si>
  <si>
    <t>2*theta</t>
  </si>
  <si>
    <t>DREAM_ENDCAP</t>
  </si>
  <si>
    <t>phi</t>
  </si>
  <si>
    <t>alpha</t>
  </si>
  <si>
    <t>Δphi</t>
  </si>
  <si>
    <t>Δalpha</t>
  </si>
  <si>
    <t>beta</t>
  </si>
  <si>
    <t>Δbeta</t>
  </si>
  <si>
    <t>X</t>
  </si>
  <si>
    <t>Y</t>
  </si>
  <si>
    <t>Z</t>
  </si>
  <si>
    <t>(Rz*Ry)^(-1)</t>
  </si>
  <si>
    <t>(Ry*Rz)^(-1)</t>
  </si>
  <si>
    <t>RotY(10°)</t>
  </si>
  <si>
    <t>RotZ(-13°)</t>
  </si>
  <si>
    <t>GEANT4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</si>
</sst>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2">
    <font>
      <sz val="1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E6B8B7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4"/>
      <color rgb="FF000000"/>
      <name val="Times New Roman"/>
      <family val="1"/>
    </font>
    <font>
      <b/>
      <i/>
      <sz val="10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i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0E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CCC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protection locked="0"/>
    </xf>
    <xf numFmtId="0" fontId="4" fillId="0" borderId="0">
      <alignment vertical="center"/>
    </xf>
    <xf numFmtId="0" fontId="1" fillId="0" borderId="0"/>
  </cellStyleXfs>
  <cellXfs count="261">
    <xf numFmtId="0" fontId="0" fillId="0" borderId="0" xfId="0">
      <alignment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4" borderId="4" xfId="0" applyFont="1" applyFill="1" applyBorder="1" applyAlignment="1"/>
    <xf numFmtId="0" fontId="3" fillId="4" borderId="0" xfId="0" applyFont="1" applyFill="1" applyBorder="1" applyAlignment="1"/>
    <xf numFmtId="0" fontId="1" fillId="0" borderId="2" xfId="0" applyFont="1" applyFill="1" applyBorder="1" applyAlignment="1"/>
    <xf numFmtId="0" fontId="1" fillId="3" borderId="2" xfId="0" applyFont="1" applyFill="1" applyBorder="1" applyAlignment="1"/>
    <xf numFmtId="0" fontId="1" fillId="0" borderId="9" xfId="0" applyFont="1" applyFill="1" applyBorder="1" applyAlignment="1"/>
    <xf numFmtId="0" fontId="1" fillId="4" borderId="0" xfId="0" applyFont="1" applyFill="1" applyBorder="1" applyAlignment="1"/>
    <xf numFmtId="0" fontId="4" fillId="0" borderId="0" xfId="0" applyFont="1">
      <alignment vertical="center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8" fillId="5" borderId="1" xfId="1" applyFont="1" applyFill="1" applyBorder="1" applyAlignment="1" applyProtection="1"/>
    <xf numFmtId="0" fontId="2" fillId="0" borderId="20" xfId="1" applyBorder="1" applyAlignment="1" applyProtection="1"/>
    <xf numFmtId="0" fontId="2" fillId="0" borderId="21" xfId="1" applyBorder="1" applyAlignment="1" applyProtection="1"/>
    <xf numFmtId="0" fontId="8" fillId="5" borderId="11" xfId="1" applyFont="1" applyFill="1" applyBorder="1" applyAlignment="1" applyProtection="1"/>
    <xf numFmtId="0" fontId="7" fillId="5" borderId="30" xfId="0" applyFont="1" applyFill="1" applyBorder="1" applyAlignment="1">
      <alignment vertical="center" wrapText="1"/>
    </xf>
    <xf numFmtId="164" fontId="1" fillId="0" borderId="2" xfId="0" applyNumberFormat="1" applyFont="1" applyFill="1" applyBorder="1" applyAlignment="1"/>
    <xf numFmtId="164" fontId="4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1" fillId="0" borderId="5" xfId="0" applyNumberFormat="1" applyFont="1" applyFill="1" applyBorder="1" applyAlignment="1"/>
    <xf numFmtId="164" fontId="1" fillId="0" borderId="6" xfId="0" applyNumberFormat="1" applyFont="1" applyFill="1" applyBorder="1" applyAlignment="1"/>
    <xf numFmtId="164" fontId="1" fillId="0" borderId="7" xfId="0" applyNumberFormat="1" applyFont="1" applyFill="1" applyBorder="1" applyAlignment="1"/>
    <xf numFmtId="164" fontId="1" fillId="0" borderId="8" xfId="0" applyNumberFormat="1" applyFont="1" applyFill="1" applyBorder="1" applyAlignment="1"/>
    <xf numFmtId="164" fontId="1" fillId="4" borderId="0" xfId="0" applyNumberFormat="1" applyFont="1" applyFill="1" applyBorder="1" applyAlignment="1"/>
    <xf numFmtId="164" fontId="7" fillId="5" borderId="31" xfId="0" applyNumberFormat="1" applyFont="1" applyFill="1" applyBorder="1" applyAlignment="1"/>
    <xf numFmtId="164" fontId="7" fillId="5" borderId="32" xfId="0" applyNumberFormat="1" applyFont="1" applyFill="1" applyBorder="1" applyAlignment="1"/>
    <xf numFmtId="164" fontId="0" fillId="0" borderId="10" xfId="0" applyNumberFormat="1" applyBorder="1">
      <alignment vertical="center"/>
    </xf>
    <xf numFmtId="164" fontId="7" fillId="5" borderId="11" xfId="0" applyNumberFormat="1" applyFont="1" applyFill="1" applyBorder="1" applyAlignment="1"/>
    <xf numFmtId="164" fontId="7" fillId="5" borderId="1" xfId="0" applyNumberFormat="1" applyFont="1" applyFill="1" applyBorder="1" applyAlignment="1"/>
    <xf numFmtId="164" fontId="1" fillId="0" borderId="9" xfId="0" applyNumberFormat="1" applyFont="1" applyFill="1" applyBorder="1" applyAlignment="1"/>
    <xf numFmtId="164" fontId="1" fillId="4" borderId="33" xfId="0" applyNumberFormat="1" applyFont="1" applyFill="1" applyBorder="1" applyAlignment="1"/>
    <xf numFmtId="0" fontId="0" fillId="0" borderId="0" xfId="0" applyAlignment="1"/>
    <xf numFmtId="0" fontId="1" fillId="6" borderId="2" xfId="0" applyFont="1" applyFill="1" applyBorder="1" applyAlignment="1"/>
    <xf numFmtId="0" fontId="7" fillId="7" borderId="30" xfId="0" applyFont="1" applyFill="1" applyBorder="1" applyAlignment="1">
      <alignment vertical="center" wrapText="1"/>
    </xf>
    <xf numFmtId="164" fontId="7" fillId="7" borderId="31" xfId="0" applyNumberFormat="1" applyFont="1" applyFill="1" applyBorder="1" applyAlignment="1"/>
    <xf numFmtId="164" fontId="7" fillId="7" borderId="32" xfId="0" applyNumberFormat="1" applyFont="1" applyFill="1" applyBorder="1" applyAlignment="1"/>
    <xf numFmtId="0" fontId="8" fillId="7" borderId="11" xfId="1" applyFont="1" applyFill="1" applyBorder="1" applyAlignment="1" applyProtection="1"/>
    <xf numFmtId="0" fontId="8" fillId="7" borderId="1" xfId="1" applyFont="1" applyFill="1" applyBorder="1" applyAlignment="1" applyProtection="1"/>
    <xf numFmtId="164" fontId="0" fillId="8" borderId="18" xfId="0" applyNumberFormat="1" applyFill="1" applyBorder="1">
      <alignment vertical="center"/>
    </xf>
    <xf numFmtId="0" fontId="4" fillId="8" borderId="15" xfId="0" applyFont="1" applyFill="1" applyBorder="1">
      <alignment vertical="center"/>
    </xf>
    <xf numFmtId="0" fontId="4" fillId="8" borderId="17" xfId="0" applyFont="1" applyFill="1" applyBorder="1">
      <alignment vertical="center"/>
    </xf>
    <xf numFmtId="0" fontId="9" fillId="8" borderId="38" xfId="0" applyFont="1" applyFill="1" applyBorder="1">
      <alignment vertical="center"/>
    </xf>
    <xf numFmtId="0" fontId="9" fillId="8" borderId="39" xfId="0" applyFont="1" applyFill="1" applyBorder="1">
      <alignment vertical="center"/>
    </xf>
    <xf numFmtId="0" fontId="0" fillId="0" borderId="0" xfId="0" applyFill="1" applyAlignment="1"/>
    <xf numFmtId="164" fontId="7" fillId="8" borderId="1" xfId="0" applyNumberFormat="1" applyFont="1" applyFill="1" applyBorder="1" applyAlignment="1"/>
    <xf numFmtId="0" fontId="2" fillId="0" borderId="0" xfId="1" applyFill="1" applyBorder="1" applyAlignment="1" applyProtection="1"/>
    <xf numFmtId="0" fontId="0" fillId="0" borderId="0" xfId="0" applyFill="1" applyBorder="1">
      <alignment vertical="center"/>
    </xf>
    <xf numFmtId="164" fontId="0" fillId="0" borderId="0" xfId="0" applyNumberFormat="1" applyFill="1" applyBorder="1">
      <alignment vertical="center"/>
    </xf>
    <xf numFmtId="0" fontId="0" fillId="0" borderId="0" xfId="0" applyFill="1" applyBorder="1" applyAlignment="1"/>
    <xf numFmtId="164" fontId="1" fillId="11" borderId="7" xfId="0" applyNumberFormat="1" applyFont="1" applyFill="1" applyBorder="1" applyAlignment="1"/>
    <xf numFmtId="164" fontId="1" fillId="11" borderId="2" xfId="0" applyNumberFormat="1" applyFont="1" applyFill="1" applyBorder="1" applyAlignment="1"/>
    <xf numFmtId="164" fontId="1" fillId="11" borderId="8" xfId="0" applyNumberFormat="1" applyFont="1" applyFill="1" applyBorder="1" applyAlignment="1"/>
    <xf numFmtId="164" fontId="0" fillId="11" borderId="10" xfId="0" applyNumberFormat="1" applyFill="1" applyBorder="1">
      <alignment vertical="center"/>
    </xf>
    <xf numFmtId="164" fontId="1" fillId="12" borderId="2" xfId="0" applyNumberFormat="1" applyFont="1" applyFill="1" applyBorder="1" applyAlignment="1"/>
    <xf numFmtId="164" fontId="4" fillId="12" borderId="2" xfId="0" applyNumberFormat="1" applyFont="1" applyFill="1" applyBorder="1" applyAlignment="1"/>
    <xf numFmtId="0" fontId="2" fillId="8" borderId="12" xfId="1" applyFill="1" applyBorder="1" applyAlignment="1" applyProtection="1"/>
    <xf numFmtId="0" fontId="2" fillId="8" borderId="15" xfId="1" applyFill="1" applyBorder="1" applyAlignment="1" applyProtection="1"/>
    <xf numFmtId="0" fontId="2" fillId="8" borderId="12" xfId="1" applyFont="1" applyFill="1" applyBorder="1" applyAlignment="1" applyProtection="1"/>
    <xf numFmtId="0" fontId="2" fillId="8" borderId="15" xfId="1" applyFont="1" applyFill="1" applyBorder="1" applyAlignment="1" applyProtection="1"/>
    <xf numFmtId="164" fontId="7" fillId="8" borderId="12" xfId="0" applyNumberFormat="1" applyFont="1" applyFill="1" applyBorder="1" applyAlignment="1"/>
    <xf numFmtId="164" fontId="7" fillId="8" borderId="13" xfId="0" applyNumberFormat="1" applyFont="1" applyFill="1" applyBorder="1" applyAlignment="1"/>
    <xf numFmtId="164" fontId="7" fillId="8" borderId="14" xfId="0" applyNumberFormat="1" applyFont="1" applyFill="1" applyBorder="1" applyAlignment="1"/>
    <xf numFmtId="164" fontId="7" fillId="8" borderId="15" xfId="0" applyNumberFormat="1" applyFont="1" applyFill="1" applyBorder="1" applyAlignment="1"/>
    <xf numFmtId="164" fontId="7" fillId="8" borderId="16" xfId="0" applyNumberFormat="1" applyFont="1" applyFill="1" applyBorder="1" applyAlignment="1"/>
    <xf numFmtId="164" fontId="0" fillId="8" borderId="17" xfId="0" applyNumberFormat="1" applyFill="1" applyBorder="1">
      <alignment vertical="center"/>
    </xf>
    <xf numFmtId="164" fontId="0" fillId="8" borderId="19" xfId="0" applyNumberFormat="1" applyFill="1" applyBorder="1">
      <alignment vertical="center"/>
    </xf>
    <xf numFmtId="0" fontId="10" fillId="8" borderId="44" xfId="0" applyFont="1" applyFill="1" applyBorder="1">
      <alignment vertical="center"/>
    </xf>
    <xf numFmtId="0" fontId="10" fillId="8" borderId="45" xfId="0" applyFont="1" applyFill="1" applyBorder="1">
      <alignment vertical="center"/>
    </xf>
    <xf numFmtId="0" fontId="10" fillId="8" borderId="46" xfId="0" applyFont="1" applyFill="1" applyBorder="1">
      <alignment vertical="center"/>
    </xf>
    <xf numFmtId="164" fontId="0" fillId="8" borderId="1" xfId="0" applyNumberFormat="1" applyFill="1" applyBorder="1">
      <alignment vertical="center"/>
    </xf>
    <xf numFmtId="164" fontId="0" fillId="8" borderId="15" xfId="0" applyNumberFormat="1" applyFill="1" applyBorder="1">
      <alignment vertical="center"/>
    </xf>
    <xf numFmtId="164" fontId="0" fillId="8" borderId="16" xfId="0" applyNumberFormat="1" applyFill="1" applyBorder="1">
      <alignment vertical="center"/>
    </xf>
    <xf numFmtId="0" fontId="0" fillId="8" borderId="44" xfId="0" applyFill="1" applyBorder="1">
      <alignment vertical="center"/>
    </xf>
    <xf numFmtId="0" fontId="0" fillId="8" borderId="45" xfId="0" applyFill="1" applyBorder="1">
      <alignment vertical="center"/>
    </xf>
    <xf numFmtId="0" fontId="0" fillId="8" borderId="46" xfId="0" applyFill="1" applyBorder="1">
      <alignment vertical="center"/>
    </xf>
    <xf numFmtId="164" fontId="0" fillId="8" borderId="12" xfId="0" applyNumberFormat="1" applyFill="1" applyBorder="1">
      <alignment vertical="center"/>
    </xf>
    <xf numFmtId="164" fontId="0" fillId="8" borderId="13" xfId="0" applyNumberFormat="1" applyFill="1" applyBorder="1">
      <alignment vertical="center"/>
    </xf>
    <xf numFmtId="164" fontId="0" fillId="8" borderId="14" xfId="0" applyNumberFormat="1" applyFill="1" applyBorder="1">
      <alignment vertical="center"/>
    </xf>
    <xf numFmtId="0" fontId="11" fillId="8" borderId="15" xfId="0" applyFont="1" applyFill="1" applyBorder="1">
      <alignment vertical="center"/>
    </xf>
    <xf numFmtId="0" fontId="11" fillId="8" borderId="17" xfId="0" applyFont="1" applyFill="1" applyBorder="1">
      <alignment vertical="center"/>
    </xf>
    <xf numFmtId="0" fontId="4" fillId="6" borderId="0" xfId="0" applyFont="1" applyFill="1">
      <alignment vertical="center"/>
    </xf>
    <xf numFmtId="0" fontId="0" fillId="6" borderId="0" xfId="0" applyFill="1">
      <alignment vertical="center"/>
    </xf>
    <xf numFmtId="164" fontId="0" fillId="6" borderId="30" xfId="0" applyNumberFormat="1" applyFill="1" applyBorder="1">
      <alignment vertical="center"/>
    </xf>
    <xf numFmtId="164" fontId="0" fillId="6" borderId="31" xfId="0" applyNumberFormat="1" applyFill="1" applyBorder="1">
      <alignment vertical="center"/>
    </xf>
    <xf numFmtId="164" fontId="0" fillId="6" borderId="32" xfId="0" applyNumberFormat="1" applyFill="1" applyBorder="1">
      <alignment vertical="center"/>
    </xf>
    <xf numFmtId="164" fontId="4" fillId="6" borderId="0" xfId="0" applyNumberFormat="1" applyFont="1" applyFill="1">
      <alignment vertical="center"/>
    </xf>
    <xf numFmtId="0" fontId="2" fillId="5" borderId="20" xfId="1" applyFill="1" applyBorder="1" applyAlignment="1" applyProtection="1"/>
    <xf numFmtId="0" fontId="2" fillId="5" borderId="21" xfId="1" applyFill="1" applyBorder="1" applyAlignment="1" applyProtection="1"/>
    <xf numFmtId="0" fontId="0" fillId="13" borderId="0" xfId="0" applyFill="1">
      <alignment vertical="center"/>
    </xf>
    <xf numFmtId="0" fontId="2" fillId="12" borderId="47" xfId="1" applyFill="1" applyBorder="1" applyAlignment="1" applyProtection="1"/>
    <xf numFmtId="0" fontId="2" fillId="7" borderId="20" xfId="1" applyFill="1" applyBorder="1" applyAlignment="1" applyProtection="1"/>
    <xf numFmtId="0" fontId="2" fillId="7" borderId="21" xfId="1" applyFill="1" applyBorder="1" applyAlignment="1" applyProtection="1"/>
    <xf numFmtId="0" fontId="12" fillId="0" borderId="0" xfId="0" applyFont="1">
      <alignment vertical="center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2" fontId="13" fillId="0" borderId="0" xfId="0" applyNumberFormat="1" applyFont="1" applyAlignment="1">
      <alignment horizontal="left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2" fontId="13" fillId="0" borderId="10" xfId="0" applyNumberFormat="1" applyFont="1" applyBorder="1" applyAlignment="1">
      <alignment horizontal="right"/>
    </xf>
    <xf numFmtId="2" fontId="13" fillId="0" borderId="34" xfId="0" applyNumberFormat="1" applyFont="1" applyBorder="1" applyAlignment="1">
      <alignment horizontal="right"/>
    </xf>
    <xf numFmtId="0" fontId="12" fillId="0" borderId="10" xfId="0" applyFont="1" applyBorder="1">
      <alignment vertical="center"/>
    </xf>
    <xf numFmtId="2" fontId="13" fillId="10" borderId="10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wrapText="1"/>
    </xf>
    <xf numFmtId="2" fontId="13" fillId="2" borderId="0" xfId="0" applyNumberFormat="1" applyFont="1" applyFill="1" applyBorder="1" applyAlignment="1">
      <alignment horizontal="right" wrapText="1"/>
    </xf>
    <xf numFmtId="0" fontId="13" fillId="2" borderId="0" xfId="0" applyFont="1" applyFill="1" applyBorder="1" applyAlignment="1">
      <alignment horizontal="center" wrapText="1"/>
    </xf>
    <xf numFmtId="2" fontId="13" fillId="0" borderId="0" xfId="0" applyNumberFormat="1" applyFont="1" applyFill="1" applyBorder="1" applyAlignment="1">
      <alignment horizontal="right"/>
    </xf>
    <xf numFmtId="0" fontId="14" fillId="0" borderId="36" xfId="1" applyFont="1" applyBorder="1" applyAlignment="1" applyProtection="1"/>
    <xf numFmtId="0" fontId="14" fillId="0" borderId="15" xfId="1" applyFont="1" applyBorder="1" applyAlignment="1" applyProtection="1"/>
    <xf numFmtId="0" fontId="14" fillId="0" borderId="17" xfId="1" applyFont="1" applyBorder="1" applyAlignment="1" applyProtection="1"/>
    <xf numFmtId="0" fontId="13" fillId="2" borderId="0" xfId="0" applyFont="1" applyFill="1" applyBorder="1" applyAlignment="1"/>
    <xf numFmtId="2" fontId="13" fillId="2" borderId="0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center"/>
    </xf>
    <xf numFmtId="2" fontId="13" fillId="9" borderId="0" xfId="0" applyNumberFormat="1" applyFont="1" applyFill="1" applyBorder="1" applyAlignment="1">
      <alignment horizontal="right"/>
    </xf>
    <xf numFmtId="0" fontId="15" fillId="0" borderId="0" xfId="0" applyFont="1">
      <alignment vertical="center"/>
    </xf>
    <xf numFmtId="2" fontId="15" fillId="0" borderId="0" xfId="0" applyNumberFormat="1" applyFont="1">
      <alignment vertical="center"/>
    </xf>
    <xf numFmtId="1" fontId="16" fillId="0" borderId="0" xfId="0" applyNumberFormat="1" applyFont="1" applyAlignment="1"/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3" applyFont="1"/>
    <xf numFmtId="0" fontId="16" fillId="2" borderId="0" xfId="0" applyFont="1" applyFill="1" applyBorder="1" applyAlignment="1">
      <alignment wrapText="1"/>
    </xf>
    <xf numFmtId="2" fontId="16" fillId="2" borderId="0" xfId="0" applyNumberFormat="1" applyFont="1" applyFill="1" applyBorder="1" applyAlignment="1">
      <alignment wrapText="1"/>
    </xf>
    <xf numFmtId="0" fontId="15" fillId="0" borderId="0" xfId="0" applyFont="1" applyAlignment="1">
      <alignment vertical="center" wrapText="1"/>
    </xf>
    <xf numFmtId="1" fontId="16" fillId="0" borderId="0" xfId="0" applyNumberFormat="1" applyFont="1" applyAlignment="1">
      <alignment wrapText="1"/>
    </xf>
    <xf numFmtId="0" fontId="15" fillId="0" borderId="2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6" fillId="0" borderId="12" xfId="0" applyFont="1" applyBorder="1" applyAlignment="1">
      <alignment horizontal="right"/>
    </xf>
    <xf numFmtId="2" fontId="16" fillId="0" borderId="13" xfId="0" applyNumberFormat="1" applyFont="1" applyBorder="1" applyAlignment="1">
      <alignment horizontal="right"/>
    </xf>
    <xf numFmtId="2" fontId="16" fillId="0" borderId="14" xfId="0" applyNumberFormat="1" applyFont="1" applyBorder="1" applyAlignment="1">
      <alignment horizontal="right"/>
    </xf>
    <xf numFmtId="0" fontId="15" fillId="0" borderId="25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26" xfId="0" applyFont="1" applyBorder="1">
      <alignment vertical="center"/>
    </xf>
    <xf numFmtId="0" fontId="16" fillId="0" borderId="15" xfId="0" applyFont="1" applyBorder="1" applyAlignment="1">
      <alignment horizontal="right"/>
    </xf>
    <xf numFmtId="2" fontId="16" fillId="0" borderId="1" xfId="0" applyNumberFormat="1" applyFont="1" applyBorder="1" applyAlignment="1">
      <alignment horizontal="right"/>
    </xf>
    <xf numFmtId="2" fontId="16" fillId="0" borderId="16" xfId="0" applyNumberFormat="1" applyFont="1" applyBorder="1" applyAlignment="1">
      <alignment horizontal="right"/>
    </xf>
    <xf numFmtId="0" fontId="16" fillId="0" borderId="17" xfId="0" applyFont="1" applyBorder="1" applyAlignment="1">
      <alignment horizontal="right"/>
    </xf>
    <xf numFmtId="2" fontId="16" fillId="0" borderId="18" xfId="0" applyNumberFormat="1" applyFont="1" applyBorder="1" applyAlignment="1">
      <alignment horizontal="right"/>
    </xf>
    <xf numFmtId="2" fontId="16" fillId="0" borderId="19" xfId="0" applyNumberFormat="1" applyFont="1" applyBorder="1" applyAlignment="1">
      <alignment horizontal="right"/>
    </xf>
    <xf numFmtId="2" fontId="16" fillId="0" borderId="0" xfId="0" applyNumberFormat="1" applyFont="1" applyAlignment="1"/>
    <xf numFmtId="164" fontId="16" fillId="0" borderId="0" xfId="0" applyNumberFormat="1" applyFont="1" applyAlignment="1"/>
    <xf numFmtId="164" fontId="16" fillId="0" borderId="25" xfId="0" applyNumberFormat="1" applyFont="1" applyBorder="1" applyAlignment="1"/>
    <xf numFmtId="164" fontId="16" fillId="0" borderId="0" xfId="0" applyNumberFormat="1" applyFont="1" applyBorder="1" applyAlignment="1"/>
    <xf numFmtId="2" fontId="15" fillId="0" borderId="0" xfId="0" applyNumberFormat="1" applyFont="1" applyAlignment="1"/>
    <xf numFmtId="0" fontId="16" fillId="2" borderId="0" xfId="0" applyFont="1" applyFill="1" applyBorder="1" applyAlignment="1"/>
    <xf numFmtId="2" fontId="16" fillId="2" borderId="0" xfId="0" applyNumberFormat="1" applyFont="1" applyFill="1" applyBorder="1" applyAlignment="1"/>
    <xf numFmtId="2" fontId="16" fillId="10" borderId="0" xfId="3" applyNumberFormat="1" applyFont="1" applyFill="1"/>
    <xf numFmtId="0" fontId="17" fillId="0" borderId="0" xfId="0" applyFont="1">
      <alignment vertical="center"/>
    </xf>
    <xf numFmtId="164" fontId="15" fillId="0" borderId="0" xfId="0" applyNumberFormat="1" applyFont="1">
      <alignment vertical="center"/>
    </xf>
    <xf numFmtId="16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27" xfId="0" applyNumberFormat="1" applyFont="1" applyBorder="1" applyAlignment="1"/>
    <xf numFmtId="164" fontId="16" fillId="0" borderId="28" xfId="0" applyNumberFormat="1" applyFont="1" applyBorder="1" applyAlignment="1"/>
    <xf numFmtId="0" fontId="15" fillId="0" borderId="28" xfId="0" applyFont="1" applyBorder="1">
      <alignment vertical="center"/>
    </xf>
    <xf numFmtId="0" fontId="15" fillId="0" borderId="29" xfId="0" applyFont="1" applyBorder="1">
      <alignment vertical="center"/>
    </xf>
    <xf numFmtId="0" fontId="18" fillId="0" borderId="0" xfId="0" applyFont="1" applyAlignment="1">
      <alignment vertical="center" wrapText="1"/>
    </xf>
    <xf numFmtId="2" fontId="0" fillId="0" borderId="0" xfId="0" applyNumberFormat="1">
      <alignment vertical="center"/>
    </xf>
    <xf numFmtId="164" fontId="7" fillId="8" borderId="15" xfId="0" applyNumberFormat="1" applyFont="1" applyFill="1" applyBorder="1">
      <alignment vertical="center"/>
    </xf>
    <xf numFmtId="164" fontId="7" fillId="8" borderId="1" xfId="0" applyNumberFormat="1" applyFont="1" applyFill="1" applyBorder="1">
      <alignment vertical="center"/>
    </xf>
    <xf numFmtId="164" fontId="7" fillId="8" borderId="16" xfId="0" applyNumberFormat="1" applyFont="1" applyFill="1" applyBorder="1">
      <alignment vertical="center"/>
    </xf>
    <xf numFmtId="164" fontId="7" fillId="8" borderId="17" xfId="0" applyNumberFormat="1" applyFont="1" applyFill="1" applyBorder="1">
      <alignment vertical="center"/>
    </xf>
    <xf numFmtId="164" fontId="7" fillId="8" borderId="18" xfId="0" applyNumberFormat="1" applyFont="1" applyFill="1" applyBorder="1">
      <alignment vertical="center"/>
    </xf>
    <xf numFmtId="164" fontId="7" fillId="8" borderId="19" xfId="0" applyNumberFormat="1" applyFont="1" applyFill="1" applyBorder="1">
      <alignment vertical="center"/>
    </xf>
    <xf numFmtId="164" fontId="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165" fontId="12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2" fillId="0" borderId="0" xfId="0" applyNumberFormat="1" applyFont="1">
      <alignment vertical="center"/>
    </xf>
    <xf numFmtId="2" fontId="22" fillId="0" borderId="0" xfId="0" applyNumberFormat="1" applyFont="1">
      <alignment vertical="center"/>
    </xf>
    <xf numFmtId="166" fontId="0" fillId="0" borderId="0" xfId="0" applyNumberFormat="1">
      <alignment vertical="center"/>
    </xf>
    <xf numFmtId="0" fontId="9" fillId="0" borderId="0" xfId="0" applyFont="1">
      <alignment vertical="center"/>
    </xf>
    <xf numFmtId="0" fontId="20" fillId="0" borderId="0" xfId="0" applyFont="1">
      <alignment vertical="center"/>
    </xf>
    <xf numFmtId="166" fontId="12" fillId="0" borderId="0" xfId="0" applyNumberFormat="1" applyFont="1">
      <alignment vertical="center"/>
    </xf>
    <xf numFmtId="166" fontId="22" fillId="0" borderId="0" xfId="0" applyNumberFormat="1" applyFont="1">
      <alignment vertical="center"/>
    </xf>
    <xf numFmtId="166" fontId="23" fillId="0" borderId="0" xfId="0" applyNumberFormat="1" applyFo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165" fontId="30" fillId="0" borderId="0" xfId="0" applyNumberFormat="1" applyFont="1">
      <alignment vertical="center"/>
    </xf>
    <xf numFmtId="165" fontId="28" fillId="0" borderId="0" xfId="0" applyNumberFormat="1" applyFont="1">
      <alignment vertical="center"/>
    </xf>
    <xf numFmtId="165" fontId="26" fillId="0" borderId="0" xfId="0" applyNumberFormat="1" applyFont="1">
      <alignment vertical="center"/>
    </xf>
    <xf numFmtId="165" fontId="0" fillId="0" borderId="0" xfId="0" applyNumberFormat="1">
      <alignment vertical="center"/>
    </xf>
    <xf numFmtId="164" fontId="7" fillId="8" borderId="44" xfId="0" applyNumberFormat="1" applyFont="1" applyFill="1" applyBorder="1" applyAlignment="1"/>
    <xf numFmtId="164" fontId="7" fillId="8" borderId="45" xfId="0" applyNumberFormat="1" applyFont="1" applyFill="1" applyBorder="1" applyAlignment="1"/>
    <xf numFmtId="164" fontId="7" fillId="8" borderId="45" xfId="0" applyNumberFormat="1" applyFont="1" applyFill="1" applyBorder="1">
      <alignment vertical="center"/>
    </xf>
    <xf numFmtId="164" fontId="7" fillId="8" borderId="46" xfId="0" applyNumberFormat="1" applyFont="1" applyFill="1" applyBorder="1">
      <alignment vertical="center"/>
    </xf>
    <xf numFmtId="164" fontId="7" fillId="8" borderId="0" xfId="0" applyNumberFormat="1" applyFont="1" applyFill="1" applyBorder="1">
      <alignment vertical="center"/>
    </xf>
    <xf numFmtId="164" fontId="0" fillId="8" borderId="44" xfId="0" applyNumberFormat="1" applyFill="1" applyBorder="1">
      <alignment vertical="center"/>
    </xf>
    <xf numFmtId="164" fontId="0" fillId="8" borderId="45" xfId="0" applyNumberFormat="1" applyFill="1" applyBorder="1">
      <alignment vertical="center"/>
    </xf>
    <xf numFmtId="164" fontId="0" fillId="8" borderId="46" xfId="0" applyNumberFormat="1" applyFill="1" applyBorder="1">
      <alignment vertical="center"/>
    </xf>
    <xf numFmtId="164" fontId="1" fillId="4" borderId="48" xfId="0" applyNumberFormat="1" applyFont="1" applyFill="1" applyBorder="1" applyAlignment="1"/>
    <xf numFmtId="164" fontId="7" fillId="5" borderId="49" xfId="0" applyNumberFormat="1" applyFont="1" applyFill="1" applyBorder="1" applyAlignment="1"/>
    <xf numFmtId="0" fontId="29" fillId="0" borderId="3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165" fontId="30" fillId="0" borderId="15" xfId="0" applyNumberFormat="1" applyFont="1" applyBorder="1">
      <alignment vertical="center"/>
    </xf>
    <xf numFmtId="165" fontId="26" fillId="0" borderId="16" xfId="0" applyNumberFormat="1" applyFont="1" applyBorder="1">
      <alignment vertical="center"/>
    </xf>
    <xf numFmtId="165" fontId="30" fillId="0" borderId="17" xfId="0" applyNumberFormat="1" applyFont="1" applyBorder="1">
      <alignment vertical="center"/>
    </xf>
    <xf numFmtId="165" fontId="26" fillId="0" borderId="19" xfId="0" applyNumberFormat="1" applyFont="1" applyBorder="1">
      <alignment vertical="center"/>
    </xf>
    <xf numFmtId="165" fontId="30" fillId="0" borderId="12" xfId="0" applyNumberFormat="1" applyFont="1" applyBorder="1">
      <alignment vertical="center"/>
    </xf>
    <xf numFmtId="165" fontId="28" fillId="0" borderId="13" xfId="0" applyNumberFormat="1" applyFont="1" applyBorder="1">
      <alignment vertical="center"/>
    </xf>
    <xf numFmtId="165" fontId="26" fillId="0" borderId="14" xfId="0" applyNumberFormat="1" applyFont="1" applyBorder="1">
      <alignment vertical="center"/>
    </xf>
    <xf numFmtId="165" fontId="0" fillId="0" borderId="38" xfId="0" applyNumberFormat="1" applyBorder="1">
      <alignment vertical="center"/>
    </xf>
    <xf numFmtId="165" fontId="0" fillId="0" borderId="50" xfId="0" applyNumberFormat="1" applyBorder="1">
      <alignment vertical="center"/>
    </xf>
    <xf numFmtId="165" fontId="0" fillId="0" borderId="40" xfId="0" applyNumberFormat="1" applyBorder="1">
      <alignment vertical="center"/>
    </xf>
    <xf numFmtId="165" fontId="28" fillId="0" borderId="11" xfId="0" applyNumberFormat="1" applyFont="1" applyBorder="1">
      <alignment vertical="center"/>
    </xf>
    <xf numFmtId="0" fontId="29" fillId="0" borderId="39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164" fontId="31" fillId="8" borderId="15" xfId="0" applyNumberFormat="1" applyFont="1" applyFill="1" applyBorder="1">
      <alignment vertical="center"/>
    </xf>
    <xf numFmtId="164" fontId="31" fillId="8" borderId="1" xfId="0" applyNumberFormat="1" applyFont="1" applyFill="1" applyBorder="1">
      <alignment vertical="center"/>
    </xf>
    <xf numFmtId="0" fontId="8" fillId="5" borderId="0" xfId="1" applyFont="1" applyFill="1" applyBorder="1" applyAlignment="1" applyProtection="1"/>
    <xf numFmtId="0" fontId="9" fillId="0" borderId="39" xfId="0" applyFont="1" applyBorder="1">
      <alignment vertical="center"/>
    </xf>
    <xf numFmtId="0" fontId="9" fillId="0" borderId="51" xfId="0" applyFont="1" applyBorder="1">
      <alignment vertical="center"/>
    </xf>
    <xf numFmtId="0" fontId="9" fillId="0" borderId="42" xfId="0" applyFont="1" applyBorder="1">
      <alignment vertical="center"/>
    </xf>
    <xf numFmtId="165" fontId="26" fillId="0" borderId="44" xfId="0" applyNumberFormat="1" applyFont="1" applyBorder="1">
      <alignment vertical="center"/>
    </xf>
    <xf numFmtId="165" fontId="26" fillId="0" borderId="45" xfId="0" applyNumberFormat="1" applyFont="1" applyBorder="1">
      <alignment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65" fontId="30" fillId="0" borderId="52" xfId="0" applyNumberFormat="1" applyFont="1" applyBorder="1">
      <alignment vertical="center"/>
    </xf>
    <xf numFmtId="164" fontId="7" fillId="8" borderId="53" xfId="0" applyNumberFormat="1" applyFont="1" applyFill="1" applyBorder="1" applyAlignment="1"/>
    <xf numFmtId="165" fontId="30" fillId="0" borderId="54" xfId="0" applyNumberFormat="1" applyFont="1" applyBorder="1">
      <alignment vertical="center"/>
    </xf>
    <xf numFmtId="165" fontId="28" fillId="0" borderId="55" xfId="0" applyNumberFormat="1" applyFont="1" applyBorder="1">
      <alignment vertical="center"/>
    </xf>
    <xf numFmtId="165" fontId="30" fillId="0" borderId="56" xfId="0" applyNumberFormat="1" applyFont="1" applyBorder="1">
      <alignment vertical="center"/>
    </xf>
    <xf numFmtId="165" fontId="30" fillId="0" borderId="57" xfId="0" applyNumberFormat="1" applyFont="1" applyBorder="1">
      <alignment vertical="center"/>
    </xf>
    <xf numFmtId="165" fontId="30" fillId="0" borderId="58" xfId="0" applyNumberFormat="1" applyFont="1" applyBorder="1">
      <alignment vertical="center"/>
    </xf>
    <xf numFmtId="165" fontId="26" fillId="0" borderId="46" xfId="0" applyNumberFormat="1" applyFont="1" applyBorder="1">
      <alignment vertical="center"/>
    </xf>
    <xf numFmtId="164" fontId="0" fillId="8" borderId="0" xfId="0" applyNumberFormat="1" applyFill="1" applyBorder="1">
      <alignment vertical="center"/>
    </xf>
    <xf numFmtId="0" fontId="12" fillId="6" borderId="12" xfId="0" applyFont="1" applyFill="1" applyBorder="1" applyAlignment="1">
      <alignment horizontal="right" vertical="center" wrapText="1"/>
    </xf>
    <xf numFmtId="0" fontId="12" fillId="6" borderId="15" xfId="0" applyFont="1" applyFill="1" applyBorder="1" applyAlignment="1">
      <alignment horizontal="right" vertical="center" wrapText="1"/>
    </xf>
    <xf numFmtId="0" fontId="12" fillId="6" borderId="17" xfId="0" applyFont="1" applyFill="1" applyBorder="1" applyAlignment="1">
      <alignment horizontal="right" vertical="center" wrapText="1"/>
    </xf>
    <xf numFmtId="0" fontId="15" fillId="6" borderId="14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top" wrapText="1"/>
    </xf>
    <xf numFmtId="0" fontId="9" fillId="5" borderId="35" xfId="0" applyFont="1" applyFill="1" applyBorder="1" applyAlignment="1">
      <alignment horizontal="center" vertical="top" wrapText="1"/>
    </xf>
    <xf numFmtId="0" fontId="9" fillId="7" borderId="38" xfId="0" applyFont="1" applyFill="1" applyBorder="1" applyAlignment="1">
      <alignment horizontal="center" vertical="top" wrapText="1"/>
    </xf>
    <xf numFmtId="0" fontId="9" fillId="7" borderId="40" xfId="0" applyFont="1" applyFill="1" applyBorder="1" applyAlignment="1">
      <alignment horizontal="center" vertical="top" wrapText="1"/>
    </xf>
    <xf numFmtId="0" fontId="9" fillId="7" borderId="37" xfId="0" applyFont="1" applyFill="1" applyBorder="1" applyAlignment="1">
      <alignment horizontal="center" vertical="top" wrapText="1"/>
    </xf>
    <xf numFmtId="0" fontId="9" fillId="7" borderId="41" xfId="0" applyFont="1" applyFill="1" applyBorder="1" applyAlignment="1">
      <alignment horizontal="center" vertical="top" wrapText="1"/>
    </xf>
    <xf numFmtId="0" fontId="9" fillId="7" borderId="39" xfId="0" applyFont="1" applyFill="1" applyBorder="1" applyAlignment="1">
      <alignment horizontal="center" vertical="top" wrapText="1"/>
    </xf>
    <xf numFmtId="0" fontId="9" fillId="7" borderId="42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29" fillId="0" borderId="34" xfId="0" applyNumberFormat="1" applyFont="1" applyBorder="1" applyAlignment="1">
      <alignment horizontal="center" vertical="center"/>
    </xf>
    <xf numFmtId="165" fontId="29" fillId="0" borderId="59" xfId="0" applyNumberFormat="1" applyFont="1" applyBorder="1" applyAlignment="1">
      <alignment horizontal="center" vertical="center"/>
    </xf>
    <xf numFmtId="165" fontId="29" fillId="0" borderId="35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</cellXfs>
  <cellStyles count="4">
    <cellStyle name="Normal" xfId="0" builtinId="0"/>
    <cellStyle name="Standard 2" xfId="1" xr:uid="{00000000-0005-0000-0000-000001000000}"/>
    <cellStyle name="Standard 3" xfId="2" xr:uid="{00000000-0005-0000-0000-000002000000}"/>
    <cellStyle name="Standard 4" xfId="3" xr:uid="{00000000-0005-0000-0000-000003000000}"/>
  </cellStyles>
  <dxfs count="0"/>
  <tableStyles count="0" defaultTableStyle="TableStyleMedium2" defaultPivotStyle="PivotStyleLight16"/>
  <colors>
    <mruColors>
      <color rgb="FFFFCCFF"/>
      <color rgb="FF00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836669874599008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draw!$C$2:$C$17</c:f>
              <c:numCache>
                <c:formatCode>0.00</c:formatCode>
                <c:ptCount val="16"/>
                <c:pt idx="0">
                  <c:v>-1466.673</c:v>
                </c:pt>
                <c:pt idx="1">
                  <c:v>-1466.3409999999999</c:v>
                </c:pt>
                <c:pt idx="2">
                  <c:v>-1465.539</c:v>
                </c:pt>
                <c:pt idx="4">
                  <c:v>-1489.078</c:v>
                </c:pt>
                <c:pt idx="5">
                  <c:v>-1488.6379999999999</c:v>
                </c:pt>
                <c:pt idx="6">
                  <c:v>-1487.9680000000001</c:v>
                </c:pt>
                <c:pt idx="8">
                  <c:v>-1495.181</c:v>
                </c:pt>
                <c:pt idx="9">
                  <c:v>-1494.6189999999999</c:v>
                </c:pt>
                <c:pt idx="10">
                  <c:v>-1494.1130000000001</c:v>
                </c:pt>
                <c:pt idx="13">
                  <c:v>-1499.279</c:v>
                </c:pt>
                <c:pt idx="14">
                  <c:v>-1498.598</c:v>
                </c:pt>
                <c:pt idx="15">
                  <c:v>-1498.271</c:v>
                </c:pt>
              </c:numCache>
            </c:numRef>
          </c:xVal>
          <c:yVal>
            <c:numRef>
              <c:f>draw!$D$2:$D$17</c:f>
              <c:numCache>
                <c:formatCode>0.00</c:formatCode>
                <c:ptCount val="16"/>
                <c:pt idx="0">
                  <c:v>435.53</c:v>
                </c:pt>
                <c:pt idx="1">
                  <c:v>436.46499999999997</c:v>
                </c:pt>
                <c:pt idx="2">
                  <c:v>435.31599999999997</c:v>
                </c:pt>
                <c:pt idx="4">
                  <c:v>645.88599999999997</c:v>
                </c:pt>
                <c:pt idx="5">
                  <c:v>646.79999999999995</c:v>
                </c:pt>
                <c:pt idx="6">
                  <c:v>645.56600000000003</c:v>
                </c:pt>
                <c:pt idx="8">
                  <c:v>871.84</c:v>
                </c:pt>
                <c:pt idx="9">
                  <c:v>872.71199999999999</c:v>
                </c:pt>
                <c:pt idx="10">
                  <c:v>871.399</c:v>
                </c:pt>
                <c:pt idx="13">
                  <c:v>1120.9459999999999</c:v>
                </c:pt>
                <c:pt idx="14">
                  <c:v>1121.759</c:v>
                </c:pt>
                <c:pt idx="15">
                  <c:v>1120.3879999999999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A941-9D00-354CB9BC3FD0}"/>
            </c:ext>
          </c:extLst>
        </c:ser>
        <c:ser>
          <c:idx val="1"/>
          <c:order val="1"/>
          <c:tx>
            <c:v>S3,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draw!$B$27:$B$30</c:f>
              <c:numCache>
                <c:formatCode>0\.000</c:formatCode>
                <c:ptCount val="4"/>
                <c:pt idx="0">
                  <c:v>-1151.4843731372875</c:v>
                </c:pt>
                <c:pt idx="1">
                  <c:v>-1169.4553131500661</c:v>
                </c:pt>
                <c:pt idx="2">
                  <c:v>-1149.6790675724628</c:v>
                </c:pt>
                <c:pt idx="3">
                  <c:v>-1167.6316142879484</c:v>
                </c:pt>
              </c:numCache>
            </c:numRef>
          </c:xVal>
          <c:yVal>
            <c:numRef>
              <c:f>draw!$C$27:$C$30</c:f>
              <c:numCache>
                <c:formatCode>0\.000</c:formatCode>
                <c:ptCount val="4"/>
                <c:pt idx="0">
                  <c:v>300.15173900874629</c:v>
                </c:pt>
                <c:pt idx="1">
                  <c:v>302.34928723250277</c:v>
                </c:pt>
                <c:pt idx="2">
                  <c:v>309.8459267078066</c:v>
                </c:pt>
                <c:pt idx="3">
                  <c:v>312.14224565559346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4-A941-9D00-354CB9BC3FD0}"/>
            </c:ext>
          </c:extLst>
        </c:ser>
        <c:ser>
          <c:idx val="2"/>
          <c:order val="2"/>
          <c:tx>
            <c:strRef>
              <c:f>draw!$A$32</c:f>
              <c:strCache>
                <c:ptCount val="1"/>
                <c:pt idx="0">
                  <c:v>SUMO4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draw!$B$33:$B$41</c:f>
              <c:numCache>
                <c:formatCode>0\.000</c:formatCode>
                <c:ptCount val="9"/>
                <c:pt idx="0">
                  <c:v>-1177.0915868905151</c:v>
                </c:pt>
                <c:pt idx="1">
                  <c:v>-1168.4872983182468</c:v>
                </c:pt>
                <c:pt idx="2">
                  <c:v>-1187.3756928933867</c:v>
                </c:pt>
                <c:pt idx="3">
                  <c:v>-1165.6145609885248</c:v>
                </c:pt>
                <c:pt idx="4">
                  <c:v>-1184.4550481376987</c:v>
                </c:pt>
                <c:pt idx="5">
                  <c:v>-1169.6879442759105</c:v>
                </c:pt>
                <c:pt idx="6">
                  <c:v>-1188.5875142901364</c:v>
                </c:pt>
                <c:pt idx="7">
                  <c:v>-1166.8363009697182</c:v>
                </c:pt>
                <c:pt idx="8">
                  <c:v>-1185.6883352504997</c:v>
                </c:pt>
              </c:numCache>
            </c:numRef>
          </c:xVal>
          <c:yVal>
            <c:numRef>
              <c:f>draw!$C$33:$C$41</c:f>
              <c:numCache>
                <c:formatCode>0\.000</c:formatCode>
                <c:ptCount val="9"/>
                <c:pt idx="0">
                  <c:v>474.5467209068363</c:v>
                </c:pt>
                <c:pt idx="1">
                  <c:v>467.47520963335489</c:v>
                </c:pt>
                <c:pt idx="2">
                  <c:v>471.50598556164152</c:v>
                </c:pt>
                <c:pt idx="3">
                  <c:v>476.81784177670954</c:v>
                </c:pt>
                <c:pt idx="4">
                  <c:v>481.0044203111816</c:v>
                </c:pt>
                <c:pt idx="5">
                  <c:v>468.15002215739361</c:v>
                </c:pt>
                <c:pt idx="6">
                  <c:v>472.18707762847754</c:v>
                </c:pt>
                <c:pt idx="7">
                  <c:v>477.5199850902913</c:v>
                </c:pt>
                <c:pt idx="8">
                  <c:v>481.71322509563993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4-A941-9D00-354CB9BC3FD0}"/>
            </c:ext>
          </c:extLst>
        </c:ser>
        <c:ser>
          <c:idx val="3"/>
          <c:order val="3"/>
          <c:tx>
            <c:v>S3,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8264342774146697E-2"/>
                  <c:y val="2.5125628140703519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561643835616442E-2"/>
                      <c:h val="7.83753501400560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E94-A941-9D00-354CB9BC3FD0}"/>
                </c:ext>
              </c:extLst>
            </c:dLbl>
            <c:dLbl>
              <c:idx val="2"/>
              <c:layout>
                <c:manualLayout>
                  <c:x val="-2.3238925199709513E-2"/>
                  <c:y val="-4.27135678391959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94-A941-9D00-354CB9BC3FD0}"/>
                </c:ext>
              </c:extLst>
            </c:dLbl>
            <c:dLbl>
              <c:idx val="3"/>
              <c:layout>
                <c:manualLayout>
                  <c:x val="-7.2621641249092234E-3"/>
                  <c:y val="-4.27135678391959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94-A941-9D00-354CB9BC3FD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draw!$B$23:$B$26</c:f>
              <c:numCache>
                <c:formatCode>0\.000</c:formatCode>
                <c:ptCount val="4"/>
                <c:pt idx="0">
                  <c:v>-1150.309639677537</c:v>
                </c:pt>
                <c:pt idx="1">
                  <c:v>-1168.2708076010097</c:v>
                </c:pt>
                <c:pt idx="2">
                  <c:v>-1148.4660215447532</c:v>
                </c:pt>
                <c:pt idx="3">
                  <c:v>-1166.4084040569348</c:v>
                </c:pt>
              </c:numCache>
            </c:numRef>
          </c:xVal>
          <c:yVal>
            <c:numRef>
              <c:f>draw!$C$23:$C$26</c:f>
              <c:numCache>
                <c:formatCode>0\.000</c:formatCode>
                <c:ptCount val="4"/>
                <c:pt idx="0">
                  <c:v>299.60990911172388</c:v>
                </c:pt>
                <c:pt idx="1">
                  <c:v>301.8029496050047</c:v>
                </c:pt>
                <c:pt idx="2">
                  <c:v>309.2755800168627</c:v>
                </c:pt>
                <c:pt idx="3">
                  <c:v>311.56711263516388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94-A941-9D00-354CB9BC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in val="-11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(beam axis)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</c:valAx>
      <c:valAx>
        <c:axId val="1636927823"/>
        <c:scaling>
          <c:orientation val="minMax"/>
          <c:max val="32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51637723366771"/>
          <c:y val="0.53994265422704513"/>
          <c:w val="0.14619595153345558"/>
          <c:h val="0.21608681267782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83666987459900843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E00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'draw (3)'!$H$35:$H$44</c:f>
              <c:numCache>
                <c:formatCode>0\.0</c:formatCode>
                <c:ptCount val="10"/>
                <c:pt idx="0">
                  <c:v>-1232.2036061345389</c:v>
                </c:pt>
                <c:pt idx="1">
                  <c:v>-1231.602806710971</c:v>
                </c:pt>
                <c:pt idx="2">
                  <c:v>-1224.0007309569346</c:v>
                </c:pt>
                <c:pt idx="3">
                  <c:v>-1223.0595412305374</c:v>
                </c:pt>
                <c:pt idx="4">
                  <c:v>-1546.9404525185505</c:v>
                </c:pt>
                <c:pt idx="5">
                  <c:v>-1546.2501954139127</c:v>
                </c:pt>
                <c:pt idx="6">
                  <c:v>-1536.5488509266347</c:v>
                </c:pt>
                <c:pt idx="7">
                  <c:v>-1535.4399086437675</c:v>
                </c:pt>
                <c:pt idx="8" formatCode="General">
                  <c:v>-1400</c:v>
                </c:pt>
              </c:numCache>
            </c:numRef>
          </c:xVal>
          <c:yVal>
            <c:numRef>
              <c:f>'draw (3)'!$I$35:$I$44</c:f>
              <c:numCache>
                <c:formatCode>0\.0</c:formatCode>
                <c:ptCount val="10"/>
                <c:pt idx="0">
                  <c:v>192.64140055183952</c:v>
                </c:pt>
                <c:pt idx="1">
                  <c:v>197.29056713618399</c:v>
                </c:pt>
                <c:pt idx="2">
                  <c:v>348.63190259918503</c:v>
                </c:pt>
                <c:pt idx="3">
                  <c:v>357.48302380962542</c:v>
                </c:pt>
                <c:pt idx="4">
                  <c:v>187.49745059725939</c:v>
                </c:pt>
                <c:pt idx="5">
                  <c:v>192.8387141512772</c:v>
                </c:pt>
                <c:pt idx="6">
                  <c:v>385.11002533951716</c:v>
                </c:pt>
                <c:pt idx="7">
                  <c:v>395.53959742787225</c:v>
                </c:pt>
                <c:pt idx="8" formatCode="General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0-AD40-A257-C77A9B0128BE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'draw (3)'!$H$23:$H$31</c:f>
              <c:numCache>
                <c:formatCode>0\.0</c:formatCode>
                <c:ptCount val="9"/>
                <c:pt idx="0">
                  <c:v>-1172.4495783737536</c:v>
                </c:pt>
                <c:pt idx="1">
                  <c:v>-1172.2520909363527</c:v>
                </c:pt>
                <c:pt idx="2">
                  <c:v>-1181.8242564755074</c:v>
                </c:pt>
                <c:pt idx="3">
                  <c:v>-1181.5959496876371</c:v>
                </c:pt>
                <c:pt idx="4">
                  <c:v>-1465.1805005080494</c:v>
                </c:pt>
                <c:pt idx="5">
                  <c:v>-1464.9567313381501</c:v>
                </c:pt>
                <c:pt idx="6">
                  <c:v>-1476.0835998021118</c:v>
                </c:pt>
                <c:pt idx="7">
                  <c:v>-1475.8225515725535</c:v>
                </c:pt>
                <c:pt idx="8" formatCode="General">
                  <c:v>-1320</c:v>
                </c:pt>
              </c:numCache>
            </c:numRef>
          </c:xVal>
          <c:yVal>
            <c:numRef>
              <c:f>'draw (3)'!$I$23:$I$31</c:f>
              <c:numCache>
                <c:formatCode>0\.0</c:formatCode>
                <c:ptCount val="9"/>
                <c:pt idx="0">
                  <c:v>33.167560284115439</c:v>
                </c:pt>
                <c:pt idx="1">
                  <c:v>35.277042696278329</c:v>
                </c:pt>
                <c:pt idx="2">
                  <c:v>190.49018794507555</c:v>
                </c:pt>
                <c:pt idx="3">
                  <c:v>195.05310495356221</c:v>
                </c:pt>
                <c:pt idx="4">
                  <c:v>2.7107498182317045</c:v>
                </c:pt>
                <c:pt idx="5">
                  <c:v>5.1010585783218403</c:v>
                </c:pt>
                <c:pt idx="6">
                  <c:v>185.68293301535465</c:v>
                </c:pt>
                <c:pt idx="7">
                  <c:v>190.90197662780054</c:v>
                </c:pt>
                <c:pt idx="8" formatCode="General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0-AD40-A257-C77A9B0128BE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'draw (3)'!$H$47:$H$55</c:f>
              <c:numCache>
                <c:formatCode>0\.0</c:formatCode>
                <c:ptCount val="9"/>
                <c:pt idx="0">
                  <c:v>-1292.5451752991323</c:v>
                </c:pt>
                <c:pt idx="1">
                  <c:v>-1290.648981664091</c:v>
                </c:pt>
                <c:pt idx="2">
                  <c:v>-1263.6591765472615</c:v>
                </c:pt>
                <c:pt idx="3">
                  <c:v>-1260.7602788481322</c:v>
                </c:pt>
                <c:pt idx="4">
                  <c:v>-1620.094119915605</c:v>
                </c:pt>
                <c:pt idx="5">
                  <c:v>-1615.9504753023064</c:v>
                </c:pt>
                <c:pt idx="6">
                  <c:v>-1583.6957387025909</c:v>
                </c:pt>
                <c:pt idx="7">
                  <c:v>-1580.2342490872118</c:v>
                </c:pt>
                <c:pt idx="8" formatCode="General">
                  <c:v>-1440</c:v>
                </c:pt>
              </c:numCache>
            </c:numRef>
          </c:xVal>
          <c:yVal>
            <c:numRef>
              <c:f>'draw (3)'!$I$47:$I$55</c:f>
              <c:numCache>
                <c:formatCode>0\.0</c:formatCode>
                <c:ptCount val="9"/>
                <c:pt idx="0">
                  <c:v>359.5657392526125</c:v>
                </c:pt>
                <c:pt idx="1">
                  <c:v>368.73147916760377</c:v>
                </c:pt>
                <c:pt idx="2">
                  <c:v>515.55949704213776</c:v>
                </c:pt>
                <c:pt idx="3">
                  <c:v>529.88841811936709</c:v>
                </c:pt>
                <c:pt idx="4">
                  <c:v>397.71500361261513</c:v>
                </c:pt>
                <c:pt idx="5">
                  <c:v>392.60530859903122</c:v>
                </c:pt>
                <c:pt idx="6">
                  <c:v>594.2780525958608</c:v>
                </c:pt>
                <c:pt idx="7">
                  <c:v>611.38802491493732</c:v>
                </c:pt>
                <c:pt idx="8" formatCode="General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C0-AD40-A257-C77A9B0128BE}"/>
            </c:ext>
          </c:extLst>
        </c:ser>
        <c:ser>
          <c:idx val="6"/>
          <c:order val="3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CFF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'draw (3)'!$H$59:$H$67</c:f>
              <c:numCache>
                <c:formatCode>0\.0</c:formatCode>
                <c:ptCount val="9"/>
                <c:pt idx="0">
                  <c:v>-1360.5891819754386</c:v>
                </c:pt>
                <c:pt idx="1">
                  <c:v>-1355.7303045312162</c:v>
                </c:pt>
                <c:pt idx="2">
                  <c:v>-1309.2098434059465</c:v>
                </c:pt>
                <c:pt idx="3">
                  <c:v>-1302.2783918194011</c:v>
                </c:pt>
                <c:pt idx="4">
                  <c:v>-1701.0486907857698</c:v>
                </c:pt>
                <c:pt idx="5">
                  <c:v>-1695.2487255071069</c:v>
                </c:pt>
                <c:pt idx="6">
                  <c:v>-1634.5399271193437</c:v>
                </c:pt>
                <c:pt idx="7">
                  <c:v>-1626.1606529945268</c:v>
                </c:pt>
                <c:pt idx="8" formatCode="General">
                  <c:v>-1500</c:v>
                </c:pt>
              </c:numCache>
            </c:numRef>
          </c:xVal>
          <c:yVal>
            <c:numRef>
              <c:f>'draw (3)'!$I$59:$I$67</c:f>
              <c:numCache>
                <c:formatCode>0\.0</c:formatCode>
                <c:ptCount val="9"/>
                <c:pt idx="0">
                  <c:v>542.46178293228536</c:v>
                </c:pt>
                <c:pt idx="1">
                  <c:v>557.31976968232732</c:v>
                </c:pt>
                <c:pt idx="2">
                  <c:v>698.71201815092058</c:v>
                </c:pt>
                <c:pt idx="3">
                  <c:v>719.88712817035935</c:v>
                </c:pt>
                <c:pt idx="4">
                  <c:v>625.93388054988918</c:v>
                </c:pt>
                <c:pt idx="5">
                  <c:v>643.66964536764704</c:v>
                </c:pt>
                <c:pt idx="6">
                  <c:v>828.19436711639605</c:v>
                </c:pt>
                <c:pt idx="7">
                  <c:v>853.79244201333017</c:v>
                </c:pt>
                <c:pt idx="8" formatCode="General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C0-AD40-A257-C77A9B01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1000"/>
          <c:min val="-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(beam axis)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  <c:majorUnit val="50"/>
        <c:minorUnit val="25"/>
      </c:valAx>
      <c:valAx>
        <c:axId val="1636927823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79105594695399917"/>
        </c:manualLayout>
      </c:layout>
      <c:scatterChart>
        <c:scatterStyle val="lineMarker"/>
        <c:varyColors val="0"/>
        <c:ser>
          <c:idx val="4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'draw (3)'!$J$23:$J$31</c:f>
              <c:numCache>
                <c:formatCode>0\.0</c:formatCode>
                <c:ptCount val="9"/>
                <c:pt idx="0">
                  <c:v>-193.42217543042864</c:v>
                </c:pt>
                <c:pt idx="1">
                  <c:v>-252.89052050240565</c:v>
                </c:pt>
                <c:pt idx="2">
                  <c:v>-175.07893074889358</c:v>
                </c:pt>
                <c:pt idx="3">
                  <c:v>-266.96786030612066</c:v>
                </c:pt>
                <c:pt idx="4">
                  <c:v>-191.24960052053271</c:v>
                </c:pt>
                <c:pt idx="5">
                  <c:v>-258.63306266475178</c:v>
                </c:pt>
                <c:pt idx="6">
                  <c:v>-169.91698952638717</c:v>
                </c:pt>
                <c:pt idx="7">
                  <c:v>-275.00286199128539</c:v>
                </c:pt>
                <c:pt idx="8" formatCode="General">
                  <c:v>-225</c:v>
                </c:pt>
              </c:numCache>
            </c:numRef>
          </c:xVal>
          <c:yVal>
            <c:numRef>
              <c:f>'draw (3)'!$I$23:$I$31</c:f>
              <c:numCache>
                <c:formatCode>0\.0</c:formatCode>
                <c:ptCount val="9"/>
                <c:pt idx="0">
                  <c:v>33.167560284115439</c:v>
                </c:pt>
                <c:pt idx="1">
                  <c:v>35.277042696278329</c:v>
                </c:pt>
                <c:pt idx="2">
                  <c:v>190.49018794507555</c:v>
                </c:pt>
                <c:pt idx="3">
                  <c:v>195.05310495356221</c:v>
                </c:pt>
                <c:pt idx="4">
                  <c:v>2.7107498182317045</c:v>
                </c:pt>
                <c:pt idx="5">
                  <c:v>5.1010585783218403</c:v>
                </c:pt>
                <c:pt idx="6">
                  <c:v>185.68293301535465</c:v>
                </c:pt>
                <c:pt idx="7">
                  <c:v>190.90197662780054</c:v>
                </c:pt>
                <c:pt idx="8" formatCode="General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E-144A-921A-26EF695F4F2D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'draw (3)'!$J$35:$J$43</c:f>
              <c:numCache>
                <c:formatCode>0\.0</c:formatCode>
                <c:ptCount val="9"/>
                <c:pt idx="0">
                  <c:v>-173.99791719539584</c:v>
                </c:pt>
                <c:pt idx="1">
                  <c:v>-268.73977611502897</c:v>
                </c:pt>
                <c:pt idx="2">
                  <c:v>-156.25322282111975</c:v>
                </c:pt>
                <c:pt idx="3">
                  <c:v>-282.44892296237799</c:v>
                </c:pt>
                <c:pt idx="4">
                  <c:v>-168.35967878379483</c:v>
                </c:pt>
                <c:pt idx="5">
                  <c:v>-277.21056229588709</c:v>
                </c:pt>
                <c:pt idx="6">
                  <c:v>-145.88003596928525</c:v>
                </c:pt>
                <c:pt idx="7">
                  <c:v>-294.55577176469222</c:v>
                </c:pt>
                <c:pt idx="8" formatCode="General">
                  <c:v>-225</c:v>
                </c:pt>
              </c:numCache>
            </c:numRef>
          </c:xVal>
          <c:yVal>
            <c:numRef>
              <c:f>'draw (3)'!$I$35:$I$43</c:f>
              <c:numCache>
                <c:formatCode>0\.0</c:formatCode>
                <c:ptCount val="9"/>
                <c:pt idx="0">
                  <c:v>192.64140055183952</c:v>
                </c:pt>
                <c:pt idx="1">
                  <c:v>197.29056713618399</c:v>
                </c:pt>
                <c:pt idx="2">
                  <c:v>348.63190259918503</c:v>
                </c:pt>
                <c:pt idx="3">
                  <c:v>357.48302380962542</c:v>
                </c:pt>
                <c:pt idx="4">
                  <c:v>187.49745059725939</c:v>
                </c:pt>
                <c:pt idx="5">
                  <c:v>192.8387141512772</c:v>
                </c:pt>
                <c:pt idx="6">
                  <c:v>385.11002533951716</c:v>
                </c:pt>
                <c:pt idx="7">
                  <c:v>395.53959742787225</c:v>
                </c:pt>
                <c:pt idx="8" formatCode="General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E-144A-921A-26EF695F4F2D}"/>
            </c:ext>
          </c:extLst>
        </c:ser>
        <c:ser>
          <c:idx val="6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'draw (3)'!$J$47:$J$55</c:f>
              <c:numCache>
                <c:formatCode>0\.0</c:formatCode>
                <c:ptCount val="9"/>
                <c:pt idx="0">
                  <c:v>-153.52951645748522</c:v>
                </c:pt>
                <c:pt idx="1">
                  <c:v>-285.22433376674024</c:v>
                </c:pt>
                <c:pt idx="2">
                  <c:v>-136.20681696142816</c:v>
                </c:pt>
                <c:pt idx="3">
                  <c:v>-298.42687360448747</c:v>
                </c:pt>
                <c:pt idx="4">
                  <c:v>-142.72963641376307</c:v>
                </c:pt>
                <c:pt idx="5">
                  <c:v>-290.41259048940901</c:v>
                </c:pt>
                <c:pt idx="6">
                  <c:v>-120.90300029988538</c:v>
                </c:pt>
                <c:pt idx="7">
                  <c:v>-314.57762911836892</c:v>
                </c:pt>
                <c:pt idx="8" formatCode="General">
                  <c:v>-225</c:v>
                </c:pt>
              </c:numCache>
            </c:numRef>
          </c:xVal>
          <c:yVal>
            <c:numRef>
              <c:f>'draw (3)'!$I$47:$I$55</c:f>
              <c:numCache>
                <c:formatCode>0\.0</c:formatCode>
                <c:ptCount val="9"/>
                <c:pt idx="0">
                  <c:v>359.5657392526125</c:v>
                </c:pt>
                <c:pt idx="1">
                  <c:v>368.73147916760377</c:v>
                </c:pt>
                <c:pt idx="2">
                  <c:v>515.55949704213776</c:v>
                </c:pt>
                <c:pt idx="3">
                  <c:v>529.88841811936709</c:v>
                </c:pt>
                <c:pt idx="4">
                  <c:v>397.71500361261513</c:v>
                </c:pt>
                <c:pt idx="5">
                  <c:v>392.60530859903122</c:v>
                </c:pt>
                <c:pt idx="6">
                  <c:v>594.2780525958608</c:v>
                </c:pt>
                <c:pt idx="7">
                  <c:v>611.38802491493732</c:v>
                </c:pt>
                <c:pt idx="8" formatCode="General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3E-144A-921A-26EF695F4F2D}"/>
            </c:ext>
          </c:extLst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'draw (3)'!$J$59:$J$67</c:f>
              <c:numCache>
                <c:formatCode>0\.0</c:formatCode>
                <c:ptCount val="9"/>
                <c:pt idx="0">
                  <c:v>-131.20613346446632</c:v>
                </c:pt>
                <c:pt idx="1">
                  <c:v>-303.47263492662944</c:v>
                </c:pt>
                <c:pt idx="2">
                  <c:v>-114.19218536063889</c:v>
                </c:pt>
                <c:pt idx="3">
                  <c:v>-316.02142937580084</c:v>
                </c:pt>
                <c:pt idx="4">
                  <c:v>-114.96821613609154</c:v>
                </c:pt>
                <c:pt idx="5">
                  <c:v>-320.64403188522857</c:v>
                </c:pt>
                <c:pt idx="6">
                  <c:v>-92.946390927200383</c:v>
                </c:pt>
                <c:pt idx="7">
                  <c:v>-336.86105092669612</c:v>
                </c:pt>
                <c:pt idx="8" formatCode="General">
                  <c:v>-225</c:v>
                </c:pt>
              </c:numCache>
            </c:numRef>
          </c:xVal>
          <c:yVal>
            <c:numRef>
              <c:f>'draw (3)'!$I$59:$I$67</c:f>
              <c:numCache>
                <c:formatCode>0\.0</c:formatCode>
                <c:ptCount val="9"/>
                <c:pt idx="0">
                  <c:v>542.46178293228536</c:v>
                </c:pt>
                <c:pt idx="1">
                  <c:v>557.31976968232732</c:v>
                </c:pt>
                <c:pt idx="2">
                  <c:v>698.71201815092058</c:v>
                </c:pt>
                <c:pt idx="3">
                  <c:v>719.88712817035935</c:v>
                </c:pt>
                <c:pt idx="4">
                  <c:v>625.93388054988918</c:v>
                </c:pt>
                <c:pt idx="5">
                  <c:v>643.66964536764704</c:v>
                </c:pt>
                <c:pt idx="6">
                  <c:v>828.19436711639605</c:v>
                </c:pt>
                <c:pt idx="7">
                  <c:v>853.79244201333017</c:v>
                </c:pt>
                <c:pt idx="8" formatCode="General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3E-144A-921A-26EF695F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50"/>
          <c:min val="-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 (==&gt; X</a:t>
                </a:r>
                <a:r>
                  <a:rPr lang="en-US" sz="1200" b="1" baseline="0"/>
                  <a:t> in G4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</c:valAx>
      <c:valAx>
        <c:axId val="1636927823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At val="-5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79105594695399917"/>
        </c:manualLayout>
      </c:layout>
      <c:scatterChart>
        <c:scatterStyle val="lineMarker"/>
        <c:varyColors val="0"/>
        <c:ser>
          <c:idx val="4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'draw (3)'!$J$23:$J$31</c:f>
              <c:numCache>
                <c:formatCode>0\.0</c:formatCode>
                <c:ptCount val="9"/>
                <c:pt idx="0">
                  <c:v>-193.42217543042864</c:v>
                </c:pt>
                <c:pt idx="1">
                  <c:v>-252.89052050240565</c:v>
                </c:pt>
                <c:pt idx="2">
                  <c:v>-175.07893074889358</c:v>
                </c:pt>
                <c:pt idx="3">
                  <c:v>-266.96786030612066</c:v>
                </c:pt>
                <c:pt idx="4">
                  <c:v>-191.24960052053271</c:v>
                </c:pt>
                <c:pt idx="5">
                  <c:v>-258.63306266475178</c:v>
                </c:pt>
                <c:pt idx="6">
                  <c:v>-169.91698952638717</c:v>
                </c:pt>
                <c:pt idx="7">
                  <c:v>-275.00286199128539</c:v>
                </c:pt>
                <c:pt idx="8" formatCode="General">
                  <c:v>-225</c:v>
                </c:pt>
              </c:numCache>
            </c:numRef>
          </c:xVal>
          <c:yVal>
            <c:numRef>
              <c:f>'draw (3)'!$H$23:$H$31</c:f>
              <c:numCache>
                <c:formatCode>0\.0</c:formatCode>
                <c:ptCount val="9"/>
                <c:pt idx="0">
                  <c:v>-1172.4495783737536</c:v>
                </c:pt>
                <c:pt idx="1">
                  <c:v>-1172.2520909363527</c:v>
                </c:pt>
                <c:pt idx="2">
                  <c:v>-1181.8242564755074</c:v>
                </c:pt>
                <c:pt idx="3">
                  <c:v>-1181.5959496876371</c:v>
                </c:pt>
                <c:pt idx="4">
                  <c:v>-1465.1805005080494</c:v>
                </c:pt>
                <c:pt idx="5">
                  <c:v>-1464.9567313381501</c:v>
                </c:pt>
                <c:pt idx="6">
                  <c:v>-1476.0835998021118</c:v>
                </c:pt>
                <c:pt idx="7">
                  <c:v>-1475.8225515725535</c:v>
                </c:pt>
                <c:pt idx="8" formatCode="General">
                  <c:v>-1320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C-B54B-853A-07516F0A4144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'draw (3)'!$J$35:$J$43</c:f>
              <c:numCache>
                <c:formatCode>0\.0</c:formatCode>
                <c:ptCount val="9"/>
                <c:pt idx="0">
                  <c:v>-173.99791719539584</c:v>
                </c:pt>
                <c:pt idx="1">
                  <c:v>-268.73977611502897</c:v>
                </c:pt>
                <c:pt idx="2">
                  <c:v>-156.25322282111975</c:v>
                </c:pt>
                <c:pt idx="3">
                  <c:v>-282.44892296237799</c:v>
                </c:pt>
                <c:pt idx="4">
                  <c:v>-168.35967878379483</c:v>
                </c:pt>
                <c:pt idx="5">
                  <c:v>-277.21056229588709</c:v>
                </c:pt>
                <c:pt idx="6">
                  <c:v>-145.88003596928525</c:v>
                </c:pt>
                <c:pt idx="7">
                  <c:v>-294.55577176469222</c:v>
                </c:pt>
                <c:pt idx="8" formatCode="General">
                  <c:v>-225</c:v>
                </c:pt>
              </c:numCache>
            </c:numRef>
          </c:xVal>
          <c:yVal>
            <c:numRef>
              <c:f>'draw (3)'!$H$35:$H$43</c:f>
              <c:numCache>
                <c:formatCode>0\.0</c:formatCode>
                <c:ptCount val="9"/>
                <c:pt idx="0">
                  <c:v>-1232.2036061345389</c:v>
                </c:pt>
                <c:pt idx="1">
                  <c:v>-1231.602806710971</c:v>
                </c:pt>
                <c:pt idx="2">
                  <c:v>-1224.0007309569346</c:v>
                </c:pt>
                <c:pt idx="3">
                  <c:v>-1223.0595412305374</c:v>
                </c:pt>
                <c:pt idx="4">
                  <c:v>-1546.9404525185505</c:v>
                </c:pt>
                <c:pt idx="5">
                  <c:v>-1546.2501954139127</c:v>
                </c:pt>
                <c:pt idx="6">
                  <c:v>-1536.5488509266347</c:v>
                </c:pt>
                <c:pt idx="7">
                  <c:v>-1535.4399086437675</c:v>
                </c:pt>
                <c:pt idx="8" formatCode="General">
                  <c:v>-1400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C-B54B-853A-07516F0A4144}"/>
            </c:ext>
          </c:extLst>
        </c:ser>
        <c:ser>
          <c:idx val="6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'draw (3)'!$J$47:$J$55</c:f>
              <c:numCache>
                <c:formatCode>0\.0</c:formatCode>
                <c:ptCount val="9"/>
                <c:pt idx="0">
                  <c:v>-153.52951645748522</c:v>
                </c:pt>
                <c:pt idx="1">
                  <c:v>-285.22433376674024</c:v>
                </c:pt>
                <c:pt idx="2">
                  <c:v>-136.20681696142816</c:v>
                </c:pt>
                <c:pt idx="3">
                  <c:v>-298.42687360448747</c:v>
                </c:pt>
                <c:pt idx="4">
                  <c:v>-142.72963641376307</c:v>
                </c:pt>
                <c:pt idx="5">
                  <c:v>-290.41259048940901</c:v>
                </c:pt>
                <c:pt idx="6">
                  <c:v>-120.90300029988538</c:v>
                </c:pt>
                <c:pt idx="7">
                  <c:v>-314.57762911836892</c:v>
                </c:pt>
                <c:pt idx="8" formatCode="General">
                  <c:v>-225</c:v>
                </c:pt>
              </c:numCache>
            </c:numRef>
          </c:xVal>
          <c:yVal>
            <c:numRef>
              <c:f>'draw (3)'!$H$47:$H$55</c:f>
              <c:numCache>
                <c:formatCode>0\.0</c:formatCode>
                <c:ptCount val="9"/>
                <c:pt idx="0">
                  <c:v>-1292.5451752991323</c:v>
                </c:pt>
                <c:pt idx="1">
                  <c:v>-1290.648981664091</c:v>
                </c:pt>
                <c:pt idx="2">
                  <c:v>-1263.6591765472615</c:v>
                </c:pt>
                <c:pt idx="3">
                  <c:v>-1260.7602788481322</c:v>
                </c:pt>
                <c:pt idx="4">
                  <c:v>-1620.094119915605</c:v>
                </c:pt>
                <c:pt idx="5">
                  <c:v>-1615.9504753023064</c:v>
                </c:pt>
                <c:pt idx="6">
                  <c:v>-1583.6957387025909</c:v>
                </c:pt>
                <c:pt idx="7">
                  <c:v>-1580.2342490872118</c:v>
                </c:pt>
                <c:pt idx="8" formatCode="General">
                  <c:v>-1440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C-B54B-853A-07516F0A4144}"/>
            </c:ext>
          </c:extLst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'draw (3)'!$J$59:$J$67</c:f>
              <c:numCache>
                <c:formatCode>0\.0</c:formatCode>
                <c:ptCount val="9"/>
                <c:pt idx="0">
                  <c:v>-131.20613346446632</c:v>
                </c:pt>
                <c:pt idx="1">
                  <c:v>-303.47263492662944</c:v>
                </c:pt>
                <c:pt idx="2">
                  <c:v>-114.19218536063889</c:v>
                </c:pt>
                <c:pt idx="3">
                  <c:v>-316.02142937580084</c:v>
                </c:pt>
                <c:pt idx="4">
                  <c:v>-114.96821613609154</c:v>
                </c:pt>
                <c:pt idx="5">
                  <c:v>-320.64403188522857</c:v>
                </c:pt>
                <c:pt idx="6">
                  <c:v>-92.946390927200383</c:v>
                </c:pt>
                <c:pt idx="7">
                  <c:v>-336.86105092669612</c:v>
                </c:pt>
                <c:pt idx="8" formatCode="General">
                  <c:v>-225</c:v>
                </c:pt>
              </c:numCache>
            </c:numRef>
          </c:xVal>
          <c:yVal>
            <c:numRef>
              <c:f>'draw (3)'!$H$59:$H$67</c:f>
              <c:numCache>
                <c:formatCode>0\.0</c:formatCode>
                <c:ptCount val="9"/>
                <c:pt idx="0">
                  <c:v>-1360.5891819754386</c:v>
                </c:pt>
                <c:pt idx="1">
                  <c:v>-1355.7303045312162</c:v>
                </c:pt>
                <c:pt idx="2">
                  <c:v>-1309.2098434059465</c:v>
                </c:pt>
                <c:pt idx="3">
                  <c:v>-1302.2783918194011</c:v>
                </c:pt>
                <c:pt idx="4">
                  <c:v>-1701.0486907857698</c:v>
                </c:pt>
                <c:pt idx="5">
                  <c:v>-1695.2487255071069</c:v>
                </c:pt>
                <c:pt idx="6">
                  <c:v>-1634.5399271193437</c:v>
                </c:pt>
                <c:pt idx="7">
                  <c:v>-1626.1606529945268</c:v>
                </c:pt>
                <c:pt idx="8" formatCode="General">
                  <c:v>-1500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C-B54B-853A-07516F0A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50"/>
          <c:min val="-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 (==&gt; X</a:t>
                </a:r>
                <a:r>
                  <a:rPr lang="en-US" sz="1200" b="1" baseline="0"/>
                  <a:t> in G4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</c:valAx>
      <c:valAx>
        <c:axId val="1636927823"/>
        <c:scaling>
          <c:orientation val="minMax"/>
          <c:max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  <a:r>
                  <a:rPr lang="en-US" sz="1200" b="1" baseline="0"/>
                  <a:t> (beamline)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At val="-5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83666987459900843"/>
        </c:manualLayout>
      </c:layout>
      <c:scatterChart>
        <c:scatterStyle val="lineMarker"/>
        <c:varyColors val="0"/>
        <c:ser>
          <c:idx val="1"/>
          <c:order val="0"/>
          <c:tx>
            <c:v>S3,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'draw (4)'!$B$27:$B$30</c:f>
              <c:numCache>
                <c:formatCode>0\.000</c:formatCode>
                <c:ptCount val="4"/>
                <c:pt idx="0">
                  <c:v>-1437.6883264531014</c:v>
                </c:pt>
                <c:pt idx="1">
                  <c:v>-1448.3370215622479</c:v>
                </c:pt>
                <c:pt idx="2">
                  <c:v>-1403.3813710380309</c:v>
                </c:pt>
                <c:pt idx="3">
                  <c:v>-1419.7371243142893</c:v>
                </c:pt>
              </c:numCache>
            </c:numRef>
          </c:xVal>
          <c:yVal>
            <c:numRef>
              <c:f>'draw (4)'!$C$27:$C$30</c:f>
              <c:numCache>
                <c:formatCode>0\.000</c:formatCode>
                <c:ptCount val="4"/>
                <c:pt idx="0">
                  <c:v>334.69855700421692</c:v>
                </c:pt>
                <c:pt idx="1">
                  <c:v>339.61018568128827</c:v>
                </c:pt>
                <c:pt idx="2">
                  <c:v>514.56327549164655</c:v>
                </c:pt>
                <c:pt idx="3">
                  <c:v>523.69562456323843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7941-94E0-503BC624D3F2}"/>
            </c:ext>
          </c:extLst>
        </c:ser>
        <c:ser>
          <c:idx val="2"/>
          <c:order val="1"/>
          <c:tx>
            <c:v>S4,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E00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'draw (4)'!$B$34:$B$37</c:f>
              <c:numCache>
                <c:formatCode>0\.000</c:formatCode>
                <c:ptCount val="4"/>
                <c:pt idx="0">
                  <c:v>-1168.4872983182468</c:v>
                </c:pt>
                <c:pt idx="1">
                  <c:v>-1182.8950498102092</c:v>
                </c:pt>
                <c:pt idx="2">
                  <c:v>-1122.5235010426918</c:v>
                </c:pt>
                <c:pt idx="3">
                  <c:v>-1140.9813050524235</c:v>
                </c:pt>
              </c:numCache>
            </c:numRef>
          </c:xVal>
          <c:yVal>
            <c:numRef>
              <c:f>'draw (4)'!$C$34:$C$37</c:f>
              <c:numCache>
                <c:formatCode>0\.000</c:formatCode>
                <c:ptCount val="4"/>
                <c:pt idx="0">
                  <c:v>467.47520963335489</c:v>
                </c:pt>
                <c:pt idx="1">
                  <c:v>475.5729599218194</c:v>
                </c:pt>
                <c:pt idx="2">
                  <c:v>616.95732392702962</c:v>
                </c:pt>
                <c:pt idx="3">
                  <c:v>630.30258580775876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8-7941-94E0-503BC624D3F2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'draw (4)'!$B$22:$B$26</c:f>
              <c:numCache>
                <c:formatCode>0\.000</c:formatCode>
                <c:ptCount val="5"/>
                <c:pt idx="0">
                  <c:v>-1158.9631551284999</c:v>
                </c:pt>
                <c:pt idx="1">
                  <c:v>-1150.309639677537</c:v>
                </c:pt>
                <c:pt idx="2">
                  <c:v>-1159.7075073555418</c:v>
                </c:pt>
                <c:pt idx="3">
                  <c:v>-1120.811749552998</c:v>
                </c:pt>
                <c:pt idx="4">
                  <c:v>-1135.1136259297482</c:v>
                </c:pt>
              </c:numCache>
            </c:numRef>
          </c:xVal>
          <c:yVal>
            <c:numRef>
              <c:f>'draw (4)'!$C$22:$C$26</c:f>
              <c:numCache>
                <c:formatCode>0\.000</c:formatCode>
                <c:ptCount val="5"/>
                <c:pt idx="0">
                  <c:v>305.84309374667555</c:v>
                </c:pt>
                <c:pt idx="1">
                  <c:v>299.60990911172388</c:v>
                </c:pt>
                <c:pt idx="2">
                  <c:v>303.94454828790288</c:v>
                </c:pt>
                <c:pt idx="3">
                  <c:v>454.26064359394456</c:v>
                </c:pt>
                <c:pt idx="4">
                  <c:v>462.24543239207651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8-7941-94E0-503BC624D3F2}"/>
            </c:ext>
          </c:extLst>
        </c:ser>
        <c:ser>
          <c:idx val="4"/>
          <c:order val="3"/>
          <c:tx>
            <c:v>S4,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rgbClr val="00B0F0"/>
                </a:solidFill>
              </a:ln>
              <a:effectLst/>
            </c:spPr>
          </c:marker>
          <c:xVal>
            <c:numRef>
              <c:f>'draw (4)'!$B$38:$B$41</c:f>
              <c:numCache>
                <c:formatCode>0\.000</c:formatCode>
                <c:ptCount val="4"/>
                <c:pt idx="0">
                  <c:v>-1470.7016115204842</c:v>
                </c:pt>
                <c:pt idx="1">
                  <c:v>-1487.2550473169922</c:v>
                </c:pt>
                <c:pt idx="2">
                  <c:v>-1412.4735131976854</c:v>
                </c:pt>
                <c:pt idx="3">
                  <c:v>-1434.2188409369292</c:v>
                </c:pt>
              </c:numCache>
            </c:numRef>
          </c:xVal>
          <c:yVal>
            <c:numRef>
              <c:f>'draw (4)'!$C$38:$C$41</c:f>
              <c:numCache>
                <c:formatCode>0\.000</c:formatCode>
                <c:ptCount val="4"/>
                <c:pt idx="0">
                  <c:v>531.96762448594063</c:v>
                </c:pt>
                <c:pt idx="1">
                  <c:v>541.27104699148913</c:v>
                </c:pt>
                <c:pt idx="2">
                  <c:v>721.33520596308244</c:v>
                </c:pt>
                <c:pt idx="3">
                  <c:v>737.05942312048023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8-7941-94E0-503BC624D3F2}"/>
            </c:ext>
          </c:extLst>
        </c:ser>
        <c:ser>
          <c:idx val="0"/>
          <c:order val="4"/>
          <c:tx>
            <c:v>S5,left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'draw (4)'!$B$45:$B$48</c:f>
              <c:numCache>
                <c:formatCode>0\.000</c:formatCode>
                <c:ptCount val="4"/>
                <c:pt idx="0">
                  <c:v>-1185.3760785462707</c:v>
                </c:pt>
                <c:pt idx="1">
                  <c:v>-1203.7771556763555</c:v>
                </c:pt>
                <c:pt idx="2">
                  <c:v>-1119.6361025493757</c:v>
                </c:pt>
                <c:pt idx="3">
                  <c:v>-1141.0783515190651</c:v>
                </c:pt>
              </c:numCache>
            </c:numRef>
          </c:xVal>
          <c:yVal>
            <c:numRef>
              <c:f>'draw (4)'!$C$45:$C$48</c:f>
              <c:numCache>
                <c:formatCode>0\.000</c:formatCode>
                <c:ptCount val="4"/>
                <c:pt idx="0">
                  <c:v>642.68942627421472</c:v>
                </c:pt>
                <c:pt idx="1">
                  <c:v>656.34448619172076</c:v>
                </c:pt>
                <c:pt idx="2">
                  <c:v>787.6091913406907</c:v>
                </c:pt>
                <c:pt idx="3">
                  <c:v>807.26535513579461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8-7941-94E0-503BC624D3F2}"/>
            </c:ext>
          </c:extLst>
        </c:ser>
        <c:ser>
          <c:idx val="5"/>
          <c:order val="5"/>
          <c:tx>
            <c:v>S5,right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'draw (4)'!$B$49:$B$52</c:f>
              <c:numCache>
                <c:formatCode>0\.000</c:formatCode>
                <c:ptCount val="4"/>
                <c:pt idx="0">
                  <c:v>-1489.2722693894218</c:v>
                </c:pt>
                <c:pt idx="1">
                  <c:v>-1460</c:v>
                </c:pt>
                <c:pt idx="2">
                  <c:v>-1406.4354976014572</c:v>
                </c:pt>
                <c:pt idx="3">
                  <c:v>-1432.0343391002261</c:v>
                </c:pt>
              </c:numCache>
            </c:numRef>
          </c:xVal>
          <c:yVal>
            <c:numRef>
              <c:f>'draw (4)'!$C$49:$C$52</c:f>
              <c:numCache>
                <c:formatCode>0\.000</c:formatCode>
                <c:ptCount val="4"/>
                <c:pt idx="0">
                  <c:v>752.00213686608856</c:v>
                </c:pt>
                <c:pt idx="1">
                  <c:v>740</c:v>
                </c:pt>
                <c:pt idx="2">
                  <c:v>934.6112258166188</c:v>
                </c:pt>
                <c:pt idx="3">
                  <c:v>958.08121892364909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C8-7941-94E0-503BC624D3F2}"/>
            </c:ext>
          </c:extLst>
        </c:ser>
        <c:ser>
          <c:idx val="6"/>
          <c:order val="6"/>
          <c:tx>
            <c:v>S6,left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CFF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'draw (4)'!$B$56:$B$59</c:f>
              <c:numCache>
                <c:formatCode>0\.000</c:formatCode>
                <c:ptCount val="4"/>
                <c:pt idx="0">
                  <c:v>-1205.7491547306286</c:v>
                </c:pt>
                <c:pt idx="1">
                  <c:v>-1226.8914917674151</c:v>
                </c:pt>
                <c:pt idx="2">
                  <c:v>-1118.4198528811057</c:v>
                </c:pt>
                <c:pt idx="3">
                  <c:v>-1141.1543169028487</c:v>
                </c:pt>
              </c:numCache>
            </c:numRef>
          </c:xVal>
          <c:yVal>
            <c:numRef>
              <c:f>'draw (4)'!$C$56:$C$59</c:f>
              <c:numCache>
                <c:formatCode>0\.000</c:formatCode>
                <c:ptCount val="4"/>
                <c:pt idx="0">
                  <c:v>835.0998824481685</c:v>
                </c:pt>
                <c:pt idx="1">
                  <c:v>855.22978839112625</c:v>
                </c:pt>
                <c:pt idx="2">
                  <c:v>975.29858274647984</c:v>
                </c:pt>
                <c:pt idx="3">
                  <c:v>1002.2793497273158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C8-7941-94E0-503BC624D3F2}"/>
            </c:ext>
          </c:extLst>
        </c:ser>
        <c:ser>
          <c:idx val="7"/>
          <c:order val="7"/>
          <c:tx>
            <c:v>S6,right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'draw (4)'!$B$60:$B$63</c:f>
              <c:numCache>
                <c:formatCode>0\.000</c:formatCode>
                <c:ptCount val="4"/>
                <c:pt idx="0">
                  <c:v>-1510.918377522614</c:v>
                </c:pt>
                <c:pt idx="1">
                  <c:v>-1536.163093667587</c:v>
                </c:pt>
                <c:pt idx="2">
                  <c:v>-1397.8740004153187</c:v>
                </c:pt>
                <c:pt idx="3">
                  <c:v>-1425.3449816094726</c:v>
                </c:pt>
              </c:numCache>
            </c:numRef>
          </c:xVal>
          <c:yVal>
            <c:numRef>
              <c:f>'draw (4)'!$C$60:$C$63</c:f>
              <c:numCache>
                <c:formatCode>0\.000</c:formatCode>
                <c:ptCount val="4"/>
                <c:pt idx="0">
                  <c:v>991.22150557242594</c:v>
                </c:pt>
                <c:pt idx="1">
                  <c:v>1015.2519958116166</c:v>
                </c:pt>
                <c:pt idx="2">
                  <c:v>1172.7039229202446</c:v>
                </c:pt>
                <c:pt idx="3">
                  <c:v>1205.3175080753099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C8-7941-94E0-503BC624D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1000"/>
          <c:min val="-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(beam axis)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  <c:majorUnit val="50"/>
        <c:minorUnit val="25"/>
      </c:valAx>
      <c:valAx>
        <c:axId val="1636927823"/>
        <c:scaling>
          <c:orientation val="minMax"/>
          <c:max val="130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7910559469539991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'draw (4)'!$D$45:$D$48</c:f>
              <c:numCache>
                <c:formatCode>0\.000</c:formatCode>
                <c:ptCount val="4"/>
                <c:pt idx="0">
                  <c:v>73.251056119330485</c:v>
                </c:pt>
                <c:pt idx="1">
                  <c:v>-56.772291567578776</c:v>
                </c:pt>
                <c:pt idx="2">
                  <c:v>85.294583842796555</c:v>
                </c:pt>
                <c:pt idx="3">
                  <c:v>-74.964373936064462</c:v>
                </c:pt>
              </c:numCache>
            </c:numRef>
          </c:xVal>
          <c:yVal>
            <c:numRef>
              <c:f>'draw (4)'!$C$45:$C$48</c:f>
              <c:numCache>
                <c:formatCode>0\.000</c:formatCode>
                <c:ptCount val="4"/>
                <c:pt idx="0">
                  <c:v>642.68942627421472</c:v>
                </c:pt>
                <c:pt idx="1">
                  <c:v>656.34448619172076</c:v>
                </c:pt>
                <c:pt idx="2">
                  <c:v>787.6091913406907</c:v>
                </c:pt>
                <c:pt idx="3">
                  <c:v>807.26535513579461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D-9C4D-B684-EA999FA59E11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'draw (4)'!$D$23:$D$26</c:f>
              <c:numCache>
                <c:formatCode>0\.000</c:formatCode>
                <c:ptCount val="4"/>
                <c:pt idx="0">
                  <c:v>13.110074722589573</c:v>
                </c:pt>
                <c:pt idx="1">
                  <c:v>-45.489105896715508</c:v>
                </c:pt>
                <c:pt idx="2">
                  <c:v>32.802540068948872</c:v>
                </c:pt>
                <c:pt idx="3">
                  <c:v>-57.730035232663688</c:v>
                </c:pt>
              </c:numCache>
            </c:numRef>
          </c:xVal>
          <c:yVal>
            <c:numRef>
              <c:f>'draw (4)'!$C$23:$C$26</c:f>
              <c:numCache>
                <c:formatCode>0\.000</c:formatCode>
                <c:ptCount val="4"/>
                <c:pt idx="0">
                  <c:v>299.60990911172388</c:v>
                </c:pt>
                <c:pt idx="1">
                  <c:v>303.94454828790288</c:v>
                </c:pt>
                <c:pt idx="2">
                  <c:v>454.26064359394456</c:v>
                </c:pt>
                <c:pt idx="3">
                  <c:v>462.24543239207651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D-9C4D-B684-EA999FA59E11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31750">
                <a:solidFill>
                  <a:srgbClr val="0070C0"/>
                </a:solidFill>
              </a:ln>
              <a:effectLst/>
            </c:spPr>
          </c:marker>
          <c:xVal>
            <c:numRef>
              <c:f>'draw (4)'!$D$34:$D$37</c:f>
              <c:numCache>
                <c:formatCode>0\.000</c:formatCode>
                <c:ptCount val="4"/>
                <c:pt idx="0">
                  <c:v>42.615412857880642</c:v>
                </c:pt>
                <c:pt idx="1">
                  <c:v>-50.791432066008845</c:v>
                </c:pt>
                <c:pt idx="2">
                  <c:v>58.666111126279581</c:v>
                </c:pt>
                <c:pt idx="3">
                  <c:v>-65.775828650463069</c:v>
                </c:pt>
              </c:numCache>
            </c:numRef>
          </c:xVal>
          <c:yVal>
            <c:numRef>
              <c:f>'draw (4)'!$C$34:$C$37</c:f>
              <c:numCache>
                <c:formatCode>0\.000</c:formatCode>
                <c:ptCount val="4"/>
                <c:pt idx="0">
                  <c:v>467.47520963335489</c:v>
                </c:pt>
                <c:pt idx="1">
                  <c:v>475.5729599218194</c:v>
                </c:pt>
                <c:pt idx="2">
                  <c:v>616.95732392702962</c:v>
                </c:pt>
                <c:pt idx="3">
                  <c:v>630.30258580775876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D-9C4D-B684-EA999FA59E11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34925">
                <a:solidFill>
                  <a:schemeClr val="accent3"/>
                </a:solidFill>
              </a:ln>
              <a:effectLst/>
            </c:spPr>
          </c:marker>
          <c:xVal>
            <c:numRef>
              <c:f>'draw (4)'!$D$56:$D$59</c:f>
              <c:numCache>
                <c:formatCode>0\.000</c:formatCode>
                <c:ptCount val="4"/>
                <c:pt idx="0">
                  <c:v>107.05101452481335</c:v>
                </c:pt>
                <c:pt idx="1">
                  <c:v>-63.442106913109896</c:v>
                </c:pt>
                <c:pt idx="2">
                  <c:v>114.88455401448549</c:v>
                </c:pt>
                <c:pt idx="3">
                  <c:v>-85.082084212828917</c:v>
                </c:pt>
              </c:numCache>
            </c:numRef>
          </c:xVal>
          <c:yVal>
            <c:numRef>
              <c:f>'draw (4)'!$C$56:$C$59</c:f>
              <c:numCache>
                <c:formatCode>0\.000</c:formatCode>
                <c:ptCount val="4"/>
                <c:pt idx="0">
                  <c:v>835.0998824481685</c:v>
                </c:pt>
                <c:pt idx="1">
                  <c:v>855.22978839112625</c:v>
                </c:pt>
                <c:pt idx="2">
                  <c:v>975.29858274647984</c:v>
                </c:pt>
                <c:pt idx="3">
                  <c:v>1002.2793497273158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D-9C4D-B684-EA999FA59E11}"/>
            </c:ext>
          </c:extLst>
        </c:ser>
        <c:ser>
          <c:idx val="4"/>
          <c:order val="4"/>
          <c:tx>
            <c:v>S3, 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'draw (4)'!$G$23:$G$26</c:f>
              <c:numCache>
                <c:formatCode>0\.0</c:formatCode>
                <c:ptCount val="4"/>
                <c:pt idx="0">
                  <c:v>-186.83826945333198</c:v>
                </c:pt>
                <c:pt idx="1">
                  <c:v>-246.1791194436268</c:v>
                </c:pt>
                <c:pt idx="2">
                  <c:v>-162.32272203916756</c:v>
                </c:pt>
                <c:pt idx="3">
                  <c:v>-253.96339886639754</c:v>
                </c:pt>
              </c:numCache>
            </c:numRef>
          </c:xVal>
          <c:yVal>
            <c:numRef>
              <c:f>'draw (4)'!$F$23:$F$26</c:f>
              <c:numCache>
                <c:formatCode>0\.0</c:formatCode>
                <c:ptCount val="4"/>
                <c:pt idx="0">
                  <c:v>34.194435961862212</c:v>
                </c:pt>
                <c:pt idx="1">
                  <c:v>49.317719761726117</c:v>
                </c:pt>
                <c:pt idx="2">
                  <c:v>187.05371262390236</c:v>
                </c:pt>
                <c:pt idx="3">
                  <c:v>211.72150857230369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1D-9C4D-B684-EA999FA59E11}"/>
            </c:ext>
          </c:extLst>
        </c:ser>
        <c:ser>
          <c:idx val="5"/>
          <c:order val="5"/>
          <c:tx>
            <c:v>S4, 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'draw (4)'!$G$34:$G$37</c:f>
              <c:numCache>
                <c:formatCode>0\.0</c:formatCode>
                <c:ptCount val="4"/>
                <c:pt idx="0">
                  <c:v>-160.93770099966136</c:v>
                </c:pt>
                <c:pt idx="1">
                  <c:v>-255.42736585597399</c:v>
                </c:pt>
                <c:pt idx="2">
                  <c:v>-137.14931926813011</c:v>
                </c:pt>
                <c:pt idx="3">
                  <c:v>-262.90587039016782</c:v>
                </c:pt>
              </c:numCache>
            </c:numRef>
          </c:xVal>
          <c:yVal>
            <c:numRef>
              <c:f>'draw (4)'!$F$34:$F$37</c:f>
              <c:numCache>
                <c:formatCode>0\.0</c:formatCode>
                <c:ptCount val="4"/>
                <c:pt idx="0">
                  <c:v>187.19397651989763</c:v>
                </c:pt>
                <c:pt idx="1">
                  <c:v>212.58513100476944</c:v>
                </c:pt>
                <c:pt idx="2">
                  <c:v>339.47162869466274</c:v>
                </c:pt>
                <c:pt idx="3">
                  <c:v>375.95389340904126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1D-9C4D-B684-EA999FA59E1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'draw (4)'!$G$45:$G$52</c:f>
              <c:numCache>
                <c:formatCode>0\.0</c:formatCode>
                <c:ptCount val="8"/>
                <c:pt idx="0">
                  <c:v>-133.700187906883</c:v>
                </c:pt>
                <c:pt idx="1">
                  <c:v>-264.94350229230099</c:v>
                </c:pt>
                <c:pt idx="2">
                  <c:v>-110.42400139946756</c:v>
                </c:pt>
                <c:pt idx="3">
                  <c:v>-271.97167296841315</c:v>
                </c:pt>
                <c:pt idx="4">
                  <c:v>-119.98281534167862</c:v>
                </c:pt>
                <c:pt idx="5">
                  <c:v>-288.3823447768591</c:v>
                </c:pt>
                <c:pt idx="6">
                  <c:v>-90.654368153202029</c:v>
                </c:pt>
                <c:pt idx="7">
                  <c:v>-283.52613409336516</c:v>
                </c:pt>
              </c:numCache>
            </c:numRef>
          </c:xVal>
          <c:yVal>
            <c:numRef>
              <c:f>'draw (4)'!$F$45:$F$52</c:f>
              <c:numCache>
                <c:formatCode>0\.0</c:formatCode>
                <c:ptCount val="8"/>
                <c:pt idx="0">
                  <c:v>347.38921025501617</c:v>
                </c:pt>
                <c:pt idx="1">
                  <c:v>385.42236887488428</c:v>
                </c:pt>
                <c:pt idx="2">
                  <c:v>500.49025552999069</c:v>
                </c:pt>
                <c:pt idx="3">
                  <c:v>550.3951903625557</c:v>
                </c:pt>
                <c:pt idx="4">
                  <c:v>371.62040953657265</c:v>
                </c:pt>
                <c:pt idx="5">
                  <c:v>405.43577124770826</c:v>
                </c:pt>
                <c:pt idx="6">
                  <c:v>564.53869594073421</c:v>
                </c:pt>
                <c:pt idx="7">
                  <c:v>624.12290904175472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1D-9C4D-B684-EA999FA59E11}"/>
            </c:ext>
          </c:extLst>
        </c:ser>
        <c:ser>
          <c:idx val="7"/>
          <c:order val="7"/>
          <c:tx>
            <c:v>S6, 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'draw (4)'!$G$56:$G$63</c:f>
              <c:numCache>
                <c:formatCode>0\.0</c:formatCode>
                <c:ptCount val="8"/>
                <c:pt idx="0">
                  <c:v>-103.95147437055658</c:v>
                </c:pt>
                <c:pt idx="1">
                  <c:v>-275.52575049593332</c:v>
                </c:pt>
                <c:pt idx="2">
                  <c:v>-81.072369824505216</c:v>
                </c:pt>
                <c:pt idx="3">
                  <c:v>-281.9488637421619</c:v>
                </c:pt>
                <c:pt idx="4">
                  <c:v>-82.97326457908008</c:v>
                </c:pt>
                <c:pt idx="5">
                  <c:v>-287.82274705268128</c:v>
                </c:pt>
                <c:pt idx="6">
                  <c:v>-53.359197012745341</c:v>
                </c:pt>
                <c:pt idx="7">
                  <c:v>-296.12215615566299</c:v>
                </c:pt>
              </c:numCache>
            </c:numRef>
          </c:xVal>
          <c:yVal>
            <c:numRef>
              <c:f>'draw (4)'!$F$56:$F$63</c:f>
              <c:numCache>
                <c:formatCode>0\.0</c:formatCode>
                <c:ptCount val="8"/>
                <c:pt idx="0">
                  <c:v>522.86705464917895</c:v>
                </c:pt>
                <c:pt idx="1">
                  <c:v>575.56724073048031</c:v>
                </c:pt>
                <c:pt idx="2">
                  <c:v>677.08344918032253</c:v>
                </c:pt>
                <c:pt idx="3">
                  <c:v>742.63557222440249</c:v>
                </c:pt>
                <c:pt idx="4">
                  <c:v>590.74237719315579</c:v>
                </c:pt>
                <c:pt idx="5">
                  <c:v>653.65940549325148</c:v>
                </c:pt>
                <c:pt idx="6">
                  <c:v>790.37059549167577</c:v>
                </c:pt>
                <c:pt idx="7">
                  <c:v>869.59925558529255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1D-9C4D-B684-EA999FA59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150"/>
          <c:min val="-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 (==&gt; X</a:t>
                </a:r>
                <a:r>
                  <a:rPr lang="en-US" sz="1200" b="1" baseline="0"/>
                  <a:t> in G4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</c:valAx>
      <c:valAx>
        <c:axId val="1636927823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7910559469539991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'draw (4)'!$D$45:$D$48</c:f>
              <c:numCache>
                <c:formatCode>0\.000</c:formatCode>
                <c:ptCount val="4"/>
                <c:pt idx="0">
                  <c:v>73.251056119330485</c:v>
                </c:pt>
                <c:pt idx="1">
                  <c:v>-56.772291567578776</c:v>
                </c:pt>
                <c:pt idx="2">
                  <c:v>85.294583842796555</c:v>
                </c:pt>
                <c:pt idx="3">
                  <c:v>-74.964373936064462</c:v>
                </c:pt>
              </c:numCache>
            </c:numRef>
          </c:xVal>
          <c:yVal>
            <c:numRef>
              <c:f>'draw (4)'!$C$45:$C$48</c:f>
              <c:numCache>
                <c:formatCode>0\.000</c:formatCode>
                <c:ptCount val="4"/>
                <c:pt idx="0">
                  <c:v>642.68942627421472</c:v>
                </c:pt>
                <c:pt idx="1">
                  <c:v>656.34448619172076</c:v>
                </c:pt>
                <c:pt idx="2">
                  <c:v>787.6091913406907</c:v>
                </c:pt>
                <c:pt idx="3">
                  <c:v>807.26535513579461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8-C748-BC70-21F8FF28245B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'draw (4)'!$D$23:$D$26</c:f>
              <c:numCache>
                <c:formatCode>0\.000</c:formatCode>
                <c:ptCount val="4"/>
                <c:pt idx="0">
                  <c:v>13.110074722589573</c:v>
                </c:pt>
                <c:pt idx="1">
                  <c:v>-45.489105896715508</c:v>
                </c:pt>
                <c:pt idx="2">
                  <c:v>32.802540068948872</c:v>
                </c:pt>
                <c:pt idx="3">
                  <c:v>-57.730035232663688</c:v>
                </c:pt>
              </c:numCache>
            </c:numRef>
          </c:xVal>
          <c:yVal>
            <c:numRef>
              <c:f>'draw (4)'!$C$23:$C$26</c:f>
              <c:numCache>
                <c:formatCode>0\.000</c:formatCode>
                <c:ptCount val="4"/>
                <c:pt idx="0">
                  <c:v>299.60990911172388</c:v>
                </c:pt>
                <c:pt idx="1">
                  <c:v>303.94454828790288</c:v>
                </c:pt>
                <c:pt idx="2">
                  <c:v>454.26064359394456</c:v>
                </c:pt>
                <c:pt idx="3">
                  <c:v>462.24543239207651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8-C748-BC70-21F8FF28245B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31750">
                <a:solidFill>
                  <a:srgbClr val="0070C0"/>
                </a:solidFill>
              </a:ln>
              <a:effectLst/>
            </c:spPr>
          </c:marker>
          <c:xVal>
            <c:numRef>
              <c:f>'draw (4)'!$D$34:$D$37</c:f>
              <c:numCache>
                <c:formatCode>0\.000</c:formatCode>
                <c:ptCount val="4"/>
                <c:pt idx="0">
                  <c:v>42.615412857880642</c:v>
                </c:pt>
                <c:pt idx="1">
                  <c:v>-50.791432066008845</c:v>
                </c:pt>
                <c:pt idx="2">
                  <c:v>58.666111126279581</c:v>
                </c:pt>
                <c:pt idx="3">
                  <c:v>-65.775828650463069</c:v>
                </c:pt>
              </c:numCache>
            </c:numRef>
          </c:xVal>
          <c:yVal>
            <c:numRef>
              <c:f>'draw (4)'!$C$34:$C$37</c:f>
              <c:numCache>
                <c:formatCode>0\.000</c:formatCode>
                <c:ptCount val="4"/>
                <c:pt idx="0">
                  <c:v>467.47520963335489</c:v>
                </c:pt>
                <c:pt idx="1">
                  <c:v>475.5729599218194</c:v>
                </c:pt>
                <c:pt idx="2">
                  <c:v>616.95732392702962</c:v>
                </c:pt>
                <c:pt idx="3">
                  <c:v>630.30258580775876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48-C748-BC70-21F8FF28245B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34925">
                <a:solidFill>
                  <a:schemeClr val="accent3"/>
                </a:solidFill>
              </a:ln>
              <a:effectLst/>
            </c:spPr>
          </c:marker>
          <c:xVal>
            <c:numRef>
              <c:f>'draw (4)'!$D$56:$D$59</c:f>
              <c:numCache>
                <c:formatCode>0\.000</c:formatCode>
                <c:ptCount val="4"/>
                <c:pt idx="0">
                  <c:v>107.05101452481335</c:v>
                </c:pt>
                <c:pt idx="1">
                  <c:v>-63.442106913109896</c:v>
                </c:pt>
                <c:pt idx="2">
                  <c:v>114.88455401448549</c:v>
                </c:pt>
                <c:pt idx="3">
                  <c:v>-85.082084212828917</c:v>
                </c:pt>
              </c:numCache>
            </c:numRef>
          </c:xVal>
          <c:yVal>
            <c:numRef>
              <c:f>'draw (4)'!$C$56:$C$59</c:f>
              <c:numCache>
                <c:formatCode>0\.000</c:formatCode>
                <c:ptCount val="4"/>
                <c:pt idx="0">
                  <c:v>835.0998824481685</c:v>
                </c:pt>
                <c:pt idx="1">
                  <c:v>855.22978839112625</c:v>
                </c:pt>
                <c:pt idx="2">
                  <c:v>975.29858274647984</c:v>
                </c:pt>
                <c:pt idx="3">
                  <c:v>1002.2793497273158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48-C748-BC70-21F8FF28245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'draw (4)'!$J$23:$J$26</c:f>
              <c:numCache>
                <c:formatCode>0\.0</c:formatCode>
                <c:ptCount val="4"/>
                <c:pt idx="0">
                  <c:v>255.90276932027851</c:v>
                </c:pt>
                <c:pt idx="1">
                  <c:v>200.71810366918155</c:v>
                </c:pt>
                <c:pt idx="2">
                  <c:v>262.5147262916941</c:v>
                </c:pt>
                <c:pt idx="3">
                  <c:v>177.15893582605185</c:v>
                </c:pt>
              </c:numCache>
            </c:numRef>
          </c:xVal>
          <c:yVal>
            <c:numRef>
              <c:f>'draw (4)'!$I$23:$I$26</c:f>
              <c:numCache>
                <c:formatCode>0\.0</c:formatCode>
                <c:ptCount val="4"/>
                <c:pt idx="0">
                  <c:v>494.80733405521619</c:v>
                </c:pt>
                <c:pt idx="1">
                  <c:v>500.70804291866818</c:v>
                </c:pt>
                <c:pt idx="2">
                  <c:v>641.98632151719403</c:v>
                </c:pt>
                <c:pt idx="3">
                  <c:v>652.33329820179983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48-C748-BC70-21F8FF28245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'draw (4)'!$J$34:$J$37</c:f>
              <c:numCache>
                <c:formatCode>0\.0</c:formatCode>
                <c:ptCount val="4"/>
                <c:pt idx="0">
                  <c:v>282.12163710880111</c:v>
                </c:pt>
                <c:pt idx="1">
                  <c:v>193.98428671419623</c:v>
                </c:pt>
                <c:pt idx="2">
                  <c:v>281.73931291959656</c:v>
                </c:pt>
                <c:pt idx="3">
                  <c:v>164.05453753824401</c:v>
                </c:pt>
              </c:numCache>
            </c:numRef>
          </c:xVal>
          <c:yVal>
            <c:numRef>
              <c:f>'draw (4)'!$I$34:$I$37</c:f>
              <c:numCache>
                <c:formatCode>0\.0</c:formatCode>
                <c:ptCount val="4"/>
                <c:pt idx="0">
                  <c:v>663.27890076785343</c:v>
                </c:pt>
                <c:pt idx="1">
                  <c:v>673.75550782474738</c:v>
                </c:pt>
                <c:pt idx="2">
                  <c:v>802.50851622536902</c:v>
                </c:pt>
                <c:pt idx="3">
                  <c:v>818.85619762151259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48-C748-BC70-21F8FF28245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'draw (4)'!$J$45:$J$52</c:f>
              <c:numCache>
                <c:formatCode>0\.0</c:formatCode>
                <c:ptCount val="8"/>
                <c:pt idx="0">
                  <c:v>308.86924471101906</c:v>
                </c:pt>
                <c:pt idx="1">
                  <c:v>185.72144419960347</c:v>
                </c:pt>
                <c:pt idx="2">
                  <c:v>300.37958261142109</c:v>
                </c:pt>
                <c:pt idx="3">
                  <c:v>148.21041314251187</c:v>
                </c:pt>
                <c:pt idx="4">
                  <c:v>437.70613539794448</c:v>
                </c:pt>
                <c:pt idx="5">
                  <c:v>260.04626295665065</c:v>
                </c:pt>
                <c:pt idx="6">
                  <c:v>427.00747919949629</c:v>
                </c:pt>
                <c:pt idx="7">
                  <c:v>245.33219253965908</c:v>
                </c:pt>
              </c:numCache>
            </c:numRef>
          </c:xVal>
          <c:yVal>
            <c:numRef>
              <c:f>'draw (4)'!$I$45:$I$52</c:f>
              <c:numCache>
                <c:formatCode>0\.0</c:formatCode>
                <c:ptCount val="8"/>
                <c:pt idx="0">
                  <c:v>838.76392566334653</c:v>
                </c:pt>
                <c:pt idx="1">
                  <c:v>855.40684804870057</c:v>
                </c:pt>
                <c:pt idx="2">
                  <c:v>970.06640683379123</c:v>
                </c:pt>
                <c:pt idx="3">
                  <c:v>993.14735679235457</c:v>
                </c:pt>
                <c:pt idx="4">
                  <c:v>999.1869502968384</c:v>
                </c:pt>
                <c:pt idx="5">
                  <c:v>982.28407662275231</c:v>
                </c:pt>
                <c:pt idx="6">
                  <c:v>1164.6373424010251</c:v>
                </c:pt>
                <c:pt idx="7">
                  <c:v>1192.1959657526174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48-C748-BC70-21F8FF28245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'draw (4)'!$J$56:$J$63</c:f>
              <c:numCache>
                <c:formatCode>0\.0</c:formatCode>
                <c:ptCount val="8"/>
                <c:pt idx="0">
                  <c:v>338.80022932442898</c:v>
                </c:pt>
                <c:pt idx="1">
                  <c:v>176.57425111796246</c:v>
                </c:pt>
                <c:pt idx="2">
                  <c:v>321.61013672350504</c:v>
                </c:pt>
                <c:pt idx="3">
                  <c:v>130.7511449167701</c:v>
                </c:pt>
                <c:pt idx="4">
                  <c:v>473.49327207743232</c:v>
                </c:pt>
                <c:pt idx="5">
                  <c:v>279.80603073722239</c:v>
                </c:pt>
                <c:pt idx="6">
                  <c:v>451.23932152000157</c:v>
                </c:pt>
                <c:pt idx="7">
                  <c:v>220.58084347122517</c:v>
                </c:pt>
              </c:numCache>
            </c:numRef>
          </c:xVal>
          <c:yVal>
            <c:numRef>
              <c:f>'draw (4)'!$I$56:$I$63</c:f>
              <c:numCache>
                <c:formatCode>0\.0</c:formatCode>
                <c:ptCount val="8"/>
                <c:pt idx="0">
                  <c:v>1031.7889822169552</c:v>
                </c:pt>
                <c:pt idx="1">
                  <c:v>1055.2843979550446</c:v>
                </c:pt>
                <c:pt idx="2">
                  <c:v>1154.6931751098721</c:v>
                </c:pt>
                <c:pt idx="3">
                  <c:v>1185.2118418624252</c:v>
                </c:pt>
                <c:pt idx="4">
                  <c:v>1238.5308465004355</c:v>
                </c:pt>
                <c:pt idx="5">
                  <c:v>1266.5799585509683</c:v>
                </c:pt>
                <c:pt idx="6">
                  <c:v>1397.6261880597895</c:v>
                </c:pt>
                <c:pt idx="7">
                  <c:v>1434.5145853971089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48-C748-BC70-21F8FF28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4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 (==&gt; X</a:t>
                </a:r>
                <a:r>
                  <a:rPr lang="en-US" sz="1200" b="1" baseline="0"/>
                  <a:t> in G4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</c:valAx>
      <c:valAx>
        <c:axId val="1636927823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At val="-15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83666987459900843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'draw (4)'!$E$27:$E$30</c:f>
              <c:numCache>
                <c:formatCode>0\.0</c:formatCode>
                <c:ptCount val="4"/>
                <c:pt idx="0">
                  <c:v>-1466.0302335816682</c:v>
                </c:pt>
                <c:pt idx="1">
                  <c:v>-1466.1187630673744</c:v>
                </c:pt>
                <c:pt idx="2">
                  <c:v>-1477.4460960412059</c:v>
                </c:pt>
                <c:pt idx="3">
                  <c:v>-1477.677048439856</c:v>
                </c:pt>
              </c:numCache>
            </c:numRef>
          </c:xVal>
          <c:yVal>
            <c:numRef>
              <c:f>'draw (4)'!$F$27:$F$30</c:f>
              <c:numCache>
                <c:formatCode>0\.0</c:formatCode>
                <c:ptCount val="4"/>
                <c:pt idx="0">
                  <c:v>-7.015275991602552</c:v>
                </c:pt>
                <c:pt idx="1">
                  <c:v>10.120944769398781</c:v>
                </c:pt>
                <c:pt idx="2">
                  <c:v>170.7661405721496</c:v>
                </c:pt>
                <c:pt idx="3">
                  <c:v>198.97749178194329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8-7644-B642-9F0759575D0E}"/>
            </c:ext>
          </c:extLst>
        </c:ser>
        <c:ser>
          <c:idx val="2"/>
          <c:order val="1"/>
          <c:tx>
            <c:v>S4,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E00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'draw (4)'!$B$34:$B$37</c:f>
              <c:numCache>
                <c:formatCode>0\.000</c:formatCode>
                <c:ptCount val="4"/>
                <c:pt idx="0">
                  <c:v>-1168.4872983182468</c:v>
                </c:pt>
                <c:pt idx="1">
                  <c:v>-1182.8950498102092</c:v>
                </c:pt>
                <c:pt idx="2">
                  <c:v>-1122.5235010426918</c:v>
                </c:pt>
                <c:pt idx="3">
                  <c:v>-1140.9813050524235</c:v>
                </c:pt>
              </c:numCache>
            </c:numRef>
          </c:xVal>
          <c:yVal>
            <c:numRef>
              <c:f>'draw (4)'!$C$34:$C$37</c:f>
              <c:numCache>
                <c:formatCode>0\.000</c:formatCode>
                <c:ptCount val="4"/>
                <c:pt idx="0">
                  <c:v>467.47520963335489</c:v>
                </c:pt>
                <c:pt idx="1">
                  <c:v>475.5729599218194</c:v>
                </c:pt>
                <c:pt idx="2">
                  <c:v>616.95732392702962</c:v>
                </c:pt>
                <c:pt idx="3">
                  <c:v>630.30258580775876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8-7644-B642-9F0759575D0E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'draw (4)'!$E$23:$E$26</c:f>
              <c:numCache>
                <c:formatCode>0\.0</c:formatCode>
                <c:ptCount val="4"/>
                <c:pt idx="0">
                  <c:v>-1173.4151512390988</c:v>
                </c:pt>
                <c:pt idx="1">
                  <c:v>-1173.4932785007377</c:v>
                </c:pt>
                <c:pt idx="2">
                  <c:v>-1183.2307069585681</c:v>
                </c:pt>
                <c:pt idx="3">
                  <c:v>-1183.4326117961277</c:v>
                </c:pt>
              </c:numCache>
            </c:numRef>
          </c:xVal>
          <c:yVal>
            <c:numRef>
              <c:f>'draw (4)'!$F$23:$F$26</c:f>
              <c:numCache>
                <c:formatCode>0\.0</c:formatCode>
                <c:ptCount val="4"/>
                <c:pt idx="0">
                  <c:v>34.194435961862212</c:v>
                </c:pt>
                <c:pt idx="1">
                  <c:v>49.317719761726117</c:v>
                </c:pt>
                <c:pt idx="2">
                  <c:v>187.05371262390236</c:v>
                </c:pt>
                <c:pt idx="3">
                  <c:v>211.72150857230369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8-7644-B642-9F0759575D0E}"/>
            </c:ext>
          </c:extLst>
        </c:ser>
        <c:ser>
          <c:idx val="4"/>
          <c:order val="3"/>
          <c:tx>
            <c:v>S4,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rgbClr val="00B0F0"/>
                </a:solidFill>
              </a:ln>
              <a:effectLst/>
            </c:spPr>
          </c:marker>
          <c:xVal>
            <c:numRef>
              <c:f>'draw (4)'!$B$38:$B$41</c:f>
              <c:numCache>
                <c:formatCode>0\.000</c:formatCode>
                <c:ptCount val="4"/>
                <c:pt idx="0">
                  <c:v>-1470.7016115204842</c:v>
                </c:pt>
                <c:pt idx="1">
                  <c:v>-1487.2550473169922</c:v>
                </c:pt>
                <c:pt idx="2">
                  <c:v>-1412.4735131976854</c:v>
                </c:pt>
                <c:pt idx="3">
                  <c:v>-1434.2188409369292</c:v>
                </c:pt>
              </c:numCache>
            </c:numRef>
          </c:xVal>
          <c:yVal>
            <c:numRef>
              <c:f>'draw (4)'!$C$38:$C$41</c:f>
              <c:numCache>
                <c:formatCode>0\.000</c:formatCode>
                <c:ptCount val="4"/>
                <c:pt idx="0">
                  <c:v>531.96762448594063</c:v>
                </c:pt>
                <c:pt idx="1">
                  <c:v>541.27104699148913</c:v>
                </c:pt>
                <c:pt idx="2">
                  <c:v>721.33520596308244</c:v>
                </c:pt>
                <c:pt idx="3">
                  <c:v>737.05942312048023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8-7644-B642-9F0759575D0E}"/>
            </c:ext>
          </c:extLst>
        </c:ser>
        <c:ser>
          <c:idx val="0"/>
          <c:order val="4"/>
          <c:tx>
            <c:v>S5,left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'draw (4)'!$B$45:$B$48</c:f>
              <c:numCache>
                <c:formatCode>0\.000</c:formatCode>
                <c:ptCount val="4"/>
                <c:pt idx="0">
                  <c:v>-1185.3760785462707</c:v>
                </c:pt>
                <c:pt idx="1">
                  <c:v>-1203.7771556763555</c:v>
                </c:pt>
                <c:pt idx="2">
                  <c:v>-1119.6361025493757</c:v>
                </c:pt>
                <c:pt idx="3">
                  <c:v>-1141.0783515190651</c:v>
                </c:pt>
              </c:numCache>
            </c:numRef>
          </c:xVal>
          <c:yVal>
            <c:numRef>
              <c:f>'draw (4)'!$C$45:$C$48</c:f>
              <c:numCache>
                <c:formatCode>0\.000</c:formatCode>
                <c:ptCount val="4"/>
                <c:pt idx="0">
                  <c:v>642.68942627421472</c:v>
                </c:pt>
                <c:pt idx="1">
                  <c:v>656.34448619172076</c:v>
                </c:pt>
                <c:pt idx="2">
                  <c:v>787.6091913406907</c:v>
                </c:pt>
                <c:pt idx="3">
                  <c:v>807.26535513579461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8-7644-B642-9F0759575D0E}"/>
            </c:ext>
          </c:extLst>
        </c:ser>
        <c:ser>
          <c:idx val="5"/>
          <c:order val="5"/>
          <c:tx>
            <c:v>S5,right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'draw (4)'!$B$49:$B$52</c:f>
              <c:numCache>
                <c:formatCode>0\.000</c:formatCode>
                <c:ptCount val="4"/>
                <c:pt idx="0">
                  <c:v>-1489.2722693894218</c:v>
                </c:pt>
                <c:pt idx="1">
                  <c:v>-1460</c:v>
                </c:pt>
                <c:pt idx="2">
                  <c:v>-1406.4354976014572</c:v>
                </c:pt>
                <c:pt idx="3">
                  <c:v>-1432.0343391002261</c:v>
                </c:pt>
              </c:numCache>
            </c:numRef>
          </c:xVal>
          <c:yVal>
            <c:numRef>
              <c:f>'draw (4)'!$C$49:$C$52</c:f>
              <c:numCache>
                <c:formatCode>0\.000</c:formatCode>
                <c:ptCount val="4"/>
                <c:pt idx="0">
                  <c:v>752.00213686608856</c:v>
                </c:pt>
                <c:pt idx="1">
                  <c:v>740</c:v>
                </c:pt>
                <c:pt idx="2">
                  <c:v>934.6112258166188</c:v>
                </c:pt>
                <c:pt idx="3">
                  <c:v>958.08121892364909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8-7644-B642-9F0759575D0E}"/>
            </c:ext>
          </c:extLst>
        </c:ser>
        <c:ser>
          <c:idx val="6"/>
          <c:order val="6"/>
          <c:tx>
            <c:v>S6,left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CFF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'draw (4)'!$B$56:$B$59</c:f>
              <c:numCache>
                <c:formatCode>0\.000</c:formatCode>
                <c:ptCount val="4"/>
                <c:pt idx="0">
                  <c:v>-1205.7491547306286</c:v>
                </c:pt>
                <c:pt idx="1">
                  <c:v>-1226.8914917674151</c:v>
                </c:pt>
                <c:pt idx="2">
                  <c:v>-1118.4198528811057</c:v>
                </c:pt>
                <c:pt idx="3">
                  <c:v>-1141.1543169028487</c:v>
                </c:pt>
              </c:numCache>
            </c:numRef>
          </c:xVal>
          <c:yVal>
            <c:numRef>
              <c:f>'draw (4)'!$C$56:$C$59</c:f>
              <c:numCache>
                <c:formatCode>0\.000</c:formatCode>
                <c:ptCount val="4"/>
                <c:pt idx="0">
                  <c:v>835.0998824481685</c:v>
                </c:pt>
                <c:pt idx="1">
                  <c:v>855.22978839112625</c:v>
                </c:pt>
                <c:pt idx="2">
                  <c:v>975.29858274647984</c:v>
                </c:pt>
                <c:pt idx="3">
                  <c:v>1002.2793497273158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58-7644-B642-9F0759575D0E}"/>
            </c:ext>
          </c:extLst>
        </c:ser>
        <c:ser>
          <c:idx val="7"/>
          <c:order val="7"/>
          <c:tx>
            <c:v>S6,right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'draw (4)'!$B$60:$B$63</c:f>
              <c:numCache>
                <c:formatCode>0\.000</c:formatCode>
                <c:ptCount val="4"/>
                <c:pt idx="0">
                  <c:v>-1510.918377522614</c:v>
                </c:pt>
                <c:pt idx="1">
                  <c:v>-1536.163093667587</c:v>
                </c:pt>
                <c:pt idx="2">
                  <c:v>-1397.8740004153187</c:v>
                </c:pt>
                <c:pt idx="3">
                  <c:v>-1425.3449816094726</c:v>
                </c:pt>
              </c:numCache>
            </c:numRef>
          </c:xVal>
          <c:yVal>
            <c:numRef>
              <c:f>'draw (4)'!$C$60:$C$63</c:f>
              <c:numCache>
                <c:formatCode>0\.000</c:formatCode>
                <c:ptCount val="4"/>
                <c:pt idx="0">
                  <c:v>991.22150557242594</c:v>
                </c:pt>
                <c:pt idx="1">
                  <c:v>1015.2519958116166</c:v>
                </c:pt>
                <c:pt idx="2">
                  <c:v>1172.7039229202446</c:v>
                </c:pt>
                <c:pt idx="3">
                  <c:v>1205.3175080753099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58-7644-B642-9F075957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1000"/>
          <c:min val="-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(beam axis)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  <c:majorUnit val="50"/>
        <c:minorUnit val="25"/>
      </c:valAx>
      <c:valAx>
        <c:axId val="1636927823"/>
        <c:scaling>
          <c:orientation val="minMax"/>
          <c:max val="130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8366698745990084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draw!$C$2:$C$17</c:f>
              <c:numCache>
                <c:formatCode>0.00</c:formatCode>
                <c:ptCount val="16"/>
                <c:pt idx="0">
                  <c:v>-1466.673</c:v>
                </c:pt>
                <c:pt idx="1">
                  <c:v>-1466.3409999999999</c:v>
                </c:pt>
                <c:pt idx="2">
                  <c:v>-1465.539</c:v>
                </c:pt>
                <c:pt idx="4">
                  <c:v>-1489.078</c:v>
                </c:pt>
                <c:pt idx="5">
                  <c:v>-1488.6379999999999</c:v>
                </c:pt>
                <c:pt idx="6">
                  <c:v>-1487.9680000000001</c:v>
                </c:pt>
                <c:pt idx="8">
                  <c:v>-1495.181</c:v>
                </c:pt>
                <c:pt idx="9">
                  <c:v>-1494.6189999999999</c:v>
                </c:pt>
                <c:pt idx="10">
                  <c:v>-1494.1130000000001</c:v>
                </c:pt>
                <c:pt idx="13">
                  <c:v>-1499.279</c:v>
                </c:pt>
                <c:pt idx="14">
                  <c:v>-1498.598</c:v>
                </c:pt>
                <c:pt idx="15">
                  <c:v>-1498.271</c:v>
                </c:pt>
              </c:numCache>
            </c:numRef>
          </c:xVal>
          <c:yVal>
            <c:numRef>
              <c:f>draw!$D$2:$D$17</c:f>
              <c:numCache>
                <c:formatCode>0.00</c:formatCode>
                <c:ptCount val="16"/>
                <c:pt idx="0">
                  <c:v>435.53</c:v>
                </c:pt>
                <c:pt idx="1">
                  <c:v>436.46499999999997</c:v>
                </c:pt>
                <c:pt idx="2">
                  <c:v>435.31599999999997</c:v>
                </c:pt>
                <c:pt idx="4">
                  <c:v>645.88599999999997</c:v>
                </c:pt>
                <c:pt idx="5">
                  <c:v>646.79999999999995</c:v>
                </c:pt>
                <c:pt idx="6">
                  <c:v>645.56600000000003</c:v>
                </c:pt>
                <c:pt idx="8">
                  <c:v>871.84</c:v>
                </c:pt>
                <c:pt idx="9">
                  <c:v>872.71199999999999</c:v>
                </c:pt>
                <c:pt idx="10">
                  <c:v>871.399</c:v>
                </c:pt>
                <c:pt idx="13">
                  <c:v>1120.9459999999999</c:v>
                </c:pt>
                <c:pt idx="14">
                  <c:v>1121.759</c:v>
                </c:pt>
                <c:pt idx="15">
                  <c:v>1120.3879999999999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D-FB4E-84CA-53AF89E4A03F}"/>
            </c:ext>
          </c:extLst>
        </c:ser>
        <c:ser>
          <c:idx val="1"/>
          <c:order val="1"/>
          <c:tx>
            <c:v>S3,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draw!$D$27:$D$30</c:f>
              <c:numCache>
                <c:formatCode>0\.000</c:formatCode>
                <c:ptCount val="4"/>
                <c:pt idx="0">
                  <c:v>5.7851771451764407</c:v>
                </c:pt>
                <c:pt idx="1">
                  <c:v>9.0349790662035403</c:v>
                </c:pt>
                <c:pt idx="2">
                  <c:v>6.766476583368366</c:v>
                </c:pt>
                <c:pt idx="3">
                  <c:v>10.026274678545136</c:v>
                </c:pt>
              </c:numCache>
            </c:numRef>
          </c:xVal>
          <c:yVal>
            <c:numRef>
              <c:f>draw!$C$27:$C$30</c:f>
              <c:numCache>
                <c:formatCode>0\.000</c:formatCode>
                <c:ptCount val="4"/>
                <c:pt idx="0">
                  <c:v>300.15173900874629</c:v>
                </c:pt>
                <c:pt idx="1">
                  <c:v>302.34928723250277</c:v>
                </c:pt>
                <c:pt idx="2">
                  <c:v>309.8459267078066</c:v>
                </c:pt>
                <c:pt idx="3">
                  <c:v>312.14224565559346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D-FB4E-84CA-53AF89E4A03F}"/>
            </c:ext>
          </c:extLst>
        </c:ser>
        <c:ser>
          <c:idx val="2"/>
          <c:order val="2"/>
          <c:tx>
            <c:strRef>
              <c:f>draw!$A$32</c:f>
              <c:strCache>
                <c:ptCount val="1"/>
                <c:pt idx="0">
                  <c:v>SUMO4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draw!$D$33:$D$41</c:f>
              <c:numCache>
                <c:formatCode>0\.000</c:formatCode>
                <c:ptCount val="9"/>
                <c:pt idx="0">
                  <c:v>41.05180873908693</c:v>
                </c:pt>
                <c:pt idx="1">
                  <c:v>42.615412857880642</c:v>
                </c:pt>
                <c:pt idx="2">
                  <c:v>46.378291652899151</c:v>
                </c:pt>
                <c:pt idx="3">
                  <c:v>43.618581499655576</c:v>
                </c:pt>
                <c:pt idx="4">
                  <c:v>47.39819055084908</c:v>
                </c:pt>
                <c:pt idx="5">
                  <c:v>34.831509114223181</c:v>
                </c:pt>
                <c:pt idx="6">
                  <c:v>38.521938893776124</c:v>
                </c:pt>
                <c:pt idx="7">
                  <c:v>35.673036636972846</c:v>
                </c:pt>
                <c:pt idx="8">
                  <c:v>39.377508706438881</c:v>
                </c:pt>
              </c:numCache>
            </c:numRef>
          </c:xVal>
          <c:yVal>
            <c:numRef>
              <c:f>draw!$D$33:$D$41</c:f>
              <c:numCache>
                <c:formatCode>0\.000</c:formatCode>
                <c:ptCount val="9"/>
                <c:pt idx="0">
                  <c:v>41.05180873908693</c:v>
                </c:pt>
                <c:pt idx="1">
                  <c:v>42.615412857880642</c:v>
                </c:pt>
                <c:pt idx="2">
                  <c:v>46.378291652899151</c:v>
                </c:pt>
                <c:pt idx="3">
                  <c:v>43.618581499655576</c:v>
                </c:pt>
                <c:pt idx="4">
                  <c:v>47.39819055084908</c:v>
                </c:pt>
                <c:pt idx="5">
                  <c:v>34.831509114223181</c:v>
                </c:pt>
                <c:pt idx="6">
                  <c:v>38.521938893776124</c:v>
                </c:pt>
                <c:pt idx="7">
                  <c:v>35.673036636972846</c:v>
                </c:pt>
                <c:pt idx="8">
                  <c:v>39.377508706438881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3D-FB4E-84CA-53AF89E4A03F}"/>
            </c:ext>
          </c:extLst>
        </c:ser>
        <c:ser>
          <c:idx val="3"/>
          <c:order val="3"/>
          <c:tx>
            <c:v>S3,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draw!$D$23:$D$26</c:f>
              <c:numCache>
                <c:formatCode>0\.000</c:formatCode>
                <c:ptCount val="4"/>
                <c:pt idx="0">
                  <c:v>13.110074722589573</c:v>
                </c:pt>
                <c:pt idx="1">
                  <c:v>16.42080970950494</c:v>
                </c:pt>
                <c:pt idx="2">
                  <c:v>14.34085380673703</c:v>
                </c:pt>
                <c:pt idx="3">
                  <c:v>17.664125350980537</c:v>
                </c:pt>
              </c:numCache>
            </c:numRef>
          </c:xVal>
          <c:yVal>
            <c:numRef>
              <c:f>draw!$C$23:$C$26</c:f>
              <c:numCache>
                <c:formatCode>0\.000</c:formatCode>
                <c:ptCount val="4"/>
                <c:pt idx="0">
                  <c:v>299.60990911172388</c:v>
                </c:pt>
                <c:pt idx="1">
                  <c:v>301.8029496050047</c:v>
                </c:pt>
                <c:pt idx="2">
                  <c:v>309.2755800168627</c:v>
                </c:pt>
                <c:pt idx="3">
                  <c:v>311.56711263516388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3D-FB4E-84CA-53AF89E4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 (==&gt; X</a:t>
                </a:r>
                <a:r>
                  <a:rPr lang="en-US" sz="1200" b="1" baseline="0"/>
                  <a:t> in G4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</c:valAx>
      <c:valAx>
        <c:axId val="1636927823"/>
        <c:scaling>
          <c:orientation val="minMax"/>
          <c:max val="32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7750453252167007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draw!$C$2:$C$17</c:f>
              <c:numCache>
                <c:formatCode>0.00</c:formatCode>
                <c:ptCount val="16"/>
                <c:pt idx="0">
                  <c:v>-1466.673</c:v>
                </c:pt>
                <c:pt idx="1">
                  <c:v>-1466.3409999999999</c:v>
                </c:pt>
                <c:pt idx="2">
                  <c:v>-1465.539</c:v>
                </c:pt>
                <c:pt idx="4">
                  <c:v>-1489.078</c:v>
                </c:pt>
                <c:pt idx="5">
                  <c:v>-1488.6379999999999</c:v>
                </c:pt>
                <c:pt idx="6">
                  <c:v>-1487.9680000000001</c:v>
                </c:pt>
                <c:pt idx="8">
                  <c:v>-1495.181</c:v>
                </c:pt>
                <c:pt idx="9">
                  <c:v>-1494.6189999999999</c:v>
                </c:pt>
                <c:pt idx="10">
                  <c:v>-1494.1130000000001</c:v>
                </c:pt>
                <c:pt idx="13">
                  <c:v>-1499.279</c:v>
                </c:pt>
                <c:pt idx="14">
                  <c:v>-1498.598</c:v>
                </c:pt>
                <c:pt idx="15">
                  <c:v>-1498.271</c:v>
                </c:pt>
              </c:numCache>
            </c:numRef>
          </c:xVal>
          <c:yVal>
            <c:numRef>
              <c:f>draw!$D$2:$D$17</c:f>
              <c:numCache>
                <c:formatCode>0.00</c:formatCode>
                <c:ptCount val="16"/>
                <c:pt idx="0">
                  <c:v>435.53</c:v>
                </c:pt>
                <c:pt idx="1">
                  <c:v>436.46499999999997</c:v>
                </c:pt>
                <c:pt idx="2">
                  <c:v>435.31599999999997</c:v>
                </c:pt>
                <c:pt idx="4">
                  <c:v>645.88599999999997</c:v>
                </c:pt>
                <c:pt idx="5">
                  <c:v>646.79999999999995</c:v>
                </c:pt>
                <c:pt idx="6">
                  <c:v>645.56600000000003</c:v>
                </c:pt>
                <c:pt idx="8">
                  <c:v>871.84</c:v>
                </c:pt>
                <c:pt idx="9">
                  <c:v>872.71199999999999</c:v>
                </c:pt>
                <c:pt idx="10">
                  <c:v>871.399</c:v>
                </c:pt>
                <c:pt idx="13">
                  <c:v>1120.9459999999999</c:v>
                </c:pt>
                <c:pt idx="14">
                  <c:v>1121.759</c:v>
                </c:pt>
                <c:pt idx="15">
                  <c:v>1120.3879999999999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1-534C-9936-73D51C7C9E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draw!$B$27:$B$30</c:f>
              <c:numCache>
                <c:formatCode>0\.000</c:formatCode>
                <c:ptCount val="4"/>
                <c:pt idx="0">
                  <c:v>-1151.4843731372875</c:v>
                </c:pt>
                <c:pt idx="1">
                  <c:v>-1169.4553131500661</c:v>
                </c:pt>
                <c:pt idx="2">
                  <c:v>-1149.6790675724628</c:v>
                </c:pt>
                <c:pt idx="3">
                  <c:v>-1167.6316142879484</c:v>
                </c:pt>
              </c:numCache>
            </c:numRef>
          </c:xVal>
          <c:yVal>
            <c:numRef>
              <c:f>draw!$D$27:$D$30</c:f>
              <c:numCache>
                <c:formatCode>0\.000</c:formatCode>
                <c:ptCount val="4"/>
                <c:pt idx="0">
                  <c:v>5.7851771451764407</c:v>
                </c:pt>
                <c:pt idx="1">
                  <c:v>9.0349790662035403</c:v>
                </c:pt>
                <c:pt idx="2">
                  <c:v>6.766476583368366</c:v>
                </c:pt>
                <c:pt idx="3">
                  <c:v>10.026274678545136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1-534C-9936-73D51C7C9E8C}"/>
            </c:ext>
          </c:extLst>
        </c:ser>
        <c:ser>
          <c:idx val="2"/>
          <c:order val="2"/>
          <c:tx>
            <c:strRef>
              <c:f>draw!$A$32</c:f>
              <c:strCache>
                <c:ptCount val="1"/>
                <c:pt idx="0">
                  <c:v>SUMO4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draw!$D$33:$D$41</c:f>
              <c:numCache>
                <c:formatCode>0\.000</c:formatCode>
                <c:ptCount val="9"/>
                <c:pt idx="0">
                  <c:v>41.05180873908693</c:v>
                </c:pt>
                <c:pt idx="1">
                  <c:v>42.615412857880642</c:v>
                </c:pt>
                <c:pt idx="2">
                  <c:v>46.378291652899151</c:v>
                </c:pt>
                <c:pt idx="3">
                  <c:v>43.618581499655576</c:v>
                </c:pt>
                <c:pt idx="4">
                  <c:v>47.39819055084908</c:v>
                </c:pt>
                <c:pt idx="5">
                  <c:v>34.831509114223181</c:v>
                </c:pt>
                <c:pt idx="6">
                  <c:v>38.521938893776124</c:v>
                </c:pt>
                <c:pt idx="7">
                  <c:v>35.673036636972846</c:v>
                </c:pt>
                <c:pt idx="8">
                  <c:v>39.377508706438881</c:v>
                </c:pt>
              </c:numCache>
            </c:numRef>
          </c:xVal>
          <c:yVal>
            <c:numRef>
              <c:f>draw!$D$33:$D$41</c:f>
              <c:numCache>
                <c:formatCode>0\.000</c:formatCode>
                <c:ptCount val="9"/>
                <c:pt idx="0">
                  <c:v>41.05180873908693</c:v>
                </c:pt>
                <c:pt idx="1">
                  <c:v>42.615412857880642</c:v>
                </c:pt>
                <c:pt idx="2">
                  <c:v>46.378291652899151</c:v>
                </c:pt>
                <c:pt idx="3">
                  <c:v>43.618581499655576</c:v>
                </c:pt>
                <c:pt idx="4">
                  <c:v>47.39819055084908</c:v>
                </c:pt>
                <c:pt idx="5">
                  <c:v>34.831509114223181</c:v>
                </c:pt>
                <c:pt idx="6">
                  <c:v>38.521938893776124</c:v>
                </c:pt>
                <c:pt idx="7">
                  <c:v>35.673036636972846</c:v>
                </c:pt>
                <c:pt idx="8">
                  <c:v>39.377508706438881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1-534C-9936-73D51C7C9E8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602739726027404"/>
                  <c:y val="3.3613445378151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61-534C-9936-73D51C7C9E8C}"/>
                </c:ext>
              </c:extLst>
            </c:dLbl>
            <c:dLbl>
              <c:idx val="2"/>
              <c:layout>
                <c:manualLayout>
                  <c:x val="7.3059360730593605E-3"/>
                  <c:y val="-5.8823529411764705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26491209146803"/>
                      <c:h val="6.34453781512605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A61-534C-9936-73D51C7C9E8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draw!$B$23:$B$26</c:f>
              <c:numCache>
                <c:formatCode>0\.000</c:formatCode>
                <c:ptCount val="4"/>
                <c:pt idx="0">
                  <c:v>-1150.309639677537</c:v>
                </c:pt>
                <c:pt idx="1">
                  <c:v>-1168.2708076010097</c:v>
                </c:pt>
                <c:pt idx="2">
                  <c:v>-1148.4660215447532</c:v>
                </c:pt>
                <c:pt idx="3">
                  <c:v>-1166.4084040569348</c:v>
                </c:pt>
              </c:numCache>
            </c:numRef>
          </c:xVal>
          <c:yVal>
            <c:numRef>
              <c:f>draw!$D$23:$D$26</c:f>
              <c:numCache>
                <c:formatCode>0\.000</c:formatCode>
                <c:ptCount val="4"/>
                <c:pt idx="0">
                  <c:v>13.110074722589573</c:v>
                </c:pt>
                <c:pt idx="1">
                  <c:v>16.42080970950494</c:v>
                </c:pt>
                <c:pt idx="2">
                  <c:v>14.34085380673703</c:v>
                </c:pt>
                <c:pt idx="3">
                  <c:v>17.664125350980537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61-534C-9936-73D51C7C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1140"/>
          <c:min val="-11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(==&gt; Z</a:t>
                </a:r>
                <a:r>
                  <a:rPr lang="en-US" sz="1200" b="1" baseline="0"/>
                  <a:t> in G4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</c:valAx>
      <c:valAx>
        <c:axId val="16369278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</a:t>
                </a:r>
                <a:r>
                  <a:rPr lang="en-US" sz="1200" b="1" baseline="0"/>
                  <a:t> (==&gt;X in G4)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83666987459900843"/>
        </c:manualLayout>
      </c:layout>
      <c:scatterChart>
        <c:scatterStyle val="lineMarker"/>
        <c:varyColors val="0"/>
        <c:ser>
          <c:idx val="1"/>
          <c:order val="0"/>
          <c:tx>
            <c:v>S3,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'draw (2)'!$B$27:$B$30</c:f>
              <c:numCache>
                <c:formatCode>0\.000</c:formatCode>
                <c:ptCount val="4"/>
                <c:pt idx="0">
                  <c:v>-1437.6883264531014</c:v>
                </c:pt>
                <c:pt idx="1">
                  <c:v>-1448.3370215622479</c:v>
                </c:pt>
                <c:pt idx="2">
                  <c:v>-1403.3813710380309</c:v>
                </c:pt>
                <c:pt idx="3">
                  <c:v>-1419.7371243142893</c:v>
                </c:pt>
              </c:numCache>
            </c:numRef>
          </c:xVal>
          <c:yVal>
            <c:numRef>
              <c:f>'draw (2)'!$C$27:$C$30</c:f>
              <c:numCache>
                <c:formatCode>0\.000</c:formatCode>
                <c:ptCount val="4"/>
                <c:pt idx="0">
                  <c:v>334.69855700421692</c:v>
                </c:pt>
                <c:pt idx="1">
                  <c:v>339.61018568128827</c:v>
                </c:pt>
                <c:pt idx="2">
                  <c:v>514.56327549164655</c:v>
                </c:pt>
                <c:pt idx="3">
                  <c:v>523.69562456323843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F-214F-A2C1-B6DC73135E53}"/>
            </c:ext>
          </c:extLst>
        </c:ser>
        <c:ser>
          <c:idx val="2"/>
          <c:order val="1"/>
          <c:tx>
            <c:v>S4,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E00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'draw (2)'!$B$34:$B$37</c:f>
              <c:numCache>
                <c:formatCode>0\.000</c:formatCode>
                <c:ptCount val="4"/>
                <c:pt idx="0">
                  <c:v>-1168.4872983182468</c:v>
                </c:pt>
                <c:pt idx="1">
                  <c:v>-1182.8950498102092</c:v>
                </c:pt>
                <c:pt idx="2">
                  <c:v>-1122.5235010426918</c:v>
                </c:pt>
                <c:pt idx="3">
                  <c:v>-1140.9813050524235</c:v>
                </c:pt>
              </c:numCache>
            </c:numRef>
          </c:xVal>
          <c:yVal>
            <c:numRef>
              <c:f>'draw (2)'!$C$34:$C$37</c:f>
              <c:numCache>
                <c:formatCode>0\.000</c:formatCode>
                <c:ptCount val="4"/>
                <c:pt idx="0">
                  <c:v>467.47520963335489</c:v>
                </c:pt>
                <c:pt idx="1">
                  <c:v>475.5729599218194</c:v>
                </c:pt>
                <c:pt idx="2">
                  <c:v>616.95732392702962</c:v>
                </c:pt>
                <c:pt idx="3">
                  <c:v>630.30258580775876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F-214F-A2C1-B6DC73135E53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'draw (2)'!$B$22:$B$26</c:f>
              <c:numCache>
                <c:formatCode>0\.000</c:formatCode>
                <c:ptCount val="5"/>
                <c:pt idx="0">
                  <c:v>-1158.9631551284999</c:v>
                </c:pt>
                <c:pt idx="1">
                  <c:v>-1150.309639677537</c:v>
                </c:pt>
                <c:pt idx="2">
                  <c:v>-1159.7075073555418</c:v>
                </c:pt>
                <c:pt idx="3">
                  <c:v>-1120.811749552998</c:v>
                </c:pt>
                <c:pt idx="4">
                  <c:v>-1135.1136259297482</c:v>
                </c:pt>
              </c:numCache>
            </c:numRef>
          </c:xVal>
          <c:yVal>
            <c:numRef>
              <c:f>'draw (2)'!$C$22:$C$26</c:f>
              <c:numCache>
                <c:formatCode>0\.000</c:formatCode>
                <c:ptCount val="5"/>
                <c:pt idx="0">
                  <c:v>305.84309374667555</c:v>
                </c:pt>
                <c:pt idx="1">
                  <c:v>299.60990911172388</c:v>
                </c:pt>
                <c:pt idx="2">
                  <c:v>303.94454828790288</c:v>
                </c:pt>
                <c:pt idx="3">
                  <c:v>454.26064359394456</c:v>
                </c:pt>
                <c:pt idx="4">
                  <c:v>462.24543239207651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3F-214F-A2C1-B6DC73135E53}"/>
            </c:ext>
          </c:extLst>
        </c:ser>
        <c:ser>
          <c:idx val="4"/>
          <c:order val="3"/>
          <c:tx>
            <c:v>S4,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rgbClr val="00B0F0"/>
                </a:solidFill>
              </a:ln>
              <a:effectLst/>
            </c:spPr>
          </c:marker>
          <c:xVal>
            <c:numRef>
              <c:f>'draw (2)'!$B$38:$B$41</c:f>
              <c:numCache>
                <c:formatCode>0\.000</c:formatCode>
                <c:ptCount val="4"/>
                <c:pt idx="0">
                  <c:v>-1470.7016115204842</c:v>
                </c:pt>
                <c:pt idx="1">
                  <c:v>-1487.2550473169922</c:v>
                </c:pt>
                <c:pt idx="2">
                  <c:v>-1412.4735131976854</c:v>
                </c:pt>
                <c:pt idx="3">
                  <c:v>-1434.2188409369292</c:v>
                </c:pt>
              </c:numCache>
            </c:numRef>
          </c:xVal>
          <c:yVal>
            <c:numRef>
              <c:f>'draw (2)'!$C$38:$C$41</c:f>
              <c:numCache>
                <c:formatCode>0\.000</c:formatCode>
                <c:ptCount val="4"/>
                <c:pt idx="0">
                  <c:v>531.96762448594063</c:v>
                </c:pt>
                <c:pt idx="1">
                  <c:v>541.27104699148913</c:v>
                </c:pt>
                <c:pt idx="2">
                  <c:v>721.33520596308244</c:v>
                </c:pt>
                <c:pt idx="3">
                  <c:v>737.05942312048023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3F-214F-A2C1-B6DC73135E53}"/>
            </c:ext>
          </c:extLst>
        </c:ser>
        <c:ser>
          <c:idx val="0"/>
          <c:order val="4"/>
          <c:tx>
            <c:v>S5,left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'draw (2)'!$B$45:$B$48</c:f>
              <c:numCache>
                <c:formatCode>0\.000</c:formatCode>
                <c:ptCount val="4"/>
                <c:pt idx="0">
                  <c:v>-1185.3760785462707</c:v>
                </c:pt>
                <c:pt idx="1">
                  <c:v>-1203.7771556763555</c:v>
                </c:pt>
                <c:pt idx="2">
                  <c:v>-1119.6361025493757</c:v>
                </c:pt>
                <c:pt idx="3">
                  <c:v>-1141.0783515190651</c:v>
                </c:pt>
              </c:numCache>
            </c:numRef>
          </c:xVal>
          <c:yVal>
            <c:numRef>
              <c:f>'draw (2)'!$C$45:$C$48</c:f>
              <c:numCache>
                <c:formatCode>0\.000</c:formatCode>
                <c:ptCount val="4"/>
                <c:pt idx="0">
                  <c:v>642.68942627421472</c:v>
                </c:pt>
                <c:pt idx="1">
                  <c:v>656.34448619172076</c:v>
                </c:pt>
                <c:pt idx="2">
                  <c:v>787.6091913406907</c:v>
                </c:pt>
                <c:pt idx="3">
                  <c:v>807.26535513579461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3F-214F-A2C1-B6DC73135E53}"/>
            </c:ext>
          </c:extLst>
        </c:ser>
        <c:ser>
          <c:idx val="5"/>
          <c:order val="5"/>
          <c:tx>
            <c:v>S5,right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'draw (2)'!$B$49:$B$52</c:f>
              <c:numCache>
                <c:formatCode>0\.000</c:formatCode>
                <c:ptCount val="4"/>
                <c:pt idx="0">
                  <c:v>-1489.2722693894218</c:v>
                </c:pt>
                <c:pt idx="1">
                  <c:v>-1432.033941926027</c:v>
                </c:pt>
                <c:pt idx="2">
                  <c:v>-1406.4354976014572</c:v>
                </c:pt>
                <c:pt idx="3">
                  <c:v>-1432.0343391002261</c:v>
                </c:pt>
              </c:numCache>
            </c:numRef>
          </c:xVal>
          <c:yVal>
            <c:numRef>
              <c:f>'draw (2)'!$C$49:$C$52</c:f>
              <c:numCache>
                <c:formatCode>0\.000</c:formatCode>
                <c:ptCount val="4"/>
                <c:pt idx="0">
                  <c:v>752.00213686608856</c:v>
                </c:pt>
                <c:pt idx="1">
                  <c:v>958.08213632601826</c:v>
                </c:pt>
                <c:pt idx="2">
                  <c:v>934.6112258166188</c:v>
                </c:pt>
                <c:pt idx="3">
                  <c:v>958.08121892364909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3F-214F-A2C1-B6DC73135E53}"/>
            </c:ext>
          </c:extLst>
        </c:ser>
        <c:ser>
          <c:idx val="6"/>
          <c:order val="6"/>
          <c:tx>
            <c:v>S6,left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CFF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'draw (2)'!$B$56:$B$59</c:f>
              <c:numCache>
                <c:formatCode>0\.000</c:formatCode>
                <c:ptCount val="4"/>
                <c:pt idx="0">
                  <c:v>-1205.7491547306286</c:v>
                </c:pt>
                <c:pt idx="1">
                  <c:v>-1226.8914917674151</c:v>
                </c:pt>
                <c:pt idx="2">
                  <c:v>-1118.4198528811057</c:v>
                </c:pt>
                <c:pt idx="3">
                  <c:v>-1141.1543169028487</c:v>
                </c:pt>
              </c:numCache>
            </c:numRef>
          </c:xVal>
          <c:yVal>
            <c:numRef>
              <c:f>'draw (2)'!$C$56:$C$59</c:f>
              <c:numCache>
                <c:formatCode>0\.000</c:formatCode>
                <c:ptCount val="4"/>
                <c:pt idx="0">
                  <c:v>835.0998824481685</c:v>
                </c:pt>
                <c:pt idx="1">
                  <c:v>855.22978839112625</c:v>
                </c:pt>
                <c:pt idx="2">
                  <c:v>975.29858274647984</c:v>
                </c:pt>
                <c:pt idx="3">
                  <c:v>1002.2793497273158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3F-214F-A2C1-B6DC73135E53}"/>
            </c:ext>
          </c:extLst>
        </c:ser>
        <c:ser>
          <c:idx val="7"/>
          <c:order val="7"/>
          <c:tx>
            <c:v>S6,right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'draw (2)'!$B$60:$B$63</c:f>
              <c:numCache>
                <c:formatCode>0\.000</c:formatCode>
                <c:ptCount val="4"/>
                <c:pt idx="0">
                  <c:v>-1510.918377522614</c:v>
                </c:pt>
                <c:pt idx="1">
                  <c:v>-1536.163093667587</c:v>
                </c:pt>
                <c:pt idx="2">
                  <c:v>-1397.8740004153187</c:v>
                </c:pt>
                <c:pt idx="3">
                  <c:v>-1425.3449816094726</c:v>
                </c:pt>
              </c:numCache>
            </c:numRef>
          </c:xVal>
          <c:yVal>
            <c:numRef>
              <c:f>'draw (2)'!$C$60:$C$63</c:f>
              <c:numCache>
                <c:formatCode>0\.000</c:formatCode>
                <c:ptCount val="4"/>
                <c:pt idx="0">
                  <c:v>991.22150557242594</c:v>
                </c:pt>
                <c:pt idx="1">
                  <c:v>1015.2519958116166</c:v>
                </c:pt>
                <c:pt idx="2">
                  <c:v>1172.7039229202446</c:v>
                </c:pt>
                <c:pt idx="3">
                  <c:v>1205.3175080753099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3F-214F-A2C1-B6DC73135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1000"/>
          <c:min val="-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(beam axis)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  <c:majorUnit val="50"/>
        <c:minorUnit val="25"/>
      </c:valAx>
      <c:valAx>
        <c:axId val="1636927823"/>
        <c:scaling>
          <c:orientation val="minMax"/>
          <c:max val="130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7910559469539991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'draw (2)'!$D$45:$D$48</c:f>
              <c:numCache>
                <c:formatCode>0\.000</c:formatCode>
                <c:ptCount val="4"/>
                <c:pt idx="0">
                  <c:v>73.251056119330485</c:v>
                </c:pt>
                <c:pt idx="1">
                  <c:v>-56.772291567578776</c:v>
                </c:pt>
                <c:pt idx="2">
                  <c:v>85.294583842796555</c:v>
                </c:pt>
                <c:pt idx="3">
                  <c:v>-74.964373936064462</c:v>
                </c:pt>
              </c:numCache>
            </c:numRef>
          </c:xVal>
          <c:yVal>
            <c:numRef>
              <c:f>'draw (2)'!$C$45:$C$48</c:f>
              <c:numCache>
                <c:formatCode>0\.000</c:formatCode>
                <c:ptCount val="4"/>
                <c:pt idx="0">
                  <c:v>642.68942627421472</c:v>
                </c:pt>
                <c:pt idx="1">
                  <c:v>656.34448619172076</c:v>
                </c:pt>
                <c:pt idx="2">
                  <c:v>787.6091913406907</c:v>
                </c:pt>
                <c:pt idx="3">
                  <c:v>807.26535513579461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6-B047-9D5B-E9DA91F43FB2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'draw (2)'!$D$23:$D$26</c:f>
              <c:numCache>
                <c:formatCode>0\.000</c:formatCode>
                <c:ptCount val="4"/>
                <c:pt idx="0">
                  <c:v>13.110074722589573</c:v>
                </c:pt>
                <c:pt idx="1">
                  <c:v>-45.489105896715508</c:v>
                </c:pt>
                <c:pt idx="2">
                  <c:v>32.802540068948872</c:v>
                </c:pt>
                <c:pt idx="3">
                  <c:v>-57.730035232663688</c:v>
                </c:pt>
              </c:numCache>
            </c:numRef>
          </c:xVal>
          <c:yVal>
            <c:numRef>
              <c:f>'draw (2)'!$C$23:$C$26</c:f>
              <c:numCache>
                <c:formatCode>0\.000</c:formatCode>
                <c:ptCount val="4"/>
                <c:pt idx="0">
                  <c:v>299.60990911172388</c:v>
                </c:pt>
                <c:pt idx="1">
                  <c:v>303.94454828790288</c:v>
                </c:pt>
                <c:pt idx="2">
                  <c:v>454.26064359394456</c:v>
                </c:pt>
                <c:pt idx="3">
                  <c:v>462.24543239207651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6-B047-9D5B-E9DA91F43FB2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31750">
                <a:solidFill>
                  <a:srgbClr val="0070C0"/>
                </a:solidFill>
              </a:ln>
              <a:effectLst/>
            </c:spPr>
          </c:marker>
          <c:xVal>
            <c:numRef>
              <c:f>'draw (2)'!$D$34:$D$37</c:f>
              <c:numCache>
                <c:formatCode>0\.000</c:formatCode>
                <c:ptCount val="4"/>
                <c:pt idx="0">
                  <c:v>42.615412857880642</c:v>
                </c:pt>
                <c:pt idx="1">
                  <c:v>-50.791432066008845</c:v>
                </c:pt>
                <c:pt idx="2">
                  <c:v>58.666111126279581</c:v>
                </c:pt>
                <c:pt idx="3">
                  <c:v>-65.775828650463069</c:v>
                </c:pt>
              </c:numCache>
            </c:numRef>
          </c:xVal>
          <c:yVal>
            <c:numRef>
              <c:f>'draw (2)'!$C$34:$C$37</c:f>
              <c:numCache>
                <c:formatCode>0\.000</c:formatCode>
                <c:ptCount val="4"/>
                <c:pt idx="0">
                  <c:v>467.47520963335489</c:v>
                </c:pt>
                <c:pt idx="1">
                  <c:v>475.5729599218194</c:v>
                </c:pt>
                <c:pt idx="2">
                  <c:v>616.95732392702962</c:v>
                </c:pt>
                <c:pt idx="3">
                  <c:v>630.30258580775876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6-B047-9D5B-E9DA91F43FB2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34925">
                <a:solidFill>
                  <a:schemeClr val="accent3"/>
                </a:solidFill>
              </a:ln>
              <a:effectLst/>
            </c:spPr>
          </c:marker>
          <c:xVal>
            <c:numRef>
              <c:f>'draw (2)'!$D$56:$D$59</c:f>
              <c:numCache>
                <c:formatCode>0\.000</c:formatCode>
                <c:ptCount val="4"/>
                <c:pt idx="0">
                  <c:v>107.05101452481335</c:v>
                </c:pt>
                <c:pt idx="1">
                  <c:v>-63.442106913109896</c:v>
                </c:pt>
                <c:pt idx="2">
                  <c:v>114.88455401448549</c:v>
                </c:pt>
                <c:pt idx="3">
                  <c:v>-85.082084212828917</c:v>
                </c:pt>
              </c:numCache>
            </c:numRef>
          </c:xVal>
          <c:yVal>
            <c:numRef>
              <c:f>'draw (2)'!$C$56:$C$59</c:f>
              <c:numCache>
                <c:formatCode>0\.000</c:formatCode>
                <c:ptCount val="4"/>
                <c:pt idx="0">
                  <c:v>835.0998824481685</c:v>
                </c:pt>
                <c:pt idx="1">
                  <c:v>855.22978839112625</c:v>
                </c:pt>
                <c:pt idx="2">
                  <c:v>975.29858274647984</c:v>
                </c:pt>
                <c:pt idx="3">
                  <c:v>1002.2793497273158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76-B047-9D5B-E9DA91F43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2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 (==&gt; X</a:t>
                </a:r>
                <a:r>
                  <a:rPr lang="en-US" sz="1200" b="1" baseline="0"/>
                  <a:t> in G4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</c:valAx>
      <c:valAx>
        <c:axId val="1636927823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7750453252167007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'draw (2)'!$C$2:$C$17</c:f>
              <c:numCache>
                <c:formatCode>0.00</c:formatCode>
                <c:ptCount val="16"/>
                <c:pt idx="0">
                  <c:v>-1466.673</c:v>
                </c:pt>
                <c:pt idx="1">
                  <c:v>-1466.3409999999999</c:v>
                </c:pt>
                <c:pt idx="2">
                  <c:v>-1465.539</c:v>
                </c:pt>
                <c:pt idx="4">
                  <c:v>-1489.078</c:v>
                </c:pt>
                <c:pt idx="5">
                  <c:v>-1488.6379999999999</c:v>
                </c:pt>
                <c:pt idx="6">
                  <c:v>-1487.9680000000001</c:v>
                </c:pt>
                <c:pt idx="8">
                  <c:v>-1495.181</c:v>
                </c:pt>
                <c:pt idx="9">
                  <c:v>-1494.6189999999999</c:v>
                </c:pt>
                <c:pt idx="10">
                  <c:v>-1494.1130000000001</c:v>
                </c:pt>
                <c:pt idx="13">
                  <c:v>-1499.279</c:v>
                </c:pt>
                <c:pt idx="14">
                  <c:v>-1498.598</c:v>
                </c:pt>
                <c:pt idx="15">
                  <c:v>-1498.271</c:v>
                </c:pt>
              </c:numCache>
            </c:numRef>
          </c:xVal>
          <c:yVal>
            <c:numRef>
              <c:f>'draw (2)'!$D$2:$D$17</c:f>
              <c:numCache>
                <c:formatCode>0.00</c:formatCode>
                <c:ptCount val="16"/>
                <c:pt idx="0">
                  <c:v>435.53</c:v>
                </c:pt>
                <c:pt idx="1">
                  <c:v>436.46499999999997</c:v>
                </c:pt>
                <c:pt idx="2">
                  <c:v>435.31599999999997</c:v>
                </c:pt>
                <c:pt idx="4">
                  <c:v>645.88599999999997</c:v>
                </c:pt>
                <c:pt idx="5">
                  <c:v>646.79999999999995</c:v>
                </c:pt>
                <c:pt idx="6">
                  <c:v>645.56600000000003</c:v>
                </c:pt>
                <c:pt idx="8">
                  <c:v>871.84</c:v>
                </c:pt>
                <c:pt idx="9">
                  <c:v>872.71199999999999</c:v>
                </c:pt>
                <c:pt idx="10">
                  <c:v>871.399</c:v>
                </c:pt>
                <c:pt idx="13">
                  <c:v>1120.9459999999999</c:v>
                </c:pt>
                <c:pt idx="14">
                  <c:v>1121.759</c:v>
                </c:pt>
                <c:pt idx="15">
                  <c:v>1120.3879999999999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9C45-8FE2-CA04883322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'draw (2)'!$B$27:$B$30</c:f>
              <c:numCache>
                <c:formatCode>0\.000</c:formatCode>
                <c:ptCount val="4"/>
                <c:pt idx="0">
                  <c:v>-1437.6883264531014</c:v>
                </c:pt>
                <c:pt idx="1">
                  <c:v>-1448.3370215622479</c:v>
                </c:pt>
                <c:pt idx="2">
                  <c:v>-1403.3813710380309</c:v>
                </c:pt>
                <c:pt idx="3">
                  <c:v>-1419.7371243142893</c:v>
                </c:pt>
              </c:numCache>
            </c:numRef>
          </c:xVal>
          <c:yVal>
            <c:numRef>
              <c:f>'draw (2)'!$D$27:$D$30</c:f>
              <c:numCache>
                <c:formatCode>0\.000</c:formatCode>
                <c:ptCount val="4"/>
                <c:pt idx="0">
                  <c:v>66.081834513235435</c:v>
                </c:pt>
                <c:pt idx="1">
                  <c:v>-0.31677853976722048</c:v>
                </c:pt>
                <c:pt idx="2">
                  <c:v>88.983658535598977</c:v>
                </c:pt>
                <c:pt idx="3">
                  <c:v>-14.551053949230919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9C45-8FE2-CA04883322C2}"/>
            </c:ext>
          </c:extLst>
        </c:ser>
        <c:ser>
          <c:idx val="2"/>
          <c:order val="2"/>
          <c:tx>
            <c:strRef>
              <c:f>'draw (2)'!$A$32</c:f>
              <c:strCache>
                <c:ptCount val="1"/>
                <c:pt idx="0">
                  <c:v>SUMO4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'draw (2)'!$D$33:$D$41</c:f>
              <c:numCache>
                <c:formatCode>0\.000</c:formatCode>
                <c:ptCount val="9"/>
                <c:pt idx="0">
                  <c:v>41.05180873908693</c:v>
                </c:pt>
                <c:pt idx="1">
                  <c:v>42.615412857880642</c:v>
                </c:pt>
                <c:pt idx="2">
                  <c:v>-50.791432066008845</c:v>
                </c:pt>
                <c:pt idx="3">
                  <c:v>58.666111126279581</c:v>
                </c:pt>
                <c:pt idx="4">
                  <c:v>-65.775828650463069</c:v>
                </c:pt>
                <c:pt idx="5">
                  <c:v>102.82147357817678</c:v>
                </c:pt>
                <c:pt idx="6">
                  <c:v>-4.4955823151024603</c:v>
                </c:pt>
                <c:pt idx="7">
                  <c:v>123.15511742737402</c:v>
                </c:pt>
                <c:pt idx="8">
                  <c:v>-23.454465675295161</c:v>
                </c:pt>
              </c:numCache>
            </c:numRef>
          </c:xVal>
          <c:yVal>
            <c:numRef>
              <c:f>'draw (2)'!$D$33:$D$41</c:f>
              <c:numCache>
                <c:formatCode>0\.000</c:formatCode>
                <c:ptCount val="9"/>
                <c:pt idx="0">
                  <c:v>41.05180873908693</c:v>
                </c:pt>
                <c:pt idx="1">
                  <c:v>42.615412857880642</c:v>
                </c:pt>
                <c:pt idx="2">
                  <c:v>-50.791432066008845</c:v>
                </c:pt>
                <c:pt idx="3">
                  <c:v>58.666111126279581</c:v>
                </c:pt>
                <c:pt idx="4">
                  <c:v>-65.775828650463069</c:v>
                </c:pt>
                <c:pt idx="5">
                  <c:v>102.82147357817678</c:v>
                </c:pt>
                <c:pt idx="6">
                  <c:v>-4.4955823151024603</c:v>
                </c:pt>
                <c:pt idx="7">
                  <c:v>123.15511742737402</c:v>
                </c:pt>
                <c:pt idx="8">
                  <c:v>-23.454465675295161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0-9C45-8FE2-CA04883322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'draw (2)'!$B$23:$B$26</c:f>
              <c:numCache>
                <c:formatCode>0\.000</c:formatCode>
                <c:ptCount val="4"/>
                <c:pt idx="0">
                  <c:v>-1150.309639677537</c:v>
                </c:pt>
                <c:pt idx="1">
                  <c:v>-1159.7075073555418</c:v>
                </c:pt>
                <c:pt idx="2">
                  <c:v>-1120.811749552998</c:v>
                </c:pt>
                <c:pt idx="3">
                  <c:v>-1135.1136259297482</c:v>
                </c:pt>
              </c:numCache>
            </c:numRef>
          </c:xVal>
          <c:yVal>
            <c:numRef>
              <c:f>'draw (2)'!$D$23:$D$26</c:f>
              <c:numCache>
                <c:formatCode>0\.000</c:formatCode>
                <c:ptCount val="4"/>
                <c:pt idx="0">
                  <c:v>13.110074722589573</c:v>
                </c:pt>
                <c:pt idx="1">
                  <c:v>-45.489105896715508</c:v>
                </c:pt>
                <c:pt idx="2">
                  <c:v>32.802540068948872</c:v>
                </c:pt>
                <c:pt idx="3">
                  <c:v>-57.730035232663688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30-9C45-8FE2-CA048833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1000"/>
          <c:min val="-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(==&gt; Z</a:t>
                </a:r>
                <a:r>
                  <a:rPr lang="en-US" sz="1200" b="1" baseline="0"/>
                  <a:t> in G4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At val="-100"/>
        <c:crossBetween val="midCat"/>
        <c:majorUnit val="50"/>
      </c:valAx>
      <c:valAx>
        <c:axId val="1636927823"/>
        <c:scaling>
          <c:orientation val="minMax"/>
          <c:max val="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</a:t>
                </a:r>
                <a:r>
                  <a:rPr lang="en-US" sz="1200" b="1" baseline="0"/>
                  <a:t> (==&gt;X in G4)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At val="-1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83666987459900843"/>
        </c:manualLayout>
      </c:layout>
      <c:scatterChart>
        <c:scatterStyle val="lineMarker"/>
        <c:varyColors val="0"/>
        <c:ser>
          <c:idx val="8"/>
          <c:order val="0"/>
          <c:tx>
            <c:v>S3, right</c:v>
          </c:tx>
          <c:spPr>
            <a:ln w="25400">
              <a:noFill/>
            </a:ln>
          </c:spPr>
          <c:xVal>
            <c:numRef>
              <c:f>'draw (3)'!$B$27:$B$30</c:f>
              <c:numCache>
                <c:formatCode>0\.000</c:formatCode>
                <c:ptCount val="4"/>
                <c:pt idx="0">
                  <c:v>-1437.6883264531014</c:v>
                </c:pt>
                <c:pt idx="1">
                  <c:v>-1448.3370215622479</c:v>
                </c:pt>
                <c:pt idx="2">
                  <c:v>-1403.3813710380309</c:v>
                </c:pt>
                <c:pt idx="3">
                  <c:v>-1419.7371243142893</c:v>
                </c:pt>
              </c:numCache>
            </c:numRef>
          </c:xVal>
          <c:yVal>
            <c:numRef>
              <c:f>'draw (3)'!$C$27:$C$30</c:f>
              <c:numCache>
                <c:formatCode>0\.000</c:formatCode>
                <c:ptCount val="4"/>
                <c:pt idx="0">
                  <c:v>334.69855700421692</c:v>
                </c:pt>
                <c:pt idx="1">
                  <c:v>339.61018568128827</c:v>
                </c:pt>
                <c:pt idx="2">
                  <c:v>514.56327549164655</c:v>
                </c:pt>
                <c:pt idx="3">
                  <c:v>523.69562456323843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030-DC4C-AAF3-F96F65F816AE}"/>
            </c:ext>
          </c:extLst>
        </c:ser>
        <c:ser>
          <c:idx val="9"/>
          <c:order val="1"/>
          <c:tx>
            <c:v>S4, right</c:v>
          </c:tx>
          <c:spPr>
            <a:ln w="25400">
              <a:noFill/>
            </a:ln>
          </c:spPr>
          <c:xVal>
            <c:numRef>
              <c:f>'draw (3)'!$B$35:$B$38</c:f>
              <c:numCache>
                <c:formatCode>0\.000</c:formatCode>
                <c:ptCount val="4"/>
                <c:pt idx="0">
                  <c:v>-1168.4872983182468</c:v>
                </c:pt>
                <c:pt idx="1">
                  <c:v>-1182.8950498102092</c:v>
                </c:pt>
                <c:pt idx="2">
                  <c:v>-1122.5235010426918</c:v>
                </c:pt>
                <c:pt idx="3">
                  <c:v>-1140.9813050524235</c:v>
                </c:pt>
              </c:numCache>
            </c:numRef>
          </c:xVal>
          <c:yVal>
            <c:numRef>
              <c:f>'draw (3)'!$C$35:$C$38</c:f>
              <c:numCache>
                <c:formatCode>0\.000</c:formatCode>
                <c:ptCount val="4"/>
                <c:pt idx="0">
                  <c:v>467.47520963335489</c:v>
                </c:pt>
                <c:pt idx="1">
                  <c:v>475.5729599218194</c:v>
                </c:pt>
                <c:pt idx="2">
                  <c:v>616.95732392702962</c:v>
                </c:pt>
                <c:pt idx="3">
                  <c:v>630.30258580775876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030-DC4C-AAF3-F96F65F816AE}"/>
            </c:ext>
          </c:extLst>
        </c:ser>
        <c:ser>
          <c:idx val="10"/>
          <c:order val="2"/>
          <c:spPr>
            <a:ln w="25400">
              <a:noFill/>
            </a:ln>
          </c:spPr>
          <c:xVal>
            <c:numRef>
              <c:f>'draw (3)'!$B$22:$B$26</c:f>
              <c:numCache>
                <c:formatCode>0\.000</c:formatCode>
                <c:ptCount val="5"/>
                <c:pt idx="0">
                  <c:v>-1158.9631551284999</c:v>
                </c:pt>
                <c:pt idx="1">
                  <c:v>-1150.309639677537</c:v>
                </c:pt>
                <c:pt idx="2">
                  <c:v>-1159.7075073555418</c:v>
                </c:pt>
                <c:pt idx="3">
                  <c:v>-1120.811749552998</c:v>
                </c:pt>
                <c:pt idx="4">
                  <c:v>-1135.1136259297482</c:v>
                </c:pt>
              </c:numCache>
            </c:numRef>
          </c:xVal>
          <c:yVal>
            <c:numRef>
              <c:f>'draw (3)'!$C$22:$C$26</c:f>
              <c:numCache>
                <c:formatCode>0\.000</c:formatCode>
                <c:ptCount val="5"/>
                <c:pt idx="0">
                  <c:v>305.84309374667555</c:v>
                </c:pt>
                <c:pt idx="1">
                  <c:v>299.60990911172388</c:v>
                </c:pt>
                <c:pt idx="2">
                  <c:v>303.94454828790288</c:v>
                </c:pt>
                <c:pt idx="3">
                  <c:v>454.26064359394456</c:v>
                </c:pt>
                <c:pt idx="4">
                  <c:v>462.24543239207651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030-DC4C-AAF3-F96F65F816AE}"/>
            </c:ext>
          </c:extLst>
        </c:ser>
        <c:ser>
          <c:idx val="11"/>
          <c:order val="3"/>
          <c:tx>
            <c:v>S4, right</c:v>
          </c:tx>
          <c:spPr>
            <a:ln w="25400">
              <a:noFill/>
            </a:ln>
          </c:spPr>
          <c:xVal>
            <c:numRef>
              <c:f>'draw (3)'!$B$39:$B$42</c:f>
              <c:numCache>
                <c:formatCode>0\.000</c:formatCode>
                <c:ptCount val="4"/>
                <c:pt idx="0">
                  <c:v>-1470.7016115204842</c:v>
                </c:pt>
                <c:pt idx="1">
                  <c:v>-1487.2550473169922</c:v>
                </c:pt>
                <c:pt idx="2">
                  <c:v>-1412.4735131976854</c:v>
                </c:pt>
                <c:pt idx="3">
                  <c:v>-1434.2188409369292</c:v>
                </c:pt>
              </c:numCache>
            </c:numRef>
          </c:xVal>
          <c:yVal>
            <c:numRef>
              <c:f>'draw (3)'!$C$39:$C$42</c:f>
              <c:numCache>
                <c:formatCode>0\.000</c:formatCode>
                <c:ptCount val="4"/>
                <c:pt idx="0">
                  <c:v>531.96762448594063</c:v>
                </c:pt>
                <c:pt idx="1">
                  <c:v>541.27104699148913</c:v>
                </c:pt>
                <c:pt idx="2">
                  <c:v>721.33520596308244</c:v>
                </c:pt>
                <c:pt idx="3">
                  <c:v>737.05942312048023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030-DC4C-AAF3-F96F65F816AE}"/>
            </c:ext>
          </c:extLst>
        </c:ser>
        <c:ser>
          <c:idx val="12"/>
          <c:order val="4"/>
          <c:tx>
            <c:v>S5,left</c:v>
          </c:tx>
          <c:spPr>
            <a:ln w="25400">
              <a:noFill/>
            </a:ln>
          </c:spPr>
          <c:xVal>
            <c:numRef>
              <c:f>'draw (3)'!$B$47:$B$50</c:f>
              <c:numCache>
                <c:formatCode>0\.000</c:formatCode>
                <c:ptCount val="4"/>
                <c:pt idx="0">
                  <c:v>-1185.3760785462707</c:v>
                </c:pt>
                <c:pt idx="1">
                  <c:v>-1203.7771556763555</c:v>
                </c:pt>
                <c:pt idx="2">
                  <c:v>-1119.6361025493757</c:v>
                </c:pt>
                <c:pt idx="3">
                  <c:v>-1141.0783515190651</c:v>
                </c:pt>
              </c:numCache>
            </c:numRef>
          </c:xVal>
          <c:yVal>
            <c:numRef>
              <c:f>'draw (3)'!$C$47:$C$50</c:f>
              <c:numCache>
                <c:formatCode>0\.000</c:formatCode>
                <c:ptCount val="4"/>
                <c:pt idx="0">
                  <c:v>642.68942627421472</c:v>
                </c:pt>
                <c:pt idx="1">
                  <c:v>656.34448619172076</c:v>
                </c:pt>
                <c:pt idx="2">
                  <c:v>787.6091913406907</c:v>
                </c:pt>
                <c:pt idx="3">
                  <c:v>807.26535513579461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030-DC4C-AAF3-F96F65F816AE}"/>
            </c:ext>
          </c:extLst>
        </c:ser>
        <c:ser>
          <c:idx val="13"/>
          <c:order val="5"/>
          <c:tx>
            <c:v>S5,right</c:v>
          </c:tx>
          <c:spPr>
            <a:ln w="25400">
              <a:noFill/>
            </a:ln>
          </c:spPr>
          <c:xVal>
            <c:numRef>
              <c:f>'draw (3)'!$B$51:$B$54</c:f>
              <c:numCache>
                <c:formatCode>0\.000</c:formatCode>
                <c:ptCount val="4"/>
                <c:pt idx="0">
                  <c:v>-1489.2722693894218</c:v>
                </c:pt>
                <c:pt idx="1">
                  <c:v>-1510</c:v>
                </c:pt>
                <c:pt idx="2">
                  <c:v>-1406.4354976014572</c:v>
                </c:pt>
                <c:pt idx="3">
                  <c:v>-1432.0343391002261</c:v>
                </c:pt>
              </c:numCache>
            </c:numRef>
          </c:xVal>
          <c:yVal>
            <c:numRef>
              <c:f>'draw (3)'!$C$51:$C$54</c:f>
              <c:numCache>
                <c:formatCode>0\.000</c:formatCode>
                <c:ptCount val="4"/>
                <c:pt idx="0">
                  <c:v>752.00213686608856</c:v>
                </c:pt>
                <c:pt idx="1">
                  <c:v>758.08213632601803</c:v>
                </c:pt>
                <c:pt idx="2">
                  <c:v>934.6112258166188</c:v>
                </c:pt>
                <c:pt idx="3">
                  <c:v>958.08121892364909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030-DC4C-AAF3-F96F65F816AE}"/>
            </c:ext>
          </c:extLst>
        </c:ser>
        <c:ser>
          <c:idx val="14"/>
          <c:order val="6"/>
          <c:tx>
            <c:v>S6,left</c:v>
          </c:tx>
          <c:spPr>
            <a:ln w="25400">
              <a:noFill/>
            </a:ln>
          </c:spPr>
          <c:xVal>
            <c:numRef>
              <c:f>'draw (3)'!$B$59:$B$62</c:f>
              <c:numCache>
                <c:formatCode>0\.000</c:formatCode>
                <c:ptCount val="4"/>
                <c:pt idx="0">
                  <c:v>-1205.7491547306286</c:v>
                </c:pt>
                <c:pt idx="1">
                  <c:v>-1226.8914917674151</c:v>
                </c:pt>
                <c:pt idx="2">
                  <c:v>-1118.4198528811057</c:v>
                </c:pt>
                <c:pt idx="3">
                  <c:v>-1141.1543169028487</c:v>
                </c:pt>
              </c:numCache>
            </c:numRef>
          </c:xVal>
          <c:yVal>
            <c:numRef>
              <c:f>'draw (3)'!$C$59:$C$62</c:f>
              <c:numCache>
                <c:formatCode>0\.000</c:formatCode>
                <c:ptCount val="4"/>
                <c:pt idx="0">
                  <c:v>835.0998824481685</c:v>
                </c:pt>
                <c:pt idx="1">
                  <c:v>855.22978839112625</c:v>
                </c:pt>
                <c:pt idx="2">
                  <c:v>975.29858274647984</c:v>
                </c:pt>
                <c:pt idx="3">
                  <c:v>1002.2793497273158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030-DC4C-AAF3-F96F65F816AE}"/>
            </c:ext>
          </c:extLst>
        </c:ser>
        <c:ser>
          <c:idx val="15"/>
          <c:order val="7"/>
          <c:tx>
            <c:v>S6,right</c:v>
          </c:tx>
          <c:spPr>
            <a:ln w="25400">
              <a:noFill/>
            </a:ln>
          </c:spPr>
          <c:xVal>
            <c:numRef>
              <c:f>'draw (3)'!$B$63:$B$66</c:f>
              <c:numCache>
                <c:formatCode>0\.000</c:formatCode>
                <c:ptCount val="4"/>
                <c:pt idx="0">
                  <c:v>-1510.918377522614</c:v>
                </c:pt>
                <c:pt idx="1">
                  <c:v>-1536.163093667587</c:v>
                </c:pt>
                <c:pt idx="2">
                  <c:v>-1397.8740004153187</c:v>
                </c:pt>
                <c:pt idx="3">
                  <c:v>-1425.3449816094726</c:v>
                </c:pt>
              </c:numCache>
            </c:numRef>
          </c:xVal>
          <c:yVal>
            <c:numRef>
              <c:f>'draw (3)'!$C$63:$C$66</c:f>
              <c:numCache>
                <c:formatCode>0\.000</c:formatCode>
                <c:ptCount val="4"/>
                <c:pt idx="0">
                  <c:v>991.22150557242594</c:v>
                </c:pt>
                <c:pt idx="1">
                  <c:v>1015.2519958116166</c:v>
                </c:pt>
                <c:pt idx="2">
                  <c:v>1172.7039229202446</c:v>
                </c:pt>
                <c:pt idx="3">
                  <c:v>1205.3175080753099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030-DC4C-AAF3-F96F65F816AE}"/>
            </c:ext>
          </c:extLst>
        </c:ser>
        <c:ser>
          <c:idx val="1"/>
          <c:order val="8"/>
          <c:tx>
            <c:v>S3,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'draw (3)'!$B$27:$B$30</c:f>
              <c:numCache>
                <c:formatCode>0\.000</c:formatCode>
                <c:ptCount val="4"/>
                <c:pt idx="0">
                  <c:v>-1437.6883264531014</c:v>
                </c:pt>
                <c:pt idx="1">
                  <c:v>-1448.3370215622479</c:v>
                </c:pt>
                <c:pt idx="2">
                  <c:v>-1403.3813710380309</c:v>
                </c:pt>
                <c:pt idx="3">
                  <c:v>-1419.7371243142893</c:v>
                </c:pt>
              </c:numCache>
            </c:numRef>
          </c:xVal>
          <c:yVal>
            <c:numRef>
              <c:f>'draw (3)'!$C$27:$C$30</c:f>
              <c:numCache>
                <c:formatCode>0\.000</c:formatCode>
                <c:ptCount val="4"/>
                <c:pt idx="0">
                  <c:v>334.69855700421692</c:v>
                </c:pt>
                <c:pt idx="1">
                  <c:v>339.61018568128827</c:v>
                </c:pt>
                <c:pt idx="2">
                  <c:v>514.56327549164655</c:v>
                </c:pt>
                <c:pt idx="3">
                  <c:v>523.69562456323843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30-DC4C-AAF3-F96F65F816AE}"/>
            </c:ext>
          </c:extLst>
        </c:ser>
        <c:ser>
          <c:idx val="2"/>
          <c:order val="9"/>
          <c:tx>
            <c:v>S4,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E00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'draw (3)'!$B$35:$B$38</c:f>
              <c:numCache>
                <c:formatCode>0\.000</c:formatCode>
                <c:ptCount val="4"/>
                <c:pt idx="0">
                  <c:v>-1168.4872983182468</c:v>
                </c:pt>
                <c:pt idx="1">
                  <c:v>-1182.8950498102092</c:v>
                </c:pt>
                <c:pt idx="2">
                  <c:v>-1122.5235010426918</c:v>
                </c:pt>
                <c:pt idx="3">
                  <c:v>-1140.9813050524235</c:v>
                </c:pt>
              </c:numCache>
            </c:numRef>
          </c:xVal>
          <c:yVal>
            <c:numRef>
              <c:f>'draw (3)'!$C$35:$C$38</c:f>
              <c:numCache>
                <c:formatCode>0\.000</c:formatCode>
                <c:ptCount val="4"/>
                <c:pt idx="0">
                  <c:v>467.47520963335489</c:v>
                </c:pt>
                <c:pt idx="1">
                  <c:v>475.5729599218194</c:v>
                </c:pt>
                <c:pt idx="2">
                  <c:v>616.95732392702962</c:v>
                </c:pt>
                <c:pt idx="3">
                  <c:v>630.30258580775876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30-DC4C-AAF3-F96F65F816AE}"/>
            </c:ext>
          </c:extLst>
        </c:ser>
        <c:ser>
          <c:idx val="3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'draw (3)'!$B$22:$B$26</c:f>
              <c:numCache>
                <c:formatCode>0\.000</c:formatCode>
                <c:ptCount val="5"/>
                <c:pt idx="0">
                  <c:v>-1158.9631551284999</c:v>
                </c:pt>
                <c:pt idx="1">
                  <c:v>-1150.309639677537</c:v>
                </c:pt>
                <c:pt idx="2">
                  <c:v>-1159.7075073555418</c:v>
                </c:pt>
                <c:pt idx="3">
                  <c:v>-1120.811749552998</c:v>
                </c:pt>
                <c:pt idx="4">
                  <c:v>-1135.1136259297482</c:v>
                </c:pt>
              </c:numCache>
            </c:numRef>
          </c:xVal>
          <c:yVal>
            <c:numRef>
              <c:f>'draw (3)'!$C$22:$C$26</c:f>
              <c:numCache>
                <c:formatCode>0\.000</c:formatCode>
                <c:ptCount val="5"/>
                <c:pt idx="0">
                  <c:v>305.84309374667555</c:v>
                </c:pt>
                <c:pt idx="1">
                  <c:v>299.60990911172388</c:v>
                </c:pt>
                <c:pt idx="2">
                  <c:v>303.94454828790288</c:v>
                </c:pt>
                <c:pt idx="3">
                  <c:v>454.26064359394456</c:v>
                </c:pt>
                <c:pt idx="4">
                  <c:v>462.24543239207651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030-DC4C-AAF3-F96F65F816AE}"/>
            </c:ext>
          </c:extLst>
        </c:ser>
        <c:ser>
          <c:idx val="4"/>
          <c:order val="11"/>
          <c:tx>
            <c:v>S4,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rgbClr val="00B0F0"/>
                </a:solidFill>
              </a:ln>
              <a:effectLst/>
            </c:spPr>
          </c:marker>
          <c:xVal>
            <c:numRef>
              <c:f>'draw (3)'!$B$39:$B$42</c:f>
              <c:numCache>
                <c:formatCode>0\.000</c:formatCode>
                <c:ptCount val="4"/>
                <c:pt idx="0">
                  <c:v>-1470.7016115204842</c:v>
                </c:pt>
                <c:pt idx="1">
                  <c:v>-1487.2550473169922</c:v>
                </c:pt>
                <c:pt idx="2">
                  <c:v>-1412.4735131976854</c:v>
                </c:pt>
                <c:pt idx="3">
                  <c:v>-1434.2188409369292</c:v>
                </c:pt>
              </c:numCache>
            </c:numRef>
          </c:xVal>
          <c:yVal>
            <c:numRef>
              <c:f>'draw (3)'!$C$39:$C$42</c:f>
              <c:numCache>
                <c:formatCode>0\.000</c:formatCode>
                <c:ptCount val="4"/>
                <c:pt idx="0">
                  <c:v>531.96762448594063</c:v>
                </c:pt>
                <c:pt idx="1">
                  <c:v>541.27104699148913</c:v>
                </c:pt>
                <c:pt idx="2">
                  <c:v>721.33520596308244</c:v>
                </c:pt>
                <c:pt idx="3">
                  <c:v>737.05942312048023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030-DC4C-AAF3-F96F65F816AE}"/>
            </c:ext>
          </c:extLst>
        </c:ser>
        <c:ser>
          <c:idx val="0"/>
          <c:order val="12"/>
          <c:tx>
            <c:v>S5,left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'draw (3)'!$B$47:$B$50</c:f>
              <c:numCache>
                <c:formatCode>0\.000</c:formatCode>
                <c:ptCount val="4"/>
                <c:pt idx="0">
                  <c:v>-1185.3760785462707</c:v>
                </c:pt>
                <c:pt idx="1">
                  <c:v>-1203.7771556763555</c:v>
                </c:pt>
                <c:pt idx="2">
                  <c:v>-1119.6361025493757</c:v>
                </c:pt>
                <c:pt idx="3">
                  <c:v>-1141.0783515190651</c:v>
                </c:pt>
              </c:numCache>
            </c:numRef>
          </c:xVal>
          <c:yVal>
            <c:numRef>
              <c:f>'draw (3)'!$C$47:$C$50</c:f>
              <c:numCache>
                <c:formatCode>0\.000</c:formatCode>
                <c:ptCount val="4"/>
                <c:pt idx="0">
                  <c:v>642.68942627421472</c:v>
                </c:pt>
                <c:pt idx="1">
                  <c:v>656.34448619172076</c:v>
                </c:pt>
                <c:pt idx="2">
                  <c:v>787.6091913406907</c:v>
                </c:pt>
                <c:pt idx="3">
                  <c:v>807.26535513579461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030-DC4C-AAF3-F96F65F816AE}"/>
            </c:ext>
          </c:extLst>
        </c:ser>
        <c:ser>
          <c:idx val="5"/>
          <c:order val="13"/>
          <c:tx>
            <c:v>S5,right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'draw (3)'!$B$51:$B$54</c:f>
              <c:numCache>
                <c:formatCode>0\.000</c:formatCode>
                <c:ptCount val="4"/>
                <c:pt idx="0">
                  <c:v>-1489.2722693894218</c:v>
                </c:pt>
                <c:pt idx="1">
                  <c:v>-1510</c:v>
                </c:pt>
                <c:pt idx="2">
                  <c:v>-1406.4354976014572</c:v>
                </c:pt>
                <c:pt idx="3">
                  <c:v>-1432.0343391002261</c:v>
                </c:pt>
              </c:numCache>
            </c:numRef>
          </c:xVal>
          <c:yVal>
            <c:numRef>
              <c:f>'draw (3)'!$C$51:$C$54</c:f>
              <c:numCache>
                <c:formatCode>0\.000</c:formatCode>
                <c:ptCount val="4"/>
                <c:pt idx="0">
                  <c:v>752.00213686608856</c:v>
                </c:pt>
                <c:pt idx="1">
                  <c:v>758.08213632601803</c:v>
                </c:pt>
                <c:pt idx="2">
                  <c:v>934.6112258166188</c:v>
                </c:pt>
                <c:pt idx="3">
                  <c:v>958.08121892364909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030-DC4C-AAF3-F96F65F816AE}"/>
            </c:ext>
          </c:extLst>
        </c:ser>
        <c:ser>
          <c:idx val="6"/>
          <c:order val="14"/>
          <c:tx>
            <c:v>S6,left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CFF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'draw (3)'!$B$59:$B$62</c:f>
              <c:numCache>
                <c:formatCode>0\.000</c:formatCode>
                <c:ptCount val="4"/>
                <c:pt idx="0">
                  <c:v>-1205.7491547306286</c:v>
                </c:pt>
                <c:pt idx="1">
                  <c:v>-1226.8914917674151</c:v>
                </c:pt>
                <c:pt idx="2">
                  <c:v>-1118.4198528811057</c:v>
                </c:pt>
                <c:pt idx="3">
                  <c:v>-1141.1543169028487</c:v>
                </c:pt>
              </c:numCache>
            </c:numRef>
          </c:xVal>
          <c:yVal>
            <c:numRef>
              <c:f>'draw (3)'!$C$59:$C$62</c:f>
              <c:numCache>
                <c:formatCode>0\.000</c:formatCode>
                <c:ptCount val="4"/>
                <c:pt idx="0">
                  <c:v>835.0998824481685</c:v>
                </c:pt>
                <c:pt idx="1">
                  <c:v>855.22978839112625</c:v>
                </c:pt>
                <c:pt idx="2">
                  <c:v>975.29858274647984</c:v>
                </c:pt>
                <c:pt idx="3">
                  <c:v>1002.2793497273158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030-DC4C-AAF3-F96F65F816AE}"/>
            </c:ext>
          </c:extLst>
        </c:ser>
        <c:ser>
          <c:idx val="7"/>
          <c:order val="15"/>
          <c:tx>
            <c:v>S6,right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'draw (3)'!$B$63:$B$66</c:f>
              <c:numCache>
                <c:formatCode>0\.000</c:formatCode>
                <c:ptCount val="4"/>
                <c:pt idx="0">
                  <c:v>-1510.918377522614</c:v>
                </c:pt>
                <c:pt idx="1">
                  <c:v>-1536.163093667587</c:v>
                </c:pt>
                <c:pt idx="2">
                  <c:v>-1397.8740004153187</c:v>
                </c:pt>
                <c:pt idx="3">
                  <c:v>-1425.3449816094726</c:v>
                </c:pt>
              </c:numCache>
            </c:numRef>
          </c:xVal>
          <c:yVal>
            <c:numRef>
              <c:f>'draw (3)'!$C$63:$C$66</c:f>
              <c:numCache>
                <c:formatCode>0\.000</c:formatCode>
                <c:ptCount val="4"/>
                <c:pt idx="0">
                  <c:v>991.22150557242594</c:v>
                </c:pt>
                <c:pt idx="1">
                  <c:v>1015.2519958116166</c:v>
                </c:pt>
                <c:pt idx="2">
                  <c:v>1172.7039229202446</c:v>
                </c:pt>
                <c:pt idx="3">
                  <c:v>1205.3175080753099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030-DC4C-AAF3-F96F65F8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1000"/>
          <c:min val="-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(beam axis)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  <c:majorUnit val="50"/>
        <c:minorUnit val="25"/>
      </c:valAx>
      <c:valAx>
        <c:axId val="1636927823"/>
        <c:scaling>
          <c:orientation val="minMax"/>
          <c:max val="130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 val="autoZero"/>
        <c:crossBetween val="midCat"/>
        <c:majorUnit val="100"/>
        <c:minorUnit val="5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7910559469539991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'draw (3)'!$D$47:$D$50</c:f>
              <c:numCache>
                <c:formatCode>0\.000</c:formatCode>
                <c:ptCount val="4"/>
                <c:pt idx="0">
                  <c:v>73.251056119330485</c:v>
                </c:pt>
                <c:pt idx="1">
                  <c:v>-56.772291567578776</c:v>
                </c:pt>
                <c:pt idx="2">
                  <c:v>85.294583842796555</c:v>
                </c:pt>
                <c:pt idx="3">
                  <c:v>-74.964373936064462</c:v>
                </c:pt>
              </c:numCache>
            </c:numRef>
          </c:xVal>
          <c:yVal>
            <c:numRef>
              <c:f>'draw (3)'!$C$47:$C$50</c:f>
              <c:numCache>
                <c:formatCode>0\.000</c:formatCode>
                <c:ptCount val="4"/>
                <c:pt idx="0">
                  <c:v>642.68942627421472</c:v>
                </c:pt>
                <c:pt idx="1">
                  <c:v>656.34448619172076</c:v>
                </c:pt>
                <c:pt idx="2">
                  <c:v>787.6091913406907</c:v>
                </c:pt>
                <c:pt idx="3">
                  <c:v>807.26535513579461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8-9D4D-B37C-5662C9D3A509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'draw (3)'!$D$23:$D$26</c:f>
              <c:numCache>
                <c:formatCode>0\.000</c:formatCode>
                <c:ptCount val="4"/>
                <c:pt idx="0">
                  <c:v>13.110074722589573</c:v>
                </c:pt>
                <c:pt idx="1">
                  <c:v>-45.489105896715508</c:v>
                </c:pt>
                <c:pt idx="2">
                  <c:v>32.802540068948872</c:v>
                </c:pt>
                <c:pt idx="3">
                  <c:v>-57.730035232663688</c:v>
                </c:pt>
              </c:numCache>
            </c:numRef>
          </c:xVal>
          <c:yVal>
            <c:numRef>
              <c:f>'draw (3)'!$C$23:$C$26</c:f>
              <c:numCache>
                <c:formatCode>0\.000</c:formatCode>
                <c:ptCount val="4"/>
                <c:pt idx="0">
                  <c:v>299.60990911172388</c:v>
                </c:pt>
                <c:pt idx="1">
                  <c:v>303.94454828790288</c:v>
                </c:pt>
                <c:pt idx="2">
                  <c:v>454.26064359394456</c:v>
                </c:pt>
                <c:pt idx="3">
                  <c:v>462.24543239207651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8-9D4D-B37C-5662C9D3A509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31750">
                <a:solidFill>
                  <a:srgbClr val="0070C0"/>
                </a:solidFill>
              </a:ln>
              <a:effectLst/>
            </c:spPr>
          </c:marker>
          <c:xVal>
            <c:numRef>
              <c:f>'draw (3)'!$D$35:$D$38</c:f>
              <c:numCache>
                <c:formatCode>0\.000</c:formatCode>
                <c:ptCount val="4"/>
                <c:pt idx="0">
                  <c:v>42.615412857880642</c:v>
                </c:pt>
                <c:pt idx="1">
                  <c:v>-50.791432066008845</c:v>
                </c:pt>
                <c:pt idx="2">
                  <c:v>58.666111126279581</c:v>
                </c:pt>
                <c:pt idx="3">
                  <c:v>-65.775828650463069</c:v>
                </c:pt>
              </c:numCache>
            </c:numRef>
          </c:xVal>
          <c:yVal>
            <c:numRef>
              <c:f>'draw (3)'!$C$35:$C$38</c:f>
              <c:numCache>
                <c:formatCode>0\.000</c:formatCode>
                <c:ptCount val="4"/>
                <c:pt idx="0">
                  <c:v>467.47520963335489</c:v>
                </c:pt>
                <c:pt idx="1">
                  <c:v>475.5729599218194</c:v>
                </c:pt>
                <c:pt idx="2">
                  <c:v>616.95732392702962</c:v>
                </c:pt>
                <c:pt idx="3">
                  <c:v>630.30258580775876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8-9D4D-B37C-5662C9D3A50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34925">
                <a:solidFill>
                  <a:schemeClr val="accent3"/>
                </a:solidFill>
              </a:ln>
              <a:effectLst/>
            </c:spPr>
          </c:marker>
          <c:xVal>
            <c:numRef>
              <c:f>'draw (3)'!$D$59:$D$62</c:f>
              <c:numCache>
                <c:formatCode>0\.000</c:formatCode>
                <c:ptCount val="4"/>
                <c:pt idx="0">
                  <c:v>107.05101452481335</c:v>
                </c:pt>
                <c:pt idx="1">
                  <c:v>-63.442106913109896</c:v>
                </c:pt>
                <c:pt idx="2">
                  <c:v>114.88455401448549</c:v>
                </c:pt>
                <c:pt idx="3">
                  <c:v>-85.082084212828917</c:v>
                </c:pt>
              </c:numCache>
            </c:numRef>
          </c:xVal>
          <c:yVal>
            <c:numRef>
              <c:f>'draw (3)'!$C$59:$C$62</c:f>
              <c:numCache>
                <c:formatCode>0\.000</c:formatCode>
                <c:ptCount val="4"/>
                <c:pt idx="0">
                  <c:v>835.0998824481685</c:v>
                </c:pt>
                <c:pt idx="1">
                  <c:v>855.22978839112625</c:v>
                </c:pt>
                <c:pt idx="2">
                  <c:v>975.29858274647984</c:v>
                </c:pt>
                <c:pt idx="3">
                  <c:v>1002.2793497273158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8-9D4D-B37C-5662C9D3A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15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 (==&gt; X</a:t>
                </a:r>
                <a:r>
                  <a:rPr lang="en-US" sz="1200" b="1" baseline="0"/>
                  <a:t> in G4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</c:valAx>
      <c:valAx>
        <c:axId val="1636927823"/>
        <c:scaling>
          <c:orientation val="minMax"/>
          <c:max val="13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24489795918364E-2"/>
          <c:y val="1.0828402366863905E-2"/>
          <c:w val="0.86063673469387758"/>
          <c:h val="0.83666987459900843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'draw (3)'!$E$27:$E$30</c:f>
              <c:numCache>
                <c:formatCode>0\.0</c:formatCode>
                <c:ptCount val="4"/>
                <c:pt idx="0">
                  <c:v>-1476.1312610725533</c:v>
                </c:pt>
                <c:pt idx="1">
                  <c:v>-1487.6119068653836</c:v>
                </c:pt>
                <c:pt idx="2">
                  <c:v>-1483.1643487651972</c:v>
                </c:pt>
                <c:pt idx="3">
                  <c:v>-1501.155236696887</c:v>
                </c:pt>
              </c:numCache>
            </c:numRef>
          </c:xVal>
          <c:yVal>
            <c:numRef>
              <c:f>'draw (3)'!$F$27:$F$30</c:f>
              <c:numCache>
                <c:formatCode>0\.0</c:formatCode>
                <c:ptCount val="4"/>
                <c:pt idx="0">
                  <c:v>2.7107498182317045</c:v>
                </c:pt>
                <c:pt idx="1">
                  <c:v>5.1010585783218403</c:v>
                </c:pt>
                <c:pt idx="2">
                  <c:v>185.68293301535465</c:v>
                </c:pt>
                <c:pt idx="3">
                  <c:v>190.90197662780054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F-4346-9A4F-5A8F8F07CE79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E00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'draw (3)'!$E$35:$E$38</c:f>
              <c:numCache>
                <c:formatCode>0\.0</c:formatCode>
                <c:ptCount val="4"/>
                <c:pt idx="0">
                  <c:v>-1243.698085849717</c:v>
                </c:pt>
                <c:pt idx="1">
                  <c:v>-1259.5581650695535</c:v>
                </c:pt>
                <c:pt idx="2">
                  <c:v>-1232.5384969364713</c:v>
                </c:pt>
                <c:pt idx="3">
                  <c:v>-1253.5252593557918</c:v>
                </c:pt>
              </c:numCache>
            </c:numRef>
          </c:xVal>
          <c:yVal>
            <c:numRef>
              <c:f>'draw (3)'!$F$35:$F$38</c:f>
              <c:numCache>
                <c:formatCode>0\.0</c:formatCode>
                <c:ptCount val="4"/>
                <c:pt idx="0">
                  <c:v>192.64140055183952</c:v>
                </c:pt>
                <c:pt idx="1">
                  <c:v>197.29056713618399</c:v>
                </c:pt>
                <c:pt idx="2">
                  <c:v>348.63190259918503</c:v>
                </c:pt>
                <c:pt idx="3">
                  <c:v>357.48302380962542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F-4346-9A4F-5A8F8F07CE79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'draw (3)'!$E$23:$E$26</c:f>
              <c:numCache>
                <c:formatCode>0\.0</c:formatCode>
                <c:ptCount val="4"/>
                <c:pt idx="0">
                  <c:v>-1188.2248430822342</c:v>
                </c:pt>
                <c:pt idx="1">
                  <c:v>-1198.3569256733763</c:v>
                </c:pt>
                <c:pt idx="2">
                  <c:v>-1194.271827747388</c:v>
                </c:pt>
                <c:pt idx="3">
                  <c:v>-1210.0033346180053</c:v>
                </c:pt>
              </c:numCache>
            </c:numRef>
          </c:xVal>
          <c:yVal>
            <c:numRef>
              <c:f>'draw (3)'!$F$23:$F$26</c:f>
              <c:numCache>
                <c:formatCode>0\.0</c:formatCode>
                <c:ptCount val="4"/>
                <c:pt idx="0">
                  <c:v>33.167560284115439</c:v>
                </c:pt>
                <c:pt idx="1">
                  <c:v>35.277042696278329</c:v>
                </c:pt>
                <c:pt idx="2">
                  <c:v>190.49018794507555</c:v>
                </c:pt>
                <c:pt idx="3">
                  <c:v>195.05310495356221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F-4346-9A4F-5A8F8F07CE79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rgbClr val="00B0F0"/>
                </a:solidFill>
              </a:ln>
              <a:effectLst/>
            </c:spPr>
          </c:marker>
          <c:xVal>
            <c:numRef>
              <c:f>'draw (3)'!$E$39:$E$42</c:f>
              <c:numCache>
                <c:formatCode>0\.0</c:formatCode>
                <c:ptCount val="4"/>
                <c:pt idx="0">
                  <c:v>-1552.6743025018777</c:v>
                </c:pt>
                <c:pt idx="1">
                  <c:v>-1570.8962895129689</c:v>
                </c:pt>
                <c:pt idx="2">
                  <c:v>-1538.5370236786021</c:v>
                </c:pt>
                <c:pt idx="3">
                  <c:v>-1563.2621993049536</c:v>
                </c:pt>
              </c:numCache>
            </c:numRef>
          </c:xVal>
          <c:yVal>
            <c:numRef>
              <c:f>'draw (3)'!$F$39:$F$42</c:f>
              <c:numCache>
                <c:formatCode>0\.0</c:formatCode>
                <c:ptCount val="4"/>
                <c:pt idx="0">
                  <c:v>187.49745059725939</c:v>
                </c:pt>
                <c:pt idx="1">
                  <c:v>192.8387141512772</c:v>
                </c:pt>
                <c:pt idx="2">
                  <c:v>385.11002533951716</c:v>
                </c:pt>
                <c:pt idx="3">
                  <c:v>395.53959742787225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8F-4346-9A4F-5A8F8F07CE79}"/>
            </c:ext>
          </c:extLst>
        </c:ser>
        <c:ser>
          <c:idx val="0"/>
          <c:order val="4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'draw (3)'!$E$47:$E$50</c:f>
              <c:numCache>
                <c:formatCode>0\.0</c:formatCode>
                <c:ptCount val="4"/>
                <c:pt idx="0">
                  <c:v>-1299.5686305040363</c:v>
                </c:pt>
                <c:pt idx="1">
                  <c:v>-1320.5698093449666</c:v>
                </c:pt>
                <c:pt idx="2">
                  <c:v>-1268.1134197799308</c:v>
                </c:pt>
                <c:pt idx="3">
                  <c:v>-1293.4277800677323</c:v>
                </c:pt>
              </c:numCache>
            </c:numRef>
          </c:xVal>
          <c:yVal>
            <c:numRef>
              <c:f>'draw (3)'!$F$47:$F$50</c:f>
              <c:numCache>
                <c:formatCode>0\.0</c:formatCode>
                <c:ptCount val="4"/>
                <c:pt idx="0">
                  <c:v>359.5657392526125</c:v>
                </c:pt>
                <c:pt idx="1">
                  <c:v>368.73147916760377</c:v>
                </c:pt>
                <c:pt idx="2">
                  <c:v>515.55949704213776</c:v>
                </c:pt>
                <c:pt idx="3">
                  <c:v>529.88841811936709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8F-4346-9A4F-5A8F8F07CE7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'draw (3)'!$E$51:$E$54</c:f>
              <c:numCache>
                <c:formatCode>0\.0</c:formatCode>
                <c:ptCount val="4"/>
                <c:pt idx="0">
                  <c:v>-1620.2659911646913</c:v>
                </c:pt>
                <c:pt idx="1">
                  <c:v>-1641.8301736714925</c:v>
                </c:pt>
                <c:pt idx="2">
                  <c:v>-1580.6304275632469</c:v>
                </c:pt>
                <c:pt idx="3">
                  <c:v>-1610.8527721076991</c:v>
                </c:pt>
              </c:numCache>
            </c:numRef>
          </c:xVal>
          <c:yVal>
            <c:numRef>
              <c:f>'draw (3)'!$F$51:$F$54</c:f>
              <c:numCache>
                <c:formatCode>0\.0</c:formatCode>
                <c:ptCount val="4"/>
                <c:pt idx="0">
                  <c:v>397.71500361261513</c:v>
                </c:pt>
                <c:pt idx="1">
                  <c:v>398.97644822527553</c:v>
                </c:pt>
                <c:pt idx="2">
                  <c:v>594.2780525958608</c:v>
                </c:pt>
                <c:pt idx="3">
                  <c:v>611.38802491493732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8F-4346-9A4F-5A8F8F07CE7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CFF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'draw (3)'!$E$59:$E$62</c:f>
              <c:numCache>
                <c:formatCode>0\.0</c:formatCode>
                <c:ptCount val="4"/>
                <c:pt idx="0">
                  <c:v>-1362.7024810487783</c:v>
                </c:pt>
                <c:pt idx="1">
                  <c:v>-1387.8311849227346</c:v>
                </c:pt>
                <c:pt idx="2">
                  <c:v>-1309.1492689977542</c:v>
                </c:pt>
                <c:pt idx="3">
                  <c:v>-1337.3704021588228</c:v>
                </c:pt>
              </c:numCache>
            </c:numRef>
          </c:xVal>
          <c:yVal>
            <c:numRef>
              <c:f>'draw (3)'!$F$59:$F$62</c:f>
              <c:numCache>
                <c:formatCode>0\.0</c:formatCode>
                <c:ptCount val="4"/>
                <c:pt idx="0">
                  <c:v>542.46178293228536</c:v>
                </c:pt>
                <c:pt idx="1">
                  <c:v>557.31976968232732</c:v>
                </c:pt>
                <c:pt idx="2">
                  <c:v>698.71201815092058</c:v>
                </c:pt>
                <c:pt idx="3">
                  <c:v>719.88712817035935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8F-4346-9A4F-5A8F8F07CE7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'draw (3)'!$E$63:$E$66</c:f>
              <c:numCache>
                <c:formatCode>0\.0</c:formatCode>
                <c:ptCount val="4"/>
                <c:pt idx="0">
                  <c:v>-1695.1699601587422</c:v>
                </c:pt>
                <c:pt idx="1">
                  <c:v>-1725.1733399801103</c:v>
                </c:pt>
                <c:pt idx="2">
                  <c:v>-1625.8475642403657</c:v>
                </c:pt>
                <c:pt idx="3">
                  <c:v>-1659.9509263327927</c:v>
                </c:pt>
              </c:numCache>
            </c:numRef>
          </c:xVal>
          <c:yVal>
            <c:numRef>
              <c:f>'draw (3)'!$F$63:$F$66</c:f>
              <c:numCache>
                <c:formatCode>0\.0</c:formatCode>
                <c:ptCount val="4"/>
                <c:pt idx="0">
                  <c:v>625.93388054988918</c:v>
                </c:pt>
                <c:pt idx="1">
                  <c:v>643.66964536764704</c:v>
                </c:pt>
                <c:pt idx="2">
                  <c:v>828.19436711639605</c:v>
                </c:pt>
                <c:pt idx="3">
                  <c:v>853.79244201333017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8F-4346-9A4F-5A8F8F07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567"/>
        <c:axId val="1636927823"/>
      </c:scatterChart>
      <c:valAx>
        <c:axId val="1637007567"/>
        <c:scaling>
          <c:orientation val="minMax"/>
          <c:max val="-1000"/>
          <c:min val="-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(beam axis)</a:t>
                </a:r>
              </a:p>
            </c:rich>
          </c:tx>
          <c:layout>
            <c:manualLayout>
              <c:xMode val="edge"/>
              <c:yMode val="edge"/>
              <c:x val="0.43408568214687449"/>
              <c:y val="0.90547389909594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6927823"/>
        <c:crosses val="autoZero"/>
        <c:crossBetween val="midCat"/>
        <c:majorUnit val="50"/>
        <c:minorUnit val="25"/>
      </c:valAx>
      <c:valAx>
        <c:axId val="1636927823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(vertical)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37007567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85544</xdr:colOff>
      <xdr:row>9</xdr:row>
      <xdr:rowOff>0</xdr:rowOff>
    </xdr:from>
    <xdr:to>
      <xdr:col>10</xdr:col>
      <xdr:colOff>391554</xdr:colOff>
      <xdr:row>36</xdr:row>
      <xdr:rowOff>50229</xdr:rowOff>
    </xdr:to>
    <xdr:pic>
      <xdr:nvPicPr>
        <xdr:cNvPr id="2" name="Grafik2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5" y="1542415"/>
          <a:ext cx="7759065" cy="4686300"/>
        </a:xfrm>
        <a:prstGeom prst="rect">
          <a:avLst/>
        </a:prstGeom>
        <a:noFill/>
        <a:ln w="12700" cap="flat" cmpd="sng">
          <a:noFill/>
          <a:prstDash val="solid"/>
          <a:miter/>
          <a:headEnd type="none" w="med" len="med"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38</xdr:row>
      <xdr:rowOff>104402</xdr:rowOff>
    </xdr:from>
    <xdr:to>
      <xdr:col>11</xdr:col>
      <xdr:colOff>153622</xdr:colOff>
      <xdr:row>66</xdr:row>
      <xdr:rowOff>15329</xdr:rowOff>
    </xdr:to>
    <xdr:pic>
      <xdr:nvPicPr>
        <xdr:cNvPr id="3" name="Grafik1" descr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8549902"/>
          <a:ext cx="10059622" cy="6133927"/>
        </a:xfrm>
        <a:prstGeom prst="rect">
          <a:avLst/>
        </a:prstGeom>
        <a:noFill/>
        <a:ln w="12700" cap="flat" cmpd="sng">
          <a:noFill/>
          <a:prstDash val="solid"/>
          <a:miter/>
          <a:headEnd type="none" w="med" len="med"/>
          <a:tailEnd type="none" w="med" len="med"/>
        </a:ln>
        <a:effectLst/>
      </xdr:spPr>
    </xdr:pic>
    <xdr:clientData/>
  </xdr:twoCellAnchor>
  <xdr:twoCellAnchor>
    <xdr:from>
      <xdr:col>11</xdr:col>
      <xdr:colOff>500512</xdr:colOff>
      <xdr:row>28</xdr:row>
      <xdr:rowOff>30129</xdr:rowOff>
    </xdr:from>
    <xdr:to>
      <xdr:col>22</xdr:col>
      <xdr:colOff>599057</xdr:colOff>
      <xdr:row>66</xdr:row>
      <xdr:rowOff>95850</xdr:rowOff>
    </xdr:to>
    <xdr:pic>
      <xdr:nvPicPr>
        <xdr:cNvPr id="4" name="Grafik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936927" y="6739563"/>
          <a:ext cx="11504583" cy="9171381"/>
        </a:xfrm>
        <a:prstGeom prst="rect">
          <a:avLst/>
        </a:prstGeom>
        <a:noFill/>
        <a:ln w="12700" cap="flat" cmpd="sng">
          <a:noFill/>
          <a:prstDash val="solid"/>
          <a:miter/>
          <a:headEnd type="none" w="med" len="med"/>
          <a:tailEnd type="none" w="med" len="med"/>
        </a:ln>
        <a:effectLst/>
      </xdr:spPr>
    </xdr:pic>
    <xdr:clientData/>
  </xdr:twoCellAnchor>
  <xdr:twoCellAnchor>
    <xdr:from>
      <xdr:col>18</xdr:col>
      <xdr:colOff>97465</xdr:colOff>
      <xdr:row>81</xdr:row>
      <xdr:rowOff>44304</xdr:rowOff>
    </xdr:from>
    <xdr:to>
      <xdr:col>22</xdr:col>
      <xdr:colOff>408822</xdr:colOff>
      <xdr:row>102</xdr:row>
      <xdr:rowOff>117793</xdr:rowOff>
    </xdr:to>
    <xdr:pic>
      <xdr:nvPicPr>
        <xdr:cNvPr id="5" name="Grafik 4" descr="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3751442" y="13840048"/>
          <a:ext cx="3040380" cy="3963233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8</xdr:col>
      <xdr:colOff>558800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742C5-17E1-0A46-94F6-2A9477434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18</xdr:row>
      <xdr:rowOff>101600</xdr:rowOff>
    </xdr:from>
    <xdr:to>
      <xdr:col>22</xdr:col>
      <xdr:colOff>88900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E9635-D6FE-8542-B5D2-7E44EE39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0</xdr:row>
      <xdr:rowOff>0</xdr:rowOff>
    </xdr:from>
    <xdr:to>
      <xdr:col>17</xdr:col>
      <xdr:colOff>660400</xdr:colOff>
      <xdr:row>18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B7342D-D8C5-4E43-81D0-4F86D320F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27</xdr:col>
      <xdr:colOff>50800</xdr:colOff>
      <xdr:row>18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846EDE-F6E5-9646-BC8C-9576EB672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88900</xdr:rowOff>
    </xdr:from>
    <xdr:to>
      <xdr:col>23</xdr:col>
      <xdr:colOff>152400</xdr:colOff>
      <xdr:row>75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5535FB-D78C-8147-8975-4B06C0923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9</xdr:col>
      <xdr:colOff>431800</xdr:colOff>
      <xdr:row>108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0A40DE-0D49-D043-9FB3-D53B1BE1E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101600</xdr:rowOff>
    </xdr:from>
    <xdr:to>
      <xdr:col>8</xdr:col>
      <xdr:colOff>317500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5749A-10CF-424C-976A-00C21D23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19</xdr:row>
      <xdr:rowOff>88900</xdr:rowOff>
    </xdr:from>
    <xdr:to>
      <xdr:col>25</xdr:col>
      <xdr:colOff>292100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5A923-A70B-5543-991A-D41B7EAD8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812800</xdr:colOff>
      <xdr:row>49</xdr:row>
      <xdr:rowOff>50800</xdr:rowOff>
    </xdr:from>
    <xdr:to>
      <xdr:col>25</xdr:col>
      <xdr:colOff>800100</xdr:colOff>
      <xdr:row>82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C4C768-F047-2E44-8A21-67F5C9FA4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698500</xdr:colOff>
      <xdr:row>0</xdr:row>
      <xdr:rowOff>63500</xdr:rowOff>
    </xdr:from>
    <xdr:to>
      <xdr:col>17</xdr:col>
      <xdr:colOff>635000</xdr:colOff>
      <xdr:row>19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28FB8-D2BD-5842-825F-C7E0ECC4A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1587500</xdr:colOff>
      <xdr:row>53</xdr:row>
      <xdr:rowOff>50800</xdr:rowOff>
    </xdr:to>
    <xdr:pic>
      <xdr:nvPicPr>
        <xdr:cNvPr id="2" name="Grafik 1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644900"/>
          <a:ext cx="5016500" cy="68834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114300</xdr:colOff>
      <xdr:row>3</xdr:row>
      <xdr:rowOff>85725</xdr:rowOff>
    </xdr:from>
    <xdr:to>
      <xdr:col>9</xdr:col>
      <xdr:colOff>2028825</xdr:colOff>
      <xdr:row>3</xdr:row>
      <xdr:rowOff>95250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10582275" y="962025"/>
          <a:ext cx="1914525" cy="9525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6</xdr:row>
      <xdr:rowOff>57150</xdr:rowOff>
    </xdr:from>
    <xdr:to>
      <xdr:col>12</xdr:col>
      <xdr:colOff>447675</xdr:colOff>
      <xdr:row>10</xdr:row>
      <xdr:rowOff>40217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4439900" y="1504950"/>
          <a:ext cx="0" cy="745067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14</xdr:row>
      <xdr:rowOff>171450</xdr:rowOff>
    </xdr:from>
    <xdr:to>
      <xdr:col>12</xdr:col>
      <xdr:colOff>21168</xdr:colOff>
      <xdr:row>18</xdr:row>
      <xdr:rowOff>133349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10620375" y="3238500"/>
          <a:ext cx="3393018" cy="685799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15240</xdr:colOff>
      <xdr:row>40</xdr:row>
      <xdr:rowOff>4732</xdr:rowOff>
    </xdr:to>
    <xdr:pic>
      <xdr:nvPicPr>
        <xdr:cNvPr id="2" name="Grafik 1" descr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436620"/>
          <a:ext cx="3162300" cy="3936652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247650</xdr:colOff>
      <xdr:row>2</xdr:row>
      <xdr:rowOff>161925</xdr:rowOff>
    </xdr:from>
    <xdr:to>
      <xdr:col>9</xdr:col>
      <xdr:colOff>2076450</xdr:colOff>
      <xdr:row>2</xdr:row>
      <xdr:rowOff>161926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0363200" y="666750"/>
          <a:ext cx="1828800" cy="1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14</xdr:row>
      <xdr:rowOff>171450</xdr:rowOff>
    </xdr:from>
    <xdr:to>
      <xdr:col>11</xdr:col>
      <xdr:colOff>525993</xdr:colOff>
      <xdr:row>18</xdr:row>
      <xdr:rowOff>133349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0429875" y="3057525"/>
          <a:ext cx="3393018" cy="685799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6</xdr:row>
      <xdr:rowOff>95250</xdr:rowOff>
    </xdr:from>
    <xdr:to>
      <xdr:col>12</xdr:col>
      <xdr:colOff>371475</xdr:colOff>
      <xdr:row>10</xdr:row>
      <xdr:rowOff>78317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4354175" y="1362075"/>
          <a:ext cx="0" cy="745067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335280</xdr:colOff>
      <xdr:row>40</xdr:row>
      <xdr:rowOff>4732</xdr:rowOff>
    </xdr:to>
    <xdr:pic>
      <xdr:nvPicPr>
        <xdr:cNvPr id="2" name="Grafik 1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436620"/>
          <a:ext cx="3467100" cy="3944272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804333</xdr:colOff>
      <xdr:row>3</xdr:row>
      <xdr:rowOff>101600</xdr:rowOff>
    </xdr:from>
    <xdr:to>
      <xdr:col>9</xdr:col>
      <xdr:colOff>2633133</xdr:colOff>
      <xdr:row>3</xdr:row>
      <xdr:rowOff>101601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1311466" y="812800"/>
          <a:ext cx="1828800" cy="1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330200</xdr:colOff>
      <xdr:row>14</xdr:row>
      <xdr:rowOff>67733</xdr:rowOff>
    </xdr:from>
    <xdr:to>
      <xdr:col>10</xdr:col>
      <xdr:colOff>404284</xdr:colOff>
      <xdr:row>18</xdr:row>
      <xdr:rowOff>8465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>
          <a:off x="10837333" y="3005666"/>
          <a:ext cx="3393018" cy="685799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397933</xdr:colOff>
      <xdr:row>6</xdr:row>
      <xdr:rowOff>59267</xdr:rowOff>
    </xdr:from>
    <xdr:to>
      <xdr:col>12</xdr:col>
      <xdr:colOff>397933</xdr:colOff>
      <xdr:row>10</xdr:row>
      <xdr:rowOff>25401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5595600" y="1354667"/>
          <a:ext cx="0" cy="745067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335280</xdr:colOff>
      <xdr:row>40</xdr:row>
      <xdr:rowOff>4732</xdr:rowOff>
    </xdr:to>
    <xdr:pic>
      <xdr:nvPicPr>
        <xdr:cNvPr id="2" name="Grafik 1" descr="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436620"/>
          <a:ext cx="3467100" cy="4119532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270933</xdr:colOff>
      <xdr:row>2</xdr:row>
      <xdr:rowOff>71120</xdr:rowOff>
    </xdr:from>
    <xdr:to>
      <xdr:col>9</xdr:col>
      <xdr:colOff>2099733</xdr:colOff>
      <xdr:row>2</xdr:row>
      <xdr:rowOff>71121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0557933" y="924560"/>
          <a:ext cx="1828800" cy="1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330200</xdr:colOff>
      <xdr:row>14</xdr:row>
      <xdr:rowOff>67733</xdr:rowOff>
    </xdr:from>
    <xdr:to>
      <xdr:col>10</xdr:col>
      <xdr:colOff>404284</xdr:colOff>
      <xdr:row>18</xdr:row>
      <xdr:rowOff>8465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H="1">
          <a:off x="10822940" y="2955713"/>
          <a:ext cx="3396404" cy="672252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397933</xdr:colOff>
      <xdr:row>6</xdr:row>
      <xdr:rowOff>59267</xdr:rowOff>
    </xdr:from>
    <xdr:to>
      <xdr:col>12</xdr:col>
      <xdr:colOff>397933</xdr:colOff>
      <xdr:row>10</xdr:row>
      <xdr:rowOff>25401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15584593" y="1331807"/>
          <a:ext cx="0" cy="728134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0</xdr:row>
      <xdr:rowOff>215900</xdr:rowOff>
    </xdr:from>
    <xdr:to>
      <xdr:col>20</xdr:col>
      <xdr:colOff>76200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E0125-836A-3E42-B446-74FA2318E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47</xdr:row>
      <xdr:rowOff>114300</xdr:rowOff>
    </xdr:from>
    <xdr:to>
      <xdr:col>18</xdr:col>
      <xdr:colOff>755650</xdr:colOff>
      <xdr:row>67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0AA35-B705-6140-B861-77EAD39A8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23</xdr:row>
      <xdr:rowOff>0</xdr:rowOff>
    </xdr:from>
    <xdr:to>
      <xdr:col>19</xdr:col>
      <xdr:colOff>304800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1E32F-D610-FF4D-9960-29FFB9AD6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29</xdr:row>
      <xdr:rowOff>38100</xdr:rowOff>
    </xdr:from>
    <xdr:to>
      <xdr:col>17</xdr:col>
      <xdr:colOff>50800</xdr:colOff>
      <xdr:row>30</xdr:row>
      <xdr:rowOff>63500</xdr:rowOff>
    </xdr:to>
    <xdr:sp macro="" textlink="">
      <xdr:nvSpPr>
        <xdr:cNvPr id="5" name="Right Triangle 4">
          <a:extLst>
            <a:ext uri="{FF2B5EF4-FFF2-40B4-BE49-F238E27FC236}">
              <a16:creationId xmlns:a16="http://schemas.microsoft.com/office/drawing/2014/main" id="{815FEF8F-F652-664F-8753-1087D4A758B1}"/>
            </a:ext>
          </a:extLst>
        </xdr:cNvPr>
        <xdr:cNvSpPr/>
      </xdr:nvSpPr>
      <xdr:spPr>
        <a:xfrm flipH="1">
          <a:off x="14338300" y="6400800"/>
          <a:ext cx="292100" cy="215900"/>
        </a:xfrm>
        <a:prstGeom prst="rtTriangle">
          <a:avLst/>
        </a:prstGeom>
        <a:noFill/>
        <a:ln>
          <a:solidFill>
            <a:srgbClr val="00B05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342900</xdr:colOff>
      <xdr:row>35</xdr:row>
      <xdr:rowOff>177800</xdr:rowOff>
    </xdr:from>
    <xdr:to>
      <xdr:col>16</xdr:col>
      <xdr:colOff>635000</xdr:colOff>
      <xdr:row>37</xdr:row>
      <xdr:rowOff>12700</xdr:rowOff>
    </xdr:to>
    <xdr:sp macro="" textlink="">
      <xdr:nvSpPr>
        <xdr:cNvPr id="6" name="Right Triangle 5">
          <a:extLst>
            <a:ext uri="{FF2B5EF4-FFF2-40B4-BE49-F238E27FC236}">
              <a16:creationId xmlns:a16="http://schemas.microsoft.com/office/drawing/2014/main" id="{79F50776-BC5B-3840-ABCF-4888FD6CEC8E}"/>
            </a:ext>
          </a:extLst>
        </xdr:cNvPr>
        <xdr:cNvSpPr/>
      </xdr:nvSpPr>
      <xdr:spPr>
        <a:xfrm flipH="1">
          <a:off x="14097000" y="7823200"/>
          <a:ext cx="292100" cy="215900"/>
        </a:xfrm>
        <a:prstGeom prst="rtTriangle">
          <a:avLst/>
        </a:prstGeom>
        <a:noFill/>
        <a:ln>
          <a:solidFill>
            <a:srgbClr val="00B05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0.33188</cdr:x>
      <cdr:y>0.18844</cdr:y>
    </cdr:from>
    <cdr:to>
      <cdr:x>0.84749</cdr:x>
      <cdr:y>0.24121</cdr:y>
    </cdr:to>
    <cdr:sp macro="" textlink="">
      <cdr:nvSpPr>
        <cdr:cNvPr id="2" name="Right Triangle 1">
          <a:extLst xmlns:a="http://schemas.openxmlformats.org/drawingml/2006/main">
            <a:ext uri="{FF2B5EF4-FFF2-40B4-BE49-F238E27FC236}">
              <a16:creationId xmlns:a16="http://schemas.microsoft.com/office/drawing/2014/main" id="{5BA31AF5-E468-DC49-B176-3D9747BD1C88}"/>
            </a:ext>
          </a:extLst>
        </cdr:cNvPr>
        <cdr:cNvSpPr/>
      </cdr:nvSpPr>
      <cdr:spPr>
        <a:xfrm xmlns:a="http://schemas.openxmlformats.org/drawingml/2006/main">
          <a:off x="2901950" y="952500"/>
          <a:ext cx="4508500" cy="266700"/>
        </a:xfrm>
        <a:prstGeom xmlns:a="http://schemas.openxmlformats.org/drawingml/2006/main" prst="rtTriangle">
          <a:avLst/>
        </a:prstGeom>
        <a:noFill xmlns:a="http://schemas.openxmlformats.org/drawingml/2006/main"/>
        <a:ln xmlns:a="http://schemas.openxmlformats.org/drawingml/2006/main">
          <a:solidFill>
            <a:srgbClr val="00B0F0"/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0.7923</cdr:x>
      <cdr:y>0.22864</cdr:y>
    </cdr:from>
    <cdr:to>
      <cdr:x>0.84749</cdr:x>
      <cdr:y>0.44221</cdr:y>
    </cdr:to>
    <cdr:sp macro="" textlink="">
      <cdr:nvSpPr>
        <cdr:cNvPr id="3" name="Right Triangle 2">
          <a:extLst xmlns:a="http://schemas.openxmlformats.org/drawingml/2006/main">
            <a:ext uri="{FF2B5EF4-FFF2-40B4-BE49-F238E27FC236}">
              <a16:creationId xmlns:a16="http://schemas.microsoft.com/office/drawing/2014/main" id="{7B7DEB8D-901A-F946-A0CE-0902D2AE2AB8}"/>
            </a:ext>
          </a:extLst>
        </cdr:cNvPr>
        <cdr:cNvSpPr/>
      </cdr:nvSpPr>
      <cdr:spPr>
        <a:xfrm xmlns:a="http://schemas.openxmlformats.org/drawingml/2006/main" rot="16200000">
          <a:off x="6629400" y="1454150"/>
          <a:ext cx="1079500" cy="482600"/>
        </a:xfrm>
        <a:prstGeom xmlns:a="http://schemas.openxmlformats.org/drawingml/2006/main" prst="rtTriangle">
          <a:avLst/>
        </a:prstGeom>
        <a:noFill xmlns:a="http://schemas.openxmlformats.org/drawingml/2006/main"/>
        <a:ln xmlns:a="http://schemas.openxmlformats.org/drawingml/2006/main">
          <a:solidFill>
            <a:srgbClr val="7030A0"/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0.38417</cdr:x>
      <cdr:y>0.19598</cdr:y>
    </cdr:from>
    <cdr:to>
      <cdr:x>0.48584</cdr:x>
      <cdr:y>0.24623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29FA850-A669-644E-BD9F-873F6A2362E1}"/>
            </a:ext>
          </a:extLst>
        </cdr:cNvPr>
        <cdr:cNvSpPr txBox="1"/>
      </cdr:nvSpPr>
      <cdr:spPr>
        <a:xfrm xmlns:a="http://schemas.openxmlformats.org/drawingml/2006/main">
          <a:off x="3359150" y="990600"/>
          <a:ext cx="889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B0F0"/>
              </a:solidFill>
            </a:rPr>
            <a:t>alpha</a:t>
          </a:r>
        </a:p>
      </cdr:txBody>
    </cdr:sp>
  </cdr:relSizeAnchor>
  <cdr:relSizeAnchor xmlns:cdr="http://schemas.openxmlformats.org/drawingml/2006/chartDrawing">
    <cdr:from>
      <cdr:x>0.81917</cdr:x>
      <cdr:y>0.20603</cdr:y>
    </cdr:from>
    <cdr:to>
      <cdr:x>0.84822</cdr:x>
      <cdr:y>0.38191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FC9A179-DCA9-D241-BAD9-494A951F6F83}"/>
            </a:ext>
          </a:extLst>
        </cdr:cNvPr>
        <cdr:cNvSpPr txBox="1"/>
      </cdr:nvSpPr>
      <cdr:spPr>
        <a:xfrm xmlns:a="http://schemas.openxmlformats.org/drawingml/2006/main" rot="16200000">
          <a:off x="6845300" y="1358900"/>
          <a:ext cx="889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phi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0.22648</cdr:x>
      <cdr:y>0.17927</cdr:y>
    </cdr:from>
    <cdr:to>
      <cdr:x>0.30868</cdr:x>
      <cdr:y>0.22409</cdr:y>
    </cdr:to>
    <cdr:sp macro="" textlink="">
      <cdr:nvSpPr>
        <cdr:cNvPr id="2" name="Right Triangle 1">
          <a:extLst xmlns:a="http://schemas.openxmlformats.org/drawingml/2006/main">
            <a:ext uri="{FF2B5EF4-FFF2-40B4-BE49-F238E27FC236}">
              <a16:creationId xmlns:a16="http://schemas.microsoft.com/office/drawing/2014/main" id="{5F5C8395-3A72-0D4A-9ACF-1A81D3B2EB53}"/>
            </a:ext>
          </a:extLst>
        </cdr:cNvPr>
        <cdr:cNvSpPr/>
      </cdr:nvSpPr>
      <cdr:spPr>
        <a:xfrm xmlns:a="http://schemas.openxmlformats.org/drawingml/2006/main" flipV="1">
          <a:off x="1574800" y="812800"/>
          <a:ext cx="571500" cy="203200"/>
        </a:xfrm>
        <a:prstGeom xmlns:a="http://schemas.openxmlformats.org/drawingml/2006/main" prst="rtTriangle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sv-SE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0</xdr:row>
      <xdr:rowOff>215900</xdr:rowOff>
    </xdr:from>
    <xdr:to>
      <xdr:col>20</xdr:col>
      <xdr:colOff>76200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2874C-F364-6443-95B2-713513282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368300</xdr:colOff>
      <xdr:row>47</xdr:row>
      <xdr:rowOff>177800</xdr:rowOff>
    </xdr:from>
    <xdr:to>
      <xdr:col>19</xdr:col>
      <xdr:colOff>501650</xdr:colOff>
      <xdr:row>75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115DE-0C1C-984B-85AF-2848B3A18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23</xdr:row>
      <xdr:rowOff>0</xdr:rowOff>
    </xdr:from>
    <xdr:to>
      <xdr:col>19</xdr:col>
      <xdr:colOff>304800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B2FA9-E5BF-834B-AF0C-7C1104B44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3"/>
  <sheetViews>
    <sheetView topLeftCell="A80" zoomScale="53" zoomScaleNormal="53" workbookViewId="0">
      <selection activeCell="AA75" sqref="AA75"/>
    </sheetView>
  </sheetViews>
  <sheetFormatPr baseColWidth="10" defaultColWidth="9" defaultRowHeight="18"/>
  <cols>
    <col min="1" max="1" width="9.6640625" style="93" customWidth="1"/>
    <col min="2" max="3" width="14" style="93" customWidth="1"/>
    <col min="4" max="4" width="12.83203125" style="93" customWidth="1"/>
    <col min="5" max="5" width="14.1640625" style="93" customWidth="1"/>
    <col min="6" max="6" width="17.1640625" style="94" customWidth="1"/>
    <col min="7" max="7" width="15.5" style="94" customWidth="1"/>
    <col min="8" max="8" width="13.83203125" style="94" customWidth="1"/>
    <col min="9" max="9" width="30.1640625" style="93" customWidth="1"/>
    <col min="10" max="10" width="10" style="114"/>
    <col min="11" max="11" width="11.1640625" style="115" customWidth="1"/>
    <col min="12" max="12" width="13" style="115" customWidth="1"/>
    <col min="13" max="13" width="9.33203125" style="115" customWidth="1"/>
    <col min="14" max="14" width="41.5" style="114" customWidth="1"/>
    <col min="15" max="17" width="9" style="114" customWidth="1"/>
    <col min="18" max="18" width="10" style="116" customWidth="1"/>
    <col min="19" max="19" width="18.1640625" style="114" customWidth="1"/>
    <col min="20" max="26" width="10" style="114" customWidth="1"/>
    <col min="27" max="27" width="30.83203125" style="114" customWidth="1"/>
    <col min="28" max="33" width="10" style="114" customWidth="1"/>
    <col min="34" max="256" width="10" customWidth="1"/>
  </cols>
  <sheetData>
    <row r="1" spans="1:18">
      <c r="A1" s="93" t="s">
        <v>0</v>
      </c>
      <c r="M1" s="115" t="s">
        <v>1</v>
      </c>
    </row>
    <row r="2" spans="1:18">
      <c r="M2" s="115" t="s">
        <v>2</v>
      </c>
      <c r="N2" s="114" t="s">
        <v>3</v>
      </c>
    </row>
    <row r="3" spans="1:18">
      <c r="D3" s="95" t="s">
        <v>4</v>
      </c>
      <c r="F3" s="96" t="s">
        <v>5</v>
      </c>
    </row>
    <row r="4" spans="1:18">
      <c r="D4" s="95" t="s">
        <v>6</v>
      </c>
      <c r="F4" s="96" t="s">
        <v>7</v>
      </c>
    </row>
    <row r="5" spans="1:18">
      <c r="D5" s="95" t="s">
        <v>8</v>
      </c>
      <c r="F5" s="96" t="s">
        <v>9</v>
      </c>
    </row>
    <row r="6" spans="1:18">
      <c r="D6" s="95" t="s">
        <v>10</v>
      </c>
      <c r="F6" s="96" t="s">
        <v>11</v>
      </c>
    </row>
    <row r="7" spans="1:18">
      <c r="D7" s="95" t="s">
        <v>12</v>
      </c>
      <c r="F7" s="96" t="s">
        <v>13</v>
      </c>
      <c r="R7" s="116" t="s">
        <v>14</v>
      </c>
    </row>
    <row r="8" spans="1:18">
      <c r="D8" s="95" t="s">
        <v>15</v>
      </c>
      <c r="F8" s="96" t="s">
        <v>16</v>
      </c>
      <c r="R8" s="116" t="s">
        <v>17</v>
      </c>
    </row>
    <row r="68" spans="1:33">
      <c r="A68" s="93" t="s">
        <v>57</v>
      </c>
    </row>
    <row r="69" spans="1:33">
      <c r="A69" s="93" t="s">
        <v>18</v>
      </c>
    </row>
    <row r="70" spans="1:33">
      <c r="A70" s="93" t="s">
        <v>19</v>
      </c>
    </row>
    <row r="72" spans="1:33" ht="19" thickBot="1"/>
    <row r="73" spans="1:33" ht="19" thickBot="1">
      <c r="D73" s="97"/>
      <c r="E73" s="98"/>
      <c r="F73" s="99" t="s">
        <v>20</v>
      </c>
      <c r="G73" s="99" t="s">
        <v>21</v>
      </c>
      <c r="H73" s="100" t="s">
        <v>22</v>
      </c>
      <c r="I73" s="235" t="s">
        <v>112</v>
      </c>
      <c r="J73" s="238">
        <v>-3</v>
      </c>
    </row>
    <row r="74" spans="1:33" ht="19" thickBot="1">
      <c r="A74" s="93" t="s">
        <v>23</v>
      </c>
      <c r="D74" s="101" t="s">
        <v>24</v>
      </c>
      <c r="E74" s="101"/>
      <c r="F74" s="99"/>
      <c r="G74" s="99"/>
      <c r="H74" s="100"/>
      <c r="I74" s="236"/>
      <c r="J74" s="239"/>
    </row>
    <row r="75" spans="1:33" ht="19" thickBot="1">
      <c r="D75" s="101" t="s">
        <v>25</v>
      </c>
      <c r="E75" s="101"/>
      <c r="F75" s="99"/>
      <c r="G75" s="99"/>
      <c r="H75" s="100"/>
      <c r="I75" s="237"/>
      <c r="J75" s="240"/>
    </row>
    <row r="76" spans="1:33" ht="19" thickBot="1">
      <c r="D76" s="101" t="s">
        <v>26</v>
      </c>
      <c r="E76" s="101"/>
      <c r="F76" s="102">
        <v>-1466.511</v>
      </c>
      <c r="G76" s="102">
        <v>435.48</v>
      </c>
      <c r="H76" s="102">
        <v>42.000999999999998</v>
      </c>
      <c r="J76" s="117"/>
      <c r="K76" s="118"/>
      <c r="O76" s="119"/>
    </row>
    <row r="77" spans="1:33" ht="19" thickBot="1">
      <c r="D77" s="101" t="s">
        <v>27</v>
      </c>
      <c r="E77" s="101"/>
      <c r="F77" s="102">
        <v>-1488.915</v>
      </c>
      <c r="G77" s="102">
        <v>645.83900000000006</v>
      </c>
      <c r="H77" s="102">
        <v>56.701000000000001</v>
      </c>
      <c r="O77" s="119"/>
    </row>
    <row r="78" spans="1:33" ht="19" thickBot="1">
      <c r="D78" s="101" t="s">
        <v>28</v>
      </c>
      <c r="E78" s="101"/>
      <c r="F78" s="102">
        <v>-1495.0160000000001</v>
      </c>
      <c r="G78" s="102">
        <v>871.79499999999996</v>
      </c>
      <c r="H78" s="102">
        <v>69.543999999999997</v>
      </c>
      <c r="O78" s="119"/>
    </row>
    <row r="79" spans="1:33" ht="19" thickBot="1">
      <c r="D79" s="101" t="s">
        <v>109</v>
      </c>
      <c r="E79" s="101"/>
      <c r="F79" s="102">
        <v>-1499.1120000000001</v>
      </c>
      <c r="G79" s="102">
        <v>1120.903</v>
      </c>
      <c r="H79" s="102">
        <v>83.272000000000006</v>
      </c>
      <c r="O79" s="119"/>
    </row>
    <row r="80" spans="1:33" s="11" customFormat="1" ht="78" thickTop="1" thickBot="1">
      <c r="A80" s="103" t="s">
        <v>29</v>
      </c>
      <c r="B80" s="103" t="s">
        <v>30</v>
      </c>
      <c r="C80" s="103" t="s">
        <v>31</v>
      </c>
      <c r="D80" s="103" t="s">
        <v>32</v>
      </c>
      <c r="E80" s="103" t="s">
        <v>33</v>
      </c>
      <c r="F80" s="104" t="s">
        <v>34</v>
      </c>
      <c r="G80" s="104" t="s">
        <v>35</v>
      </c>
      <c r="H80" s="104" t="s">
        <v>36</v>
      </c>
      <c r="I80" s="105"/>
      <c r="J80" s="120"/>
      <c r="K80" s="121"/>
      <c r="L80" s="121"/>
      <c r="M80" s="121"/>
      <c r="N80" s="122"/>
      <c r="O80" s="122"/>
      <c r="P80" s="122"/>
      <c r="Q80" s="122"/>
      <c r="R80" s="123"/>
      <c r="S80" s="124" t="s">
        <v>72</v>
      </c>
      <c r="T80" s="125"/>
      <c r="U80" s="125"/>
      <c r="V80" s="125"/>
      <c r="W80" s="126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</row>
    <row r="81" spans="1:23">
      <c r="A81" s="93">
        <v>1</v>
      </c>
      <c r="B81" s="93">
        <v>0</v>
      </c>
      <c r="C81" s="93">
        <v>0</v>
      </c>
      <c r="D81" s="93">
        <v>0</v>
      </c>
      <c r="E81" s="93">
        <v>0</v>
      </c>
      <c r="F81" s="106"/>
      <c r="G81" s="106"/>
      <c r="H81" s="106"/>
      <c r="I81" s="107" t="s">
        <v>58</v>
      </c>
      <c r="J81" s="127" t="s">
        <v>38</v>
      </c>
      <c r="K81" s="128"/>
      <c r="L81" s="128"/>
      <c r="M81" s="129"/>
      <c r="N81" s="114" t="s">
        <v>75</v>
      </c>
      <c r="S81" s="130" t="s">
        <v>71</v>
      </c>
      <c r="T81" s="131"/>
      <c r="U81" s="131"/>
      <c r="V81" s="131"/>
      <c r="W81" s="132"/>
    </row>
    <row r="82" spans="1:23">
      <c r="B82" s="93">
        <v>0</v>
      </c>
      <c r="C82" s="93">
        <v>0</v>
      </c>
      <c r="D82" s="93">
        <v>0</v>
      </c>
      <c r="E82" s="93">
        <v>15</v>
      </c>
      <c r="F82" s="106"/>
      <c r="G82" s="106"/>
      <c r="H82" s="106"/>
      <c r="I82" s="107" t="s">
        <v>59</v>
      </c>
      <c r="J82" s="133" t="s">
        <v>39</v>
      </c>
      <c r="K82" s="134"/>
      <c r="L82" s="134"/>
      <c r="M82" s="135"/>
      <c r="N82" s="114" t="s">
        <v>76</v>
      </c>
      <c r="S82" s="130"/>
      <c r="T82" s="131"/>
      <c r="U82" s="131"/>
      <c r="V82" s="131"/>
      <c r="W82" s="132"/>
    </row>
    <row r="83" spans="1:23" ht="19" thickBot="1">
      <c r="B83" s="93">
        <v>0</v>
      </c>
      <c r="C83" s="93">
        <v>0</v>
      </c>
      <c r="D83" s="93">
        <v>15</v>
      </c>
      <c r="E83" s="93">
        <v>0</v>
      </c>
      <c r="F83" s="106"/>
      <c r="G83" s="106"/>
      <c r="H83" s="106"/>
      <c r="I83" s="107" t="s">
        <v>60</v>
      </c>
      <c r="J83" s="136" t="s">
        <v>40</v>
      </c>
      <c r="K83" s="137"/>
      <c r="L83" s="137"/>
      <c r="M83" s="138"/>
      <c r="N83" s="114" t="s">
        <v>77</v>
      </c>
      <c r="S83" s="130"/>
      <c r="T83" s="131"/>
      <c r="U83" s="131"/>
      <c r="V83" s="131"/>
      <c r="W83" s="132"/>
    </row>
    <row r="84" spans="1:23">
      <c r="B84" s="93">
        <v>0</v>
      </c>
      <c r="C84" s="93">
        <v>0</v>
      </c>
      <c r="D84" s="93">
        <v>15</v>
      </c>
      <c r="E84" s="93">
        <v>15</v>
      </c>
      <c r="F84" s="106"/>
      <c r="G84" s="106"/>
      <c r="H84" s="106"/>
      <c r="I84" s="108" t="s">
        <v>61</v>
      </c>
      <c r="N84" s="114" t="s">
        <v>74</v>
      </c>
      <c r="S84" s="130"/>
      <c r="T84" s="131"/>
      <c r="U84" s="131"/>
      <c r="V84" s="131"/>
      <c r="W84" s="132"/>
    </row>
    <row r="85" spans="1:23">
      <c r="B85" s="93">
        <v>1</v>
      </c>
      <c r="C85" s="93">
        <v>3</v>
      </c>
      <c r="D85" s="93">
        <v>0</v>
      </c>
      <c r="E85" s="93">
        <v>0</v>
      </c>
      <c r="F85" s="106"/>
      <c r="G85" s="106"/>
      <c r="H85" s="106"/>
      <c r="I85" s="108" t="s">
        <v>62</v>
      </c>
      <c r="K85" s="139"/>
      <c r="L85" s="139"/>
      <c r="M85" s="139"/>
      <c r="R85" s="140"/>
      <c r="S85" s="141"/>
      <c r="T85" s="142"/>
      <c r="U85" s="131"/>
      <c r="V85" s="142"/>
      <c r="W85" s="132"/>
    </row>
    <row r="86" spans="1:23">
      <c r="B86" s="93">
        <v>1</v>
      </c>
      <c r="C86" s="93">
        <v>3</v>
      </c>
      <c r="D86" s="93">
        <v>0</v>
      </c>
      <c r="E86" s="93">
        <v>15</v>
      </c>
      <c r="F86" s="106"/>
      <c r="G86" s="106"/>
      <c r="H86" s="106"/>
      <c r="I86" s="108" t="s">
        <v>63</v>
      </c>
      <c r="K86" s="139"/>
      <c r="L86" s="139"/>
      <c r="M86" s="139"/>
      <c r="R86" s="140"/>
      <c r="S86" s="141"/>
      <c r="T86" s="142"/>
      <c r="U86" s="131"/>
      <c r="V86" s="142"/>
      <c r="W86" s="132"/>
    </row>
    <row r="87" spans="1:23">
      <c r="B87" s="93">
        <v>1</v>
      </c>
      <c r="C87" s="93">
        <v>3</v>
      </c>
      <c r="D87" s="93">
        <v>15</v>
      </c>
      <c r="E87" s="93">
        <v>0</v>
      </c>
      <c r="F87" s="106"/>
      <c r="G87" s="106"/>
      <c r="H87" s="106"/>
      <c r="I87" s="108" t="s">
        <v>64</v>
      </c>
      <c r="K87" s="143"/>
      <c r="L87" s="143"/>
      <c r="M87" s="143"/>
      <c r="R87" s="140"/>
      <c r="S87" s="141"/>
      <c r="T87" s="142"/>
      <c r="U87" s="131"/>
      <c r="V87" s="142"/>
      <c r="W87" s="132"/>
    </row>
    <row r="88" spans="1:23" ht="19" thickBot="1">
      <c r="B88" s="93">
        <v>1</v>
      </c>
      <c r="C88" s="93">
        <v>3</v>
      </c>
      <c r="D88" s="93">
        <v>15</v>
      </c>
      <c r="E88" s="93">
        <v>15</v>
      </c>
      <c r="F88" s="106"/>
      <c r="G88" s="106"/>
      <c r="H88" s="106"/>
      <c r="I88" s="109" t="s">
        <v>65</v>
      </c>
      <c r="K88" s="139"/>
      <c r="L88" s="139"/>
      <c r="M88" s="139"/>
      <c r="R88" s="140"/>
      <c r="S88" s="141"/>
      <c r="T88" s="142"/>
      <c r="U88" s="131"/>
      <c r="V88" s="142"/>
      <c r="W88" s="132"/>
    </row>
    <row r="89" spans="1:23" ht="19" thickBot="1">
      <c r="A89" s="110" t="s">
        <v>29</v>
      </c>
      <c r="B89" s="110" t="s">
        <v>30</v>
      </c>
      <c r="C89" s="110" t="s">
        <v>31</v>
      </c>
      <c r="D89" s="110" t="s">
        <v>32</v>
      </c>
      <c r="E89" s="110" t="s">
        <v>33</v>
      </c>
      <c r="F89" s="111" t="s">
        <v>34</v>
      </c>
      <c r="G89" s="111" t="s">
        <v>35</v>
      </c>
      <c r="H89" s="111" t="s">
        <v>36</v>
      </c>
      <c r="I89" s="112" t="s">
        <v>37</v>
      </c>
      <c r="J89" s="144"/>
      <c r="K89" s="145"/>
      <c r="L89" s="145"/>
      <c r="M89" s="145"/>
      <c r="S89" s="130"/>
      <c r="T89" s="131"/>
      <c r="U89" s="131"/>
      <c r="V89" s="131"/>
      <c r="W89" s="132"/>
    </row>
    <row r="90" spans="1:23">
      <c r="A90" s="93">
        <v>2</v>
      </c>
      <c r="B90" s="93">
        <v>0</v>
      </c>
      <c r="C90" s="93">
        <v>0</v>
      </c>
      <c r="D90" s="93">
        <v>0</v>
      </c>
      <c r="E90" s="93">
        <v>0</v>
      </c>
      <c r="F90" s="106"/>
      <c r="G90" s="106"/>
      <c r="H90" s="106"/>
      <c r="I90" s="107" t="s">
        <v>58</v>
      </c>
      <c r="J90" s="127" t="s">
        <v>38</v>
      </c>
      <c r="K90" s="128"/>
      <c r="L90" s="128"/>
      <c r="M90" s="129"/>
      <c r="N90" s="114" t="s">
        <v>75</v>
      </c>
      <c r="S90" s="130"/>
      <c r="T90" s="131"/>
      <c r="U90" s="131"/>
      <c r="V90" s="131"/>
      <c r="W90" s="132"/>
    </row>
    <row r="91" spans="1:23">
      <c r="B91" s="93">
        <v>0</v>
      </c>
      <c r="C91" s="93">
        <v>0</v>
      </c>
      <c r="D91" s="93">
        <v>0</v>
      </c>
      <c r="E91" s="93">
        <v>15</v>
      </c>
      <c r="F91" s="106"/>
      <c r="G91" s="106"/>
      <c r="H91" s="106"/>
      <c r="I91" s="107" t="s">
        <v>59</v>
      </c>
      <c r="J91" s="133" t="s">
        <v>39</v>
      </c>
      <c r="K91" s="134"/>
      <c r="L91" s="134"/>
      <c r="M91" s="135"/>
      <c r="N91" s="114" t="s">
        <v>76</v>
      </c>
      <c r="S91" s="130"/>
      <c r="T91" s="131"/>
      <c r="U91" s="131"/>
      <c r="V91" s="131"/>
      <c r="W91" s="132"/>
    </row>
    <row r="92" spans="1:23" ht="19" thickBot="1">
      <c r="B92" s="93">
        <v>0</v>
      </c>
      <c r="C92" s="93">
        <v>0</v>
      </c>
      <c r="D92" s="93">
        <v>15</v>
      </c>
      <c r="E92" s="93">
        <v>0</v>
      </c>
      <c r="F92" s="106"/>
      <c r="G92" s="106"/>
      <c r="H92" s="106"/>
      <c r="I92" s="107" t="s">
        <v>60</v>
      </c>
      <c r="J92" s="136" t="s">
        <v>40</v>
      </c>
      <c r="K92" s="137"/>
      <c r="L92" s="137"/>
      <c r="M92" s="138"/>
      <c r="N92" s="114" t="s">
        <v>77</v>
      </c>
      <c r="S92" s="130"/>
      <c r="T92" s="131"/>
      <c r="U92" s="131"/>
      <c r="V92" s="131"/>
      <c r="W92" s="132"/>
    </row>
    <row r="93" spans="1:23">
      <c r="B93" s="93">
        <v>0</v>
      </c>
      <c r="C93" s="93">
        <v>0</v>
      </c>
      <c r="D93" s="93">
        <v>15</v>
      </c>
      <c r="E93" s="93">
        <v>15</v>
      </c>
      <c r="F93" s="106"/>
      <c r="G93" s="106"/>
      <c r="H93" s="106"/>
      <c r="I93" s="108" t="s">
        <v>61</v>
      </c>
      <c r="N93" s="114" t="s">
        <v>74</v>
      </c>
      <c r="S93" s="130"/>
      <c r="T93" s="131"/>
      <c r="U93" s="131"/>
      <c r="V93" s="131"/>
      <c r="W93" s="132"/>
    </row>
    <row r="94" spans="1:23">
      <c r="B94" s="93">
        <v>2</v>
      </c>
      <c r="C94" s="93">
        <v>5</v>
      </c>
      <c r="D94" s="93">
        <v>0</v>
      </c>
      <c r="E94" s="93">
        <v>0</v>
      </c>
      <c r="F94" s="106"/>
      <c r="G94" s="106"/>
      <c r="H94" s="106"/>
      <c r="I94" s="108" t="s">
        <v>62</v>
      </c>
      <c r="K94" s="139"/>
      <c r="L94" s="139"/>
      <c r="M94" s="139"/>
      <c r="R94" s="140"/>
      <c r="S94" s="141"/>
      <c r="T94" s="142"/>
      <c r="U94" s="131"/>
      <c r="V94" s="142"/>
      <c r="W94" s="132"/>
    </row>
    <row r="95" spans="1:23">
      <c r="B95" s="93">
        <v>2</v>
      </c>
      <c r="C95" s="93">
        <v>5</v>
      </c>
      <c r="D95" s="93">
        <v>0</v>
      </c>
      <c r="E95" s="93">
        <v>15</v>
      </c>
      <c r="F95" s="106"/>
      <c r="G95" s="106"/>
      <c r="H95" s="106"/>
      <c r="I95" s="108" t="s">
        <v>63</v>
      </c>
      <c r="K95" s="139"/>
      <c r="L95" s="139"/>
      <c r="M95" s="139"/>
      <c r="R95" s="140"/>
      <c r="S95" s="141"/>
      <c r="T95" s="142"/>
      <c r="U95" s="131"/>
      <c r="V95" s="142"/>
      <c r="W95" s="132"/>
    </row>
    <row r="96" spans="1:23">
      <c r="B96" s="93">
        <v>2</v>
      </c>
      <c r="C96" s="93">
        <v>5</v>
      </c>
      <c r="D96" s="93">
        <v>15</v>
      </c>
      <c r="E96" s="93">
        <v>0</v>
      </c>
      <c r="F96" s="106"/>
      <c r="G96" s="106"/>
      <c r="H96" s="106"/>
      <c r="I96" s="108" t="s">
        <v>64</v>
      </c>
      <c r="K96" s="139"/>
      <c r="L96" s="139"/>
      <c r="M96" s="139"/>
      <c r="R96" s="140"/>
      <c r="S96" s="141"/>
      <c r="T96" s="142"/>
      <c r="U96" s="131"/>
      <c r="V96" s="142"/>
      <c r="W96" s="132"/>
    </row>
    <row r="97" spans="1:30" ht="19" thickBot="1">
      <c r="B97" s="93">
        <v>2</v>
      </c>
      <c r="C97" s="93">
        <v>5</v>
      </c>
      <c r="D97" s="93">
        <v>15</v>
      </c>
      <c r="E97" s="93">
        <v>15</v>
      </c>
      <c r="F97" s="106"/>
      <c r="G97" s="106"/>
      <c r="H97" s="106"/>
      <c r="I97" s="109" t="s">
        <v>65</v>
      </c>
      <c r="K97" s="139"/>
      <c r="L97" s="139"/>
      <c r="M97" s="139"/>
      <c r="R97" s="140"/>
      <c r="S97" s="141"/>
      <c r="T97" s="142"/>
      <c r="U97" s="131"/>
      <c r="V97" s="142"/>
      <c r="W97" s="132"/>
    </row>
    <row r="98" spans="1:30" ht="19" thickBot="1">
      <c r="A98" s="110" t="s">
        <v>29</v>
      </c>
      <c r="B98" s="110" t="s">
        <v>30</v>
      </c>
      <c r="C98" s="110" t="s">
        <v>31</v>
      </c>
      <c r="D98" s="110" t="s">
        <v>32</v>
      </c>
      <c r="E98" s="110" t="s">
        <v>33</v>
      </c>
      <c r="F98" s="111" t="s">
        <v>34</v>
      </c>
      <c r="G98" s="111" t="s">
        <v>35</v>
      </c>
      <c r="H98" s="111" t="s">
        <v>36</v>
      </c>
      <c r="I98" s="112" t="s">
        <v>37</v>
      </c>
      <c r="J98" s="144"/>
      <c r="K98" s="145"/>
      <c r="L98" s="145"/>
      <c r="M98" s="145"/>
      <c r="S98" s="130"/>
      <c r="T98" s="131"/>
      <c r="U98" s="131"/>
      <c r="V98" s="131"/>
      <c r="W98" s="132"/>
    </row>
    <row r="99" spans="1:30">
      <c r="A99" s="93">
        <v>3</v>
      </c>
      <c r="B99" s="93">
        <v>0</v>
      </c>
      <c r="C99" s="93">
        <v>0</v>
      </c>
      <c r="D99" s="93">
        <v>0</v>
      </c>
      <c r="E99" s="93">
        <v>0</v>
      </c>
      <c r="F99" s="113">
        <v>-29.510999999999999</v>
      </c>
      <c r="G99" s="113">
        <v>-80.73</v>
      </c>
      <c r="H99" s="113">
        <v>334.5</v>
      </c>
      <c r="I99" s="107" t="s">
        <v>58</v>
      </c>
      <c r="J99" s="127" t="s">
        <v>38</v>
      </c>
      <c r="K99" s="146">
        <v>-1466.673</v>
      </c>
      <c r="L99" s="146">
        <v>435.53</v>
      </c>
      <c r="M99" s="146">
        <v>41.015000000000001</v>
      </c>
      <c r="N99" s="114" t="s">
        <v>75</v>
      </c>
      <c r="O99" s="147"/>
      <c r="S99" s="130"/>
      <c r="T99" s="131"/>
      <c r="U99" s="131"/>
      <c r="V99" s="131"/>
      <c r="W99" s="132"/>
      <c r="AB99" s="148"/>
      <c r="AC99" s="148"/>
      <c r="AD99" s="148"/>
    </row>
    <row r="100" spans="1:30">
      <c r="B100" s="93">
        <v>0</v>
      </c>
      <c r="C100" s="93">
        <v>0</v>
      </c>
      <c r="D100" s="93">
        <v>0</v>
      </c>
      <c r="E100" s="93">
        <v>15</v>
      </c>
      <c r="F100" s="113">
        <v>-33.433999999999997</v>
      </c>
      <c r="G100" s="113">
        <v>-93.858000000000004</v>
      </c>
      <c r="H100" s="113">
        <v>40.5</v>
      </c>
      <c r="I100" s="107" t="s">
        <v>59</v>
      </c>
      <c r="J100" s="133" t="s">
        <v>39</v>
      </c>
      <c r="K100" s="146">
        <v>-1466.3409999999999</v>
      </c>
      <c r="L100" s="146">
        <v>436.46499999999997</v>
      </c>
      <c r="M100" s="146">
        <v>42.023000000000003</v>
      </c>
      <c r="N100" s="114" t="s">
        <v>76</v>
      </c>
      <c r="O100" s="147"/>
      <c r="S100" s="130"/>
      <c r="T100" s="131"/>
      <c r="U100" s="131"/>
      <c r="V100" s="131"/>
      <c r="W100" s="132"/>
      <c r="AB100" s="148"/>
      <c r="AC100" s="148"/>
      <c r="AD100" s="148"/>
    </row>
    <row r="101" spans="1:30" ht="19" thickBot="1">
      <c r="B101" s="93">
        <v>0</v>
      </c>
      <c r="C101" s="93">
        <v>0</v>
      </c>
      <c r="D101" s="93">
        <v>15</v>
      </c>
      <c r="E101" s="93">
        <v>0</v>
      </c>
      <c r="F101" s="113">
        <v>-45.969000000000001</v>
      </c>
      <c r="G101" s="113">
        <v>77.08</v>
      </c>
      <c r="H101" s="113">
        <v>334.5</v>
      </c>
      <c r="I101" s="107" t="s">
        <v>60</v>
      </c>
      <c r="J101" s="136" t="s">
        <v>40</v>
      </c>
      <c r="K101" s="146">
        <v>-1465.539</v>
      </c>
      <c r="L101" s="146">
        <v>435.31599999999997</v>
      </c>
      <c r="M101" s="146">
        <v>41.832999999999998</v>
      </c>
      <c r="N101" s="114" t="s">
        <v>77</v>
      </c>
      <c r="O101" s="147"/>
      <c r="S101" s="130"/>
      <c r="T101" s="131"/>
      <c r="U101" s="131"/>
      <c r="V101" s="131"/>
      <c r="W101" s="132"/>
      <c r="AB101" s="148"/>
      <c r="AC101" s="148"/>
      <c r="AD101" s="148"/>
    </row>
    <row r="102" spans="1:30">
      <c r="B102" s="93">
        <v>0</v>
      </c>
      <c r="C102" s="93">
        <v>0</v>
      </c>
      <c r="D102" s="93">
        <v>15</v>
      </c>
      <c r="E102" s="93">
        <v>15</v>
      </c>
      <c r="F102" s="113">
        <v>-52.573999999999998</v>
      </c>
      <c r="G102" s="113">
        <v>89.680999999999997</v>
      </c>
      <c r="H102" s="113">
        <v>40.5</v>
      </c>
      <c r="I102" s="108" t="s">
        <v>61</v>
      </c>
      <c r="N102" s="114" t="s">
        <v>74</v>
      </c>
      <c r="S102" s="130"/>
      <c r="T102" s="131"/>
      <c r="U102" s="131"/>
      <c r="V102" s="131"/>
      <c r="W102" s="132"/>
      <c r="AB102" s="148"/>
      <c r="AC102" s="148"/>
      <c r="AD102" s="148"/>
    </row>
    <row r="103" spans="1:30" ht="19" thickBot="1">
      <c r="B103" s="93">
        <v>3</v>
      </c>
      <c r="C103" s="93">
        <v>7</v>
      </c>
      <c r="D103" s="93">
        <v>0</v>
      </c>
      <c r="E103" s="93">
        <v>0</v>
      </c>
      <c r="F103" s="113">
        <v>29.978999999999999</v>
      </c>
      <c r="G103" s="113">
        <v>-79.347999999999999</v>
      </c>
      <c r="H103" s="113">
        <v>334.5</v>
      </c>
      <c r="I103" s="108" t="s">
        <v>62</v>
      </c>
      <c r="J103" s="149"/>
      <c r="K103" s="150"/>
      <c r="L103" s="150"/>
      <c r="M103" s="139"/>
      <c r="N103" s="147"/>
      <c r="R103" s="140"/>
      <c r="S103" s="151"/>
      <c r="T103" s="152"/>
      <c r="U103" s="153"/>
      <c r="V103" s="152"/>
      <c r="W103" s="154"/>
      <c r="AB103" s="148"/>
      <c r="AC103" s="148"/>
      <c r="AD103" s="148"/>
    </row>
    <row r="104" spans="1:30" ht="19" thickTop="1">
      <c r="B104" s="93">
        <v>3</v>
      </c>
      <c r="C104" s="93">
        <v>7</v>
      </c>
      <c r="D104" s="93">
        <v>0</v>
      </c>
      <c r="E104" s="93">
        <v>15</v>
      </c>
      <c r="F104" s="113">
        <v>33.973999999999997</v>
      </c>
      <c r="G104" s="113">
        <v>-92.292000000000002</v>
      </c>
      <c r="H104" s="113">
        <v>40.5</v>
      </c>
      <c r="I104" s="108" t="s">
        <v>63</v>
      </c>
      <c r="J104" s="149"/>
      <c r="K104" s="150"/>
      <c r="L104" s="150"/>
      <c r="M104" s="139"/>
      <c r="N104" s="147"/>
      <c r="R104" s="140"/>
      <c r="S104" s="140"/>
      <c r="T104" s="140"/>
      <c r="V104" s="140"/>
      <c r="AB104" s="148"/>
      <c r="AC104" s="148"/>
      <c r="AD104" s="148"/>
    </row>
    <row r="105" spans="1:30">
      <c r="B105" s="93">
        <v>3</v>
      </c>
      <c r="C105" s="93">
        <v>7</v>
      </c>
      <c r="D105" s="93">
        <v>15</v>
      </c>
      <c r="E105" s="93">
        <v>0</v>
      </c>
      <c r="F105" s="113">
        <v>45.969000000000001</v>
      </c>
      <c r="G105" s="113">
        <v>80.521000000000001</v>
      </c>
      <c r="H105" s="113">
        <v>334.5</v>
      </c>
      <c r="I105" s="108" t="s">
        <v>64</v>
      </c>
      <c r="J105" s="149"/>
      <c r="K105" s="150"/>
      <c r="L105" s="150"/>
      <c r="M105" s="139"/>
      <c r="N105" s="147"/>
      <c r="R105" s="140"/>
      <c r="S105" s="140"/>
      <c r="T105" s="140"/>
      <c r="V105" s="140"/>
      <c r="AB105" s="148"/>
      <c r="AC105" s="148"/>
      <c r="AD105" s="148"/>
    </row>
    <row r="106" spans="1:30" ht="19" thickBot="1">
      <c r="B106" s="93">
        <v>3</v>
      </c>
      <c r="C106" s="93">
        <v>7</v>
      </c>
      <c r="D106" s="93">
        <v>15</v>
      </c>
      <c r="E106" s="93">
        <v>15</v>
      </c>
      <c r="F106" s="113">
        <v>52.567999999999998</v>
      </c>
      <c r="G106" s="113">
        <v>93.617000000000004</v>
      </c>
      <c r="H106" s="113">
        <v>40.5</v>
      </c>
      <c r="I106" s="109" t="s">
        <v>65</v>
      </c>
      <c r="J106" s="149"/>
      <c r="K106" s="150"/>
      <c r="L106" s="150"/>
      <c r="M106" s="139"/>
      <c r="R106" s="140"/>
      <c r="S106" s="140"/>
      <c r="T106" s="140"/>
      <c r="V106" s="140"/>
      <c r="AB106" s="148"/>
      <c r="AC106" s="148"/>
      <c r="AD106" s="148"/>
    </row>
    <row r="107" spans="1:30" ht="19" thickBot="1">
      <c r="A107" s="110" t="s">
        <v>29</v>
      </c>
      <c r="B107" s="110" t="s">
        <v>30</v>
      </c>
      <c r="C107" s="110" t="s">
        <v>31</v>
      </c>
      <c r="D107" s="110" t="s">
        <v>32</v>
      </c>
      <c r="E107" s="110" t="s">
        <v>33</v>
      </c>
      <c r="F107" s="111" t="s">
        <v>34</v>
      </c>
      <c r="G107" s="111" t="s">
        <v>35</v>
      </c>
      <c r="H107" s="111" t="s">
        <v>36</v>
      </c>
      <c r="I107" s="112" t="s">
        <v>37</v>
      </c>
      <c r="J107" s="144"/>
      <c r="K107" s="145"/>
      <c r="L107" s="145"/>
      <c r="M107" s="145"/>
    </row>
    <row r="108" spans="1:30">
      <c r="A108" s="93">
        <v>4</v>
      </c>
      <c r="B108" s="93">
        <v>0</v>
      </c>
      <c r="C108" s="93">
        <v>0</v>
      </c>
      <c r="D108" s="93">
        <v>0</v>
      </c>
      <c r="E108" s="93">
        <v>0</v>
      </c>
      <c r="F108" s="113">
        <v>-46.851999999999997</v>
      </c>
      <c r="G108" s="113">
        <v>-82.626000000000005</v>
      </c>
      <c r="H108" s="113">
        <v>354.5</v>
      </c>
      <c r="I108" s="107" t="s">
        <v>58</v>
      </c>
      <c r="J108" s="127" t="s">
        <v>38</v>
      </c>
      <c r="K108" s="146">
        <v>-1489.078</v>
      </c>
      <c r="L108" s="146">
        <v>645.88599999999997</v>
      </c>
      <c r="M108" s="146">
        <v>55.716000000000001</v>
      </c>
      <c r="N108" s="114" t="s">
        <v>75</v>
      </c>
    </row>
    <row r="109" spans="1:30">
      <c r="B109" s="93">
        <v>0</v>
      </c>
      <c r="C109" s="93">
        <v>0</v>
      </c>
      <c r="D109" s="93">
        <v>0</v>
      </c>
      <c r="E109" s="93">
        <v>15</v>
      </c>
      <c r="F109" s="113">
        <v>-53.784999999999997</v>
      </c>
      <c r="G109" s="113">
        <v>-104.37</v>
      </c>
      <c r="H109" s="113">
        <v>40.5</v>
      </c>
      <c r="I109" s="107" t="s">
        <v>59</v>
      </c>
      <c r="J109" s="133" t="s">
        <v>39</v>
      </c>
      <c r="K109" s="146">
        <v>-1488.6379999999999</v>
      </c>
      <c r="L109" s="146">
        <v>646.79999999999995</v>
      </c>
      <c r="M109" s="146">
        <v>56.701000000000001</v>
      </c>
      <c r="N109" s="114" t="s">
        <v>76</v>
      </c>
    </row>
    <row r="110" spans="1:30" ht="19" thickBot="1">
      <c r="B110" s="93">
        <v>0</v>
      </c>
      <c r="C110" s="93">
        <v>0</v>
      </c>
      <c r="D110" s="93">
        <v>15</v>
      </c>
      <c r="E110" s="93">
        <v>0</v>
      </c>
      <c r="F110" s="113">
        <v>-63.139000000000003</v>
      </c>
      <c r="G110" s="113">
        <v>73.739000000000004</v>
      </c>
      <c r="H110" s="113">
        <v>354.5</v>
      </c>
      <c r="I110" s="107" t="s">
        <v>60</v>
      </c>
      <c r="J110" s="136" t="s">
        <v>40</v>
      </c>
      <c r="K110" s="146">
        <v>-1487.9680000000001</v>
      </c>
      <c r="L110" s="146">
        <v>645.56600000000003</v>
      </c>
      <c r="M110" s="146">
        <v>56.530999999999999</v>
      </c>
      <c r="N110" s="114" t="s">
        <v>77</v>
      </c>
    </row>
    <row r="111" spans="1:30">
      <c r="B111" s="93">
        <v>0</v>
      </c>
      <c r="C111" s="93">
        <v>0</v>
      </c>
      <c r="D111" s="93">
        <v>15</v>
      </c>
      <c r="E111" s="93">
        <v>15</v>
      </c>
      <c r="F111" s="113">
        <v>-74.418000000000006</v>
      </c>
      <c r="G111" s="113">
        <v>93.716999999999999</v>
      </c>
      <c r="H111" s="113">
        <v>40.5</v>
      </c>
      <c r="I111" s="108" t="s">
        <v>61</v>
      </c>
      <c r="N111" s="114" t="s">
        <v>74</v>
      </c>
    </row>
    <row r="112" spans="1:30">
      <c r="B112" s="93">
        <v>5</v>
      </c>
      <c r="C112" s="93">
        <v>11</v>
      </c>
      <c r="D112" s="93">
        <v>0</v>
      </c>
      <c r="E112" s="93">
        <v>0</v>
      </c>
      <c r="F112" s="113">
        <v>47.93</v>
      </c>
      <c r="G112" s="113">
        <v>-78.837000000000003</v>
      </c>
      <c r="H112" s="113">
        <v>354.5</v>
      </c>
      <c r="I112" s="108" t="s">
        <v>62</v>
      </c>
      <c r="K112" s="139"/>
      <c r="L112" s="139"/>
      <c r="M112" s="139"/>
      <c r="R112" s="140"/>
      <c r="S112" s="140"/>
      <c r="T112" s="140"/>
      <c r="V112" s="140"/>
    </row>
    <row r="113" spans="1:22">
      <c r="B113" s="93">
        <v>5</v>
      </c>
      <c r="C113" s="93">
        <v>11</v>
      </c>
      <c r="D113" s="93">
        <v>0</v>
      </c>
      <c r="E113" s="93">
        <v>15</v>
      </c>
      <c r="F113" s="113">
        <v>55.112000000000002</v>
      </c>
      <c r="G113" s="113">
        <v>-100.017</v>
      </c>
      <c r="H113" s="113">
        <v>40.5</v>
      </c>
      <c r="I113" s="108" t="s">
        <v>63</v>
      </c>
      <c r="K113" s="139"/>
      <c r="L113" s="139"/>
      <c r="M113" s="139"/>
      <c r="R113" s="140"/>
      <c r="S113" s="140"/>
      <c r="T113" s="140"/>
      <c r="V113" s="140"/>
    </row>
    <row r="114" spans="1:22">
      <c r="B114" s="93">
        <v>5</v>
      </c>
      <c r="C114" s="93">
        <v>11</v>
      </c>
      <c r="D114" s="93">
        <v>15</v>
      </c>
      <c r="E114" s="93">
        <v>0</v>
      </c>
      <c r="F114" s="113">
        <v>63.134999999999998</v>
      </c>
      <c r="G114" s="113">
        <v>81.447999999999993</v>
      </c>
      <c r="H114" s="113">
        <v>354.5</v>
      </c>
      <c r="I114" s="108" t="s">
        <v>64</v>
      </c>
      <c r="K114" s="139"/>
      <c r="L114" s="139"/>
      <c r="M114" s="139"/>
      <c r="R114" s="140"/>
      <c r="S114" s="140"/>
      <c r="T114" s="140"/>
      <c r="V114" s="140"/>
    </row>
    <row r="115" spans="1:22" ht="19" thickBot="1">
      <c r="B115" s="93">
        <v>5</v>
      </c>
      <c r="C115" s="93">
        <v>11</v>
      </c>
      <c r="D115" s="93">
        <v>15</v>
      </c>
      <c r="E115" s="93">
        <v>15</v>
      </c>
      <c r="F115" s="113">
        <v>74.349999999999994</v>
      </c>
      <c r="G115" s="113">
        <v>102.801</v>
      </c>
      <c r="H115" s="113">
        <v>40.5</v>
      </c>
      <c r="I115" s="109" t="s">
        <v>65</v>
      </c>
      <c r="K115" s="139"/>
      <c r="L115" s="139"/>
      <c r="M115" s="139"/>
      <c r="R115" s="140"/>
      <c r="S115" s="140"/>
      <c r="T115" s="140"/>
      <c r="V115" s="140"/>
    </row>
    <row r="116" spans="1:22" ht="19" thickBot="1">
      <c r="A116" s="110" t="s">
        <v>29</v>
      </c>
      <c r="B116" s="110" t="s">
        <v>30</v>
      </c>
      <c r="C116" s="110" t="s">
        <v>31</v>
      </c>
      <c r="D116" s="110" t="s">
        <v>32</v>
      </c>
      <c r="E116" s="110" t="s">
        <v>33</v>
      </c>
      <c r="F116" s="111" t="s">
        <v>34</v>
      </c>
      <c r="G116" s="111" t="s">
        <v>35</v>
      </c>
      <c r="H116" s="111" t="s">
        <v>36</v>
      </c>
      <c r="I116" s="112" t="s">
        <v>37</v>
      </c>
      <c r="J116" s="144"/>
      <c r="K116" s="145"/>
      <c r="L116" s="145"/>
      <c r="M116" s="145"/>
    </row>
    <row r="117" spans="1:22">
      <c r="A117" s="93">
        <v>5</v>
      </c>
      <c r="B117" s="93">
        <v>0</v>
      </c>
      <c r="C117" s="93">
        <v>0</v>
      </c>
      <c r="D117" s="93">
        <v>0</v>
      </c>
      <c r="E117" s="93">
        <v>0</v>
      </c>
      <c r="F117" s="113">
        <v>-64.906000000000006</v>
      </c>
      <c r="G117" s="113">
        <v>-87.114999999999995</v>
      </c>
      <c r="H117" s="113">
        <v>369.5</v>
      </c>
      <c r="I117" s="107" t="s">
        <v>58</v>
      </c>
      <c r="J117" s="127" t="s">
        <v>38</v>
      </c>
      <c r="K117" s="146">
        <v>-1495.181</v>
      </c>
      <c r="L117" s="146">
        <v>871.84</v>
      </c>
      <c r="M117" s="146">
        <v>68.558999999999997</v>
      </c>
      <c r="N117" s="114" t="s">
        <v>75</v>
      </c>
    </row>
    <row r="118" spans="1:22">
      <c r="B118" s="93">
        <v>0</v>
      </c>
      <c r="C118" s="93">
        <v>0</v>
      </c>
      <c r="D118" s="93">
        <v>0</v>
      </c>
      <c r="E118" s="93">
        <v>15</v>
      </c>
      <c r="F118" s="113">
        <v>-76.454999999999998</v>
      </c>
      <c r="G118" s="113">
        <v>-109.352</v>
      </c>
      <c r="H118" s="113">
        <v>40.5</v>
      </c>
      <c r="I118" s="107" t="s">
        <v>59</v>
      </c>
      <c r="J118" s="133" t="s">
        <v>39</v>
      </c>
      <c r="K118" s="146">
        <v>-1494.6189999999999</v>
      </c>
      <c r="L118" s="146">
        <v>872.71199999999999</v>
      </c>
      <c r="M118" s="146">
        <v>69.519000000000005</v>
      </c>
      <c r="N118" s="114" t="s">
        <v>76</v>
      </c>
    </row>
    <row r="119" spans="1:22" ht="19" thickBot="1">
      <c r="B119" s="93">
        <v>0</v>
      </c>
      <c r="C119" s="93">
        <v>0</v>
      </c>
      <c r="D119" s="93">
        <v>15</v>
      </c>
      <c r="E119" s="93">
        <v>0</v>
      </c>
      <c r="F119" s="113">
        <v>-81.16</v>
      </c>
      <c r="G119" s="113">
        <v>71.650000000000006</v>
      </c>
      <c r="H119" s="113">
        <v>369.5</v>
      </c>
      <c r="I119" s="107" t="s">
        <v>60</v>
      </c>
      <c r="J119" s="136" t="s">
        <v>40</v>
      </c>
      <c r="K119" s="146">
        <v>-1494.1130000000001</v>
      </c>
      <c r="L119" s="146">
        <v>871.399</v>
      </c>
      <c r="M119" s="146">
        <v>69.375</v>
      </c>
      <c r="N119" s="114" t="s">
        <v>77</v>
      </c>
    </row>
    <row r="120" spans="1:22">
      <c r="B120" s="93">
        <v>0</v>
      </c>
      <c r="C120" s="93">
        <v>0</v>
      </c>
      <c r="D120" s="93">
        <v>15</v>
      </c>
      <c r="E120" s="93">
        <v>15</v>
      </c>
      <c r="F120" s="113">
        <v>-96.935000000000002</v>
      </c>
      <c r="G120" s="113">
        <v>90.703000000000003</v>
      </c>
      <c r="H120" s="113">
        <v>40.5</v>
      </c>
      <c r="I120" s="108" t="s">
        <v>61</v>
      </c>
      <c r="N120" s="114" t="s">
        <v>74</v>
      </c>
    </row>
    <row r="121" spans="1:22">
      <c r="B121" s="93">
        <v>7</v>
      </c>
      <c r="C121" s="93">
        <v>15</v>
      </c>
      <c r="D121" s="93">
        <v>0</v>
      </c>
      <c r="E121" s="93">
        <v>0</v>
      </c>
      <c r="F121" s="113">
        <v>66.849000000000004</v>
      </c>
      <c r="G121" s="113">
        <v>-78.694999999999993</v>
      </c>
      <c r="H121" s="113">
        <v>369.5</v>
      </c>
      <c r="I121" s="108" t="s">
        <v>62</v>
      </c>
      <c r="K121" s="139"/>
      <c r="L121" s="139"/>
      <c r="M121" s="139"/>
      <c r="R121" s="140"/>
      <c r="S121" s="140"/>
      <c r="T121" s="140"/>
      <c r="V121" s="140"/>
    </row>
    <row r="122" spans="1:22">
      <c r="B122" s="93">
        <v>7</v>
      </c>
      <c r="C122" s="93">
        <v>15</v>
      </c>
      <c r="D122" s="93">
        <v>0</v>
      </c>
      <c r="E122" s="93">
        <v>15</v>
      </c>
      <c r="F122" s="113">
        <v>96.852999999999994</v>
      </c>
      <c r="G122" s="113">
        <v>106.779</v>
      </c>
      <c r="H122" s="113">
        <v>40.5</v>
      </c>
      <c r="I122" s="108" t="s">
        <v>63</v>
      </c>
      <c r="K122" s="139"/>
      <c r="L122" s="139"/>
      <c r="M122" s="139"/>
      <c r="R122" s="140"/>
      <c r="S122" s="140"/>
      <c r="T122" s="140"/>
      <c r="V122" s="140"/>
    </row>
    <row r="123" spans="1:22">
      <c r="B123" s="93">
        <v>7</v>
      </c>
      <c r="C123" s="93">
        <v>15</v>
      </c>
      <c r="D123" s="93">
        <v>15</v>
      </c>
      <c r="E123" s="93">
        <v>0</v>
      </c>
      <c r="F123" s="113">
        <v>81.155000000000001</v>
      </c>
      <c r="G123" s="113">
        <v>85.111999999999995</v>
      </c>
      <c r="H123" s="113">
        <v>369.5</v>
      </c>
      <c r="I123" s="108" t="s">
        <v>64</v>
      </c>
      <c r="K123" s="139"/>
      <c r="L123" s="139"/>
      <c r="M123" s="139"/>
      <c r="R123" s="140"/>
      <c r="S123" s="140"/>
      <c r="T123" s="140"/>
      <c r="V123" s="140"/>
    </row>
    <row r="124" spans="1:22" ht="19" thickBot="1">
      <c r="B124" s="93">
        <v>7</v>
      </c>
      <c r="C124" s="93">
        <v>15</v>
      </c>
      <c r="D124" s="93">
        <v>15</v>
      </c>
      <c r="E124" s="93">
        <v>15</v>
      </c>
      <c r="F124" s="113">
        <v>96.852999999999994</v>
      </c>
      <c r="G124" s="113">
        <v>106.77800000000001</v>
      </c>
      <c r="H124" s="113">
        <v>40.5</v>
      </c>
      <c r="I124" s="109" t="s">
        <v>65</v>
      </c>
      <c r="K124" s="139"/>
      <c r="L124" s="139"/>
      <c r="M124" s="139"/>
      <c r="R124" s="140"/>
      <c r="S124" s="140"/>
      <c r="T124" s="140"/>
      <c r="V124" s="140"/>
    </row>
    <row r="125" spans="1:22" ht="19" thickBot="1">
      <c r="A125" s="110" t="s">
        <v>29</v>
      </c>
      <c r="B125" s="110" t="s">
        <v>30</v>
      </c>
      <c r="C125" s="110" t="s">
        <v>31</v>
      </c>
      <c r="D125" s="110" t="s">
        <v>32</v>
      </c>
      <c r="E125" s="110" t="s">
        <v>33</v>
      </c>
      <c r="F125" s="111" t="s">
        <v>34</v>
      </c>
      <c r="G125" s="111" t="s">
        <v>35</v>
      </c>
      <c r="H125" s="111" t="s">
        <v>36</v>
      </c>
      <c r="I125" s="112" t="s">
        <v>37</v>
      </c>
      <c r="J125" s="144"/>
      <c r="K125" s="145"/>
      <c r="L125" s="145"/>
      <c r="M125" s="145"/>
      <c r="R125" s="140"/>
      <c r="S125" s="140"/>
      <c r="T125" s="140"/>
    </row>
    <row r="126" spans="1:22">
      <c r="A126" s="93">
        <v>6</v>
      </c>
      <c r="B126" s="93">
        <v>0</v>
      </c>
      <c r="C126" s="93">
        <v>0</v>
      </c>
      <c r="D126" s="93">
        <v>0</v>
      </c>
      <c r="E126" s="93">
        <v>0</v>
      </c>
      <c r="F126" s="113">
        <v>-84.658000000000001</v>
      </c>
      <c r="G126" s="113">
        <v>-94.933000000000007</v>
      </c>
      <c r="H126" s="113">
        <v>390</v>
      </c>
      <c r="I126" s="107" t="s">
        <v>58</v>
      </c>
      <c r="J126" s="127" t="s">
        <v>38</v>
      </c>
      <c r="K126" s="146">
        <v>-1499.279</v>
      </c>
      <c r="L126" s="146">
        <v>1120.9459999999999</v>
      </c>
      <c r="M126" s="146">
        <v>82.287000000000006</v>
      </c>
      <c r="N126" s="114" t="s">
        <v>75</v>
      </c>
    </row>
    <row r="127" spans="1:22">
      <c r="B127" s="93">
        <v>0</v>
      </c>
      <c r="C127" s="93">
        <v>0</v>
      </c>
      <c r="D127" s="93">
        <v>0</v>
      </c>
      <c r="E127" s="93">
        <v>15</v>
      </c>
      <c r="F127" s="113">
        <v>-100.98399999999999</v>
      </c>
      <c r="G127" s="113">
        <v>-122.02</v>
      </c>
      <c r="H127" s="113">
        <v>40.5</v>
      </c>
      <c r="I127" s="107" t="s">
        <v>59</v>
      </c>
      <c r="J127" s="133" t="s">
        <v>39</v>
      </c>
      <c r="K127" s="146">
        <v>-1498.598</v>
      </c>
      <c r="L127" s="146">
        <v>1121.759</v>
      </c>
      <c r="M127" s="146">
        <v>83.221999999999994</v>
      </c>
      <c r="N127" s="114" t="s">
        <v>76</v>
      </c>
    </row>
    <row r="128" spans="1:22" ht="19" thickBot="1">
      <c r="B128" s="93">
        <v>0</v>
      </c>
      <c r="C128" s="93">
        <v>0</v>
      </c>
      <c r="D128" s="93">
        <v>15</v>
      </c>
      <c r="E128" s="93">
        <v>0</v>
      </c>
      <c r="F128" s="113">
        <v>-100.96599999999999</v>
      </c>
      <c r="G128" s="113">
        <v>69.623000000000005</v>
      </c>
      <c r="H128" s="113">
        <v>390</v>
      </c>
      <c r="I128" s="107" t="s">
        <v>60</v>
      </c>
      <c r="J128" s="136" t="s">
        <v>40</v>
      </c>
      <c r="K128" s="146">
        <v>-1498.271</v>
      </c>
      <c r="L128" s="146">
        <v>1120.3879999999999</v>
      </c>
      <c r="M128" s="146">
        <v>83.106999999999999</v>
      </c>
      <c r="N128" s="114" t="s">
        <v>77</v>
      </c>
    </row>
    <row r="129" spans="2:22">
      <c r="B129" s="93">
        <v>0</v>
      </c>
      <c r="C129" s="93">
        <v>0</v>
      </c>
      <c r="D129" s="93">
        <v>15</v>
      </c>
      <c r="E129" s="93">
        <v>15</v>
      </c>
      <c r="F129" s="113">
        <v>-122.092</v>
      </c>
      <c r="G129" s="113">
        <v>90.992000000000004</v>
      </c>
      <c r="H129" s="113">
        <v>40.5</v>
      </c>
      <c r="I129" s="108" t="s">
        <v>61</v>
      </c>
      <c r="N129" s="114" t="s">
        <v>74</v>
      </c>
    </row>
    <row r="130" spans="2:22">
      <c r="B130" s="93">
        <v>9</v>
      </c>
      <c r="C130" s="93">
        <v>19</v>
      </c>
      <c r="D130" s="93">
        <v>0</v>
      </c>
      <c r="E130" s="93">
        <v>0</v>
      </c>
      <c r="F130" s="113">
        <v>87.674000000000007</v>
      </c>
      <c r="G130" s="113">
        <v>-80.078000000000003</v>
      </c>
      <c r="H130" s="113">
        <v>390</v>
      </c>
      <c r="I130" s="108" t="s">
        <v>62</v>
      </c>
      <c r="K130" s="139"/>
      <c r="L130" s="139"/>
      <c r="M130" s="139"/>
      <c r="R130" s="140"/>
      <c r="S130" s="140"/>
      <c r="T130" s="140"/>
      <c r="V130" s="140"/>
    </row>
    <row r="131" spans="2:22">
      <c r="B131" s="93">
        <v>9</v>
      </c>
      <c r="C131" s="93">
        <v>19</v>
      </c>
      <c r="D131" s="93">
        <v>0</v>
      </c>
      <c r="E131" s="93">
        <v>15</v>
      </c>
      <c r="F131" s="113">
        <v>104.77</v>
      </c>
      <c r="G131" s="113">
        <v>-104.288</v>
      </c>
      <c r="H131" s="113">
        <v>40.5</v>
      </c>
      <c r="I131" s="108" t="s">
        <v>63</v>
      </c>
      <c r="K131" s="139"/>
      <c r="L131" s="139"/>
      <c r="M131" s="139"/>
      <c r="R131" s="140"/>
      <c r="S131" s="140"/>
      <c r="T131" s="140"/>
      <c r="V131" s="140"/>
    </row>
    <row r="132" spans="2:22">
      <c r="B132" s="93">
        <v>9</v>
      </c>
      <c r="C132" s="93">
        <v>19</v>
      </c>
      <c r="D132" s="93">
        <v>15</v>
      </c>
      <c r="E132" s="93">
        <v>0</v>
      </c>
      <c r="F132" s="113">
        <v>100.95699999999999</v>
      </c>
      <c r="G132" s="113">
        <v>90.992999999999995</v>
      </c>
      <c r="H132" s="113">
        <v>390</v>
      </c>
      <c r="I132" s="108" t="s">
        <v>64</v>
      </c>
      <c r="K132" s="139"/>
      <c r="L132" s="139"/>
      <c r="M132" s="139"/>
      <c r="R132" s="140"/>
      <c r="S132" s="140"/>
      <c r="T132" s="140"/>
      <c r="V132" s="140"/>
    </row>
    <row r="133" spans="2:22" ht="19" thickBot="1">
      <c r="B133" s="93">
        <v>9</v>
      </c>
      <c r="C133" s="93">
        <v>19</v>
      </c>
      <c r="D133" s="93">
        <v>15</v>
      </c>
      <c r="E133" s="93">
        <v>15</v>
      </c>
      <c r="F133" s="113">
        <v>121.93600000000001</v>
      </c>
      <c r="G133" s="113">
        <v>116.82599999999999</v>
      </c>
      <c r="H133" s="113">
        <v>40.5</v>
      </c>
      <c r="I133" s="109" t="s">
        <v>65</v>
      </c>
      <c r="K133" s="139"/>
      <c r="L133" s="139"/>
      <c r="M133" s="139"/>
      <c r="R133" s="140"/>
      <c r="S133" s="140"/>
      <c r="T133" s="140"/>
      <c r="V133" s="140"/>
    </row>
  </sheetData>
  <mergeCells count="2">
    <mergeCell ref="I73:I75"/>
    <mergeCell ref="J73:J75"/>
  </mergeCells>
  <conditionalFormatting sqref="V94:V9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03:V10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12:V1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21:V1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5:V8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30:V13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8749999999999998" right="0.78749999999999998" top="0.78749999999999998" bottom="0.78749999999999998" header="0.39374999999999999" footer="0.39374999999999999"/>
  <pageSetup paperSize="9" fitToWidth="0" fitToHeight="0" pageOrder="overThenDown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DE67-23E2-8347-95B8-62162EA20B5B}">
  <dimension ref="A1:M67"/>
  <sheetViews>
    <sheetView workbookViewId="0">
      <selection activeCell="I68" sqref="I68"/>
    </sheetView>
  </sheetViews>
  <sheetFormatPr baseColWidth="10" defaultRowHeight="13"/>
  <cols>
    <col min="1" max="1" width="18" customWidth="1"/>
  </cols>
  <sheetData>
    <row r="1" spans="1:5" ht="19" thickBot="1">
      <c r="A1" s="112"/>
      <c r="B1" s="144"/>
      <c r="C1" s="145"/>
      <c r="D1" s="145"/>
      <c r="E1" s="145"/>
    </row>
    <row r="2" spans="1:5" ht="18">
      <c r="A2" s="107"/>
      <c r="B2" s="127"/>
      <c r="C2" s="146"/>
      <c r="D2" s="146"/>
      <c r="E2" s="146"/>
    </row>
    <row r="3" spans="1:5" ht="18">
      <c r="A3" s="107"/>
      <c r="B3" s="133"/>
      <c r="C3" s="146"/>
      <c r="D3" s="146"/>
      <c r="E3" s="146"/>
    </row>
    <row r="4" spans="1:5" ht="19" thickBot="1">
      <c r="A4" s="107"/>
      <c r="B4" s="136"/>
      <c r="C4" s="146"/>
      <c r="D4" s="146"/>
      <c r="E4" s="146"/>
    </row>
    <row r="5" spans="1:5" ht="19" thickBot="1">
      <c r="A5" s="112"/>
      <c r="B5" s="144"/>
      <c r="C5" s="145"/>
      <c r="D5" s="145"/>
      <c r="E5" s="145"/>
    </row>
    <row r="6" spans="1:5" ht="18">
      <c r="A6" s="107"/>
      <c r="B6" s="127"/>
      <c r="C6" s="146"/>
      <c r="D6" s="146"/>
      <c r="E6" s="146"/>
    </row>
    <row r="7" spans="1:5" ht="18">
      <c r="A7" s="107"/>
      <c r="B7" s="133"/>
      <c r="C7" s="146"/>
      <c r="D7" s="146"/>
      <c r="E7" s="146"/>
    </row>
    <row r="8" spans="1:5" ht="19" thickBot="1">
      <c r="A8" s="107"/>
      <c r="B8" s="136"/>
      <c r="C8" s="146"/>
      <c r="D8" s="146"/>
      <c r="E8" s="146"/>
    </row>
    <row r="9" spans="1:5" ht="19" thickBot="1">
      <c r="A9" s="112"/>
      <c r="B9" s="144"/>
      <c r="C9" s="145"/>
      <c r="D9" s="145"/>
      <c r="E9" s="145"/>
    </row>
    <row r="10" spans="1:5" ht="18">
      <c r="A10" s="107"/>
      <c r="B10" s="127"/>
      <c r="C10" s="146"/>
      <c r="D10" s="146"/>
      <c r="E10" s="146"/>
    </row>
    <row r="11" spans="1:5" ht="18">
      <c r="A11" s="107"/>
      <c r="B11" s="133"/>
      <c r="C11" s="146"/>
      <c r="D11" s="146"/>
      <c r="E11" s="146"/>
    </row>
    <row r="12" spans="1:5" ht="19" thickBot="1">
      <c r="A12" s="107"/>
      <c r="B12" s="136"/>
      <c r="C12" s="146"/>
      <c r="D12" s="146"/>
      <c r="E12" s="146"/>
    </row>
    <row r="13" spans="1:5" ht="18">
      <c r="A13" s="108"/>
      <c r="B13" s="114"/>
      <c r="C13" s="115"/>
      <c r="D13" s="115"/>
      <c r="E13" s="115"/>
    </row>
    <row r="14" spans="1:5" ht="19" thickBot="1">
      <c r="A14" s="112"/>
      <c r="B14" s="144"/>
      <c r="C14" s="145"/>
      <c r="D14" s="145"/>
      <c r="E14" s="145"/>
    </row>
    <row r="15" spans="1:5" ht="18">
      <c r="A15" s="107"/>
      <c r="B15" s="127"/>
      <c r="C15" s="146"/>
      <c r="D15" s="146"/>
      <c r="E15" s="146"/>
    </row>
    <row r="16" spans="1:5" ht="18">
      <c r="A16" s="107"/>
      <c r="B16" s="133"/>
      <c r="C16" s="146"/>
      <c r="D16" s="146"/>
      <c r="E16" s="146"/>
    </row>
    <row r="17" spans="1:13" ht="19" thickBot="1">
      <c r="A17" s="107"/>
      <c r="B17" s="136"/>
      <c r="C17" s="146"/>
      <c r="D17" s="146"/>
      <c r="E17" s="146"/>
    </row>
    <row r="20" spans="1:13" ht="14" thickBot="1"/>
    <row r="21" spans="1:13" ht="14" thickBot="1">
      <c r="A21" s="177" t="s">
        <v>152</v>
      </c>
      <c r="B21" s="31" t="s">
        <v>20</v>
      </c>
      <c r="C21" s="31" t="s">
        <v>21</v>
      </c>
      <c r="D21" s="196" t="s">
        <v>22</v>
      </c>
      <c r="E21" s="255" t="s">
        <v>202</v>
      </c>
      <c r="F21" s="256"/>
      <c r="G21" s="257"/>
      <c r="H21" s="255" t="s">
        <v>201</v>
      </c>
      <c r="I21" s="256"/>
      <c r="J21" s="257"/>
    </row>
    <row r="22" spans="1:13" ht="29" thickBot="1">
      <c r="A22" s="16" t="s">
        <v>68</v>
      </c>
      <c r="B22" s="25">
        <v>-1158.9631551284999</v>
      </c>
      <c r="C22" s="25">
        <v>305.84309374667555</v>
      </c>
      <c r="D22" s="197">
        <v>11.643596382888195</v>
      </c>
      <c r="E22" s="212" t="s">
        <v>196</v>
      </c>
      <c r="F22" s="213" t="s">
        <v>197</v>
      </c>
      <c r="G22" s="214" t="s">
        <v>198</v>
      </c>
      <c r="H22" s="212" t="s">
        <v>196</v>
      </c>
      <c r="I22" s="213" t="s">
        <v>197</v>
      </c>
      <c r="J22" s="214" t="s">
        <v>198</v>
      </c>
      <c r="K22" s="223"/>
      <c r="L22" s="199"/>
      <c r="M22" s="224"/>
    </row>
    <row r="23" spans="1:13" ht="15">
      <c r="A23" s="15" t="s">
        <v>58</v>
      </c>
      <c r="B23" s="60">
        <v>-1150.309639677537</v>
      </c>
      <c r="C23" s="61">
        <v>299.60990911172388</v>
      </c>
      <c r="D23" s="188">
        <v>13.110074722589573</v>
      </c>
      <c r="E23" s="226">
        <f>B23/COS(-13*PI()/180)+C23*SIN(-13*PI()/180)-B23*SIN(-13*PI()/180)*TAN(-13*PI()/180)</f>
        <v>-1188.2248430822342</v>
      </c>
      <c r="F23" s="211">
        <f>C23*COS(-13*PI()/180)-B23*SIN(-13*PI()/180)</f>
        <v>33.167560284115439</v>
      </c>
      <c r="G23" s="227">
        <v>13.110074722589573</v>
      </c>
      <c r="H23" s="205">
        <f>E23/COS(10*PI()/180)-G23*SIN(10*PI()/180)-E23*SIN(10*PI()/180)*TAN(10*PI()/180)</f>
        <v>-1172.4495783737536</v>
      </c>
      <c r="I23" s="206">
        <v>33.167560284115439</v>
      </c>
      <c r="J23" s="207">
        <f>G23*COS(10*PI()/180)+E23*SIN(10*PI()/180)</f>
        <v>-193.42217543042864</v>
      </c>
      <c r="K23" s="225"/>
      <c r="L23" s="225"/>
      <c r="M23" s="225"/>
    </row>
    <row r="24" spans="1:13" ht="15">
      <c r="A24" s="12" t="s">
        <v>59</v>
      </c>
      <c r="B24" s="63">
        <v>-1159.7075073555418</v>
      </c>
      <c r="C24" s="45">
        <v>303.94454828790288</v>
      </c>
      <c r="D24" s="189">
        <v>-45.489105896715508</v>
      </c>
      <c r="E24" s="226">
        <f t="shared" ref="E24:E30" si="0">B24/COS(-13*PI()/180)+C24*SIN(-13*PI()/180)-B24*SIN(-13*PI()/180)*TAN(-13*PI()/180)</f>
        <v>-1198.3569256733763</v>
      </c>
      <c r="F24" s="211">
        <f t="shared" ref="F24:F30" si="1">C24*COS(-13*PI()/180)-B24*SIN(-13*PI()/180)</f>
        <v>35.277042696278329</v>
      </c>
      <c r="G24" s="64">
        <v>-45.489105896715508</v>
      </c>
      <c r="H24" s="201">
        <f t="shared" ref="H24:H30" si="2">E24/COS(10*PI()/180)-G24*SIN(10*PI()/180)-E24*SIN(10*PI()/180)*TAN(10*PI()/180)</f>
        <v>-1172.2520909363527</v>
      </c>
      <c r="I24" s="211">
        <v>35.277042696278329</v>
      </c>
      <c r="J24" s="202">
        <f t="shared" ref="J24:J30" si="3">G24*COS(10*PI()/180)+E24*SIN(10*PI()/180)</f>
        <v>-252.89052050240565</v>
      </c>
      <c r="K24" s="225"/>
      <c r="L24" s="225"/>
      <c r="M24" s="225"/>
    </row>
    <row r="25" spans="1:13" ht="15">
      <c r="A25" s="12" t="s">
        <v>60</v>
      </c>
      <c r="B25" s="63">
        <v>-1120.811749552998</v>
      </c>
      <c r="C25" s="45">
        <v>454.26064359394456</v>
      </c>
      <c r="D25" s="189">
        <v>32.802540068948872</v>
      </c>
      <c r="E25" s="226">
        <f t="shared" si="0"/>
        <v>-1194.271827747388</v>
      </c>
      <c r="F25" s="211">
        <f t="shared" si="1"/>
        <v>190.49018794507555</v>
      </c>
      <c r="G25" s="64">
        <v>32.802540068948872</v>
      </c>
      <c r="H25" s="201">
        <f t="shared" si="2"/>
        <v>-1181.8242564755074</v>
      </c>
      <c r="I25" s="211">
        <v>190.49018794507555</v>
      </c>
      <c r="J25" s="202">
        <f t="shared" si="3"/>
        <v>-175.07893074889358</v>
      </c>
      <c r="K25" s="225"/>
      <c r="L25" s="225"/>
      <c r="M25" s="225"/>
    </row>
    <row r="26" spans="1:13" ht="15">
      <c r="A26" s="12" t="s">
        <v>61</v>
      </c>
      <c r="B26" s="157">
        <v>-1135.1136259297482</v>
      </c>
      <c r="C26" s="158">
        <v>462.24543239207651</v>
      </c>
      <c r="D26" s="190">
        <v>-57.730035232663688</v>
      </c>
      <c r="E26" s="226">
        <f t="shared" si="0"/>
        <v>-1210.0033346180053</v>
      </c>
      <c r="F26" s="211">
        <f t="shared" si="1"/>
        <v>195.05310495356221</v>
      </c>
      <c r="G26" s="159">
        <v>-57.730035232663688</v>
      </c>
      <c r="H26" s="201">
        <f t="shared" si="2"/>
        <v>-1181.5959496876371</v>
      </c>
      <c r="I26" s="211">
        <v>195.05310495356221</v>
      </c>
      <c r="J26" s="202">
        <f t="shared" si="3"/>
        <v>-266.96786030612066</v>
      </c>
    </row>
    <row r="27" spans="1:13" ht="15">
      <c r="A27" s="12" t="s">
        <v>62</v>
      </c>
      <c r="B27" s="63">
        <v>-1437.6883264531014</v>
      </c>
      <c r="C27" s="45">
        <v>334.69855700421692</v>
      </c>
      <c r="D27" s="189">
        <v>66.081834513235435</v>
      </c>
      <c r="E27" s="226">
        <f t="shared" si="0"/>
        <v>-1476.1312610725533</v>
      </c>
      <c r="F27" s="211">
        <f t="shared" si="1"/>
        <v>2.7107498182317045</v>
      </c>
      <c r="G27" s="64">
        <v>66.081834513235435</v>
      </c>
      <c r="H27" s="201">
        <f t="shared" si="2"/>
        <v>-1465.1805005080494</v>
      </c>
      <c r="I27" s="211">
        <v>2.7107498182317045</v>
      </c>
      <c r="J27" s="202">
        <f t="shared" si="3"/>
        <v>-191.24960052053271</v>
      </c>
    </row>
    <row r="28" spans="1:13" ht="15">
      <c r="A28" s="12" t="s">
        <v>63</v>
      </c>
      <c r="B28" s="157">
        <v>-1448.3370215622479</v>
      </c>
      <c r="C28" s="158">
        <v>339.61018568128827</v>
      </c>
      <c r="D28" s="190">
        <v>-0.31677853976722048</v>
      </c>
      <c r="E28" s="226">
        <f t="shared" si="0"/>
        <v>-1487.6119068653836</v>
      </c>
      <c r="F28" s="211">
        <f t="shared" si="1"/>
        <v>5.1010585783218403</v>
      </c>
      <c r="G28" s="159">
        <v>-0.31677853976722048</v>
      </c>
      <c r="H28" s="201">
        <f t="shared" si="2"/>
        <v>-1464.9567313381501</v>
      </c>
      <c r="I28" s="211">
        <v>5.1010585783218403</v>
      </c>
      <c r="J28" s="202">
        <f t="shared" si="3"/>
        <v>-258.63306266475178</v>
      </c>
    </row>
    <row r="29" spans="1:13" ht="15">
      <c r="A29" s="12" t="s">
        <v>64</v>
      </c>
      <c r="B29" s="63">
        <v>-1403.3813710380309</v>
      </c>
      <c r="C29" s="45">
        <v>514.56327549164655</v>
      </c>
      <c r="D29" s="189">
        <v>88.983658535598977</v>
      </c>
      <c r="E29" s="226">
        <f t="shared" si="0"/>
        <v>-1483.1643487651972</v>
      </c>
      <c r="F29" s="211">
        <f t="shared" si="1"/>
        <v>185.68293301535465</v>
      </c>
      <c r="G29" s="64">
        <v>88.983658535598977</v>
      </c>
      <c r="H29" s="201">
        <f t="shared" si="2"/>
        <v>-1476.0835998021118</v>
      </c>
      <c r="I29" s="211">
        <v>185.68293301535465</v>
      </c>
      <c r="J29" s="202">
        <f t="shared" si="3"/>
        <v>-169.91698952638717</v>
      </c>
    </row>
    <row r="30" spans="1:13" ht="16" thickBot="1">
      <c r="A30" s="12" t="s">
        <v>65</v>
      </c>
      <c r="B30" s="160">
        <v>-1419.7371243142893</v>
      </c>
      <c r="C30" s="161">
        <v>523.69562456323843</v>
      </c>
      <c r="D30" s="191">
        <v>-14.551053949230919</v>
      </c>
      <c r="E30" s="228">
        <f t="shared" si="0"/>
        <v>-1501.155236696887</v>
      </c>
      <c r="F30" s="229">
        <f t="shared" si="1"/>
        <v>190.90197662780054</v>
      </c>
      <c r="G30" s="162">
        <v>-14.551053949230919</v>
      </c>
      <c r="H30" s="203">
        <f t="shared" si="2"/>
        <v>-1475.8225515725535</v>
      </c>
      <c r="I30" s="229">
        <v>190.90197662780054</v>
      </c>
      <c r="J30" s="204">
        <f t="shared" si="3"/>
        <v>-275.00286199128539</v>
      </c>
    </row>
    <row r="31" spans="1:13" ht="16" thickBot="1">
      <c r="A31" s="217"/>
      <c r="B31" s="192"/>
      <c r="C31" s="192"/>
      <c r="D31" s="192"/>
      <c r="E31" s="252" t="s">
        <v>203</v>
      </c>
      <c r="F31" s="253"/>
      <c r="G31" s="254"/>
      <c r="H31" s="218">
        <v>-1320</v>
      </c>
      <c r="I31" s="219">
        <v>110</v>
      </c>
      <c r="J31" s="220">
        <v>-225</v>
      </c>
    </row>
    <row r="32" spans="1:13" ht="14" thickBot="1">
      <c r="E32" s="183"/>
      <c r="F32" s="181"/>
      <c r="G32" s="179"/>
      <c r="H32" s="183"/>
      <c r="I32" s="181"/>
      <c r="J32" s="179"/>
    </row>
    <row r="33" spans="1:10" ht="14" thickBot="1">
      <c r="A33" s="177" t="s">
        <v>153</v>
      </c>
      <c r="B33" s="31" t="s">
        <v>20</v>
      </c>
      <c r="C33" s="31" t="s">
        <v>21</v>
      </c>
      <c r="D33" s="31" t="s">
        <v>22</v>
      </c>
      <c r="E33" s="255" t="s">
        <v>202</v>
      </c>
      <c r="F33" s="256"/>
      <c r="G33" s="257"/>
      <c r="H33" s="255" t="s">
        <v>201</v>
      </c>
      <c r="I33" s="256"/>
      <c r="J33" s="257"/>
    </row>
    <row r="34" spans="1:10" ht="29" thickBot="1">
      <c r="A34" s="16" t="s">
        <v>68</v>
      </c>
      <c r="B34" s="25">
        <v>-1177.0915868905151</v>
      </c>
      <c r="C34" s="25">
        <v>474.5467209068363</v>
      </c>
      <c r="D34" s="26">
        <v>41.05180873908693</v>
      </c>
      <c r="E34" s="212" t="s">
        <v>196</v>
      </c>
      <c r="F34" s="213" t="s">
        <v>197</v>
      </c>
      <c r="G34" s="214" t="s">
        <v>198</v>
      </c>
      <c r="H34" s="212" t="s">
        <v>196</v>
      </c>
      <c r="I34" s="213" t="s">
        <v>197</v>
      </c>
      <c r="J34" s="214" t="s">
        <v>198</v>
      </c>
    </row>
    <row r="35" spans="1:10" ht="15">
      <c r="A35" s="15" t="s">
        <v>58</v>
      </c>
      <c r="B35" s="76">
        <v>-1168.4872983182468</v>
      </c>
      <c r="C35" s="77">
        <v>467.47520963335489</v>
      </c>
      <c r="D35" s="78">
        <v>42.615412857880642</v>
      </c>
      <c r="E35" s="205">
        <f>B35/COS(-13*PI()/180)+C35*SIN(-13*PI()/180)-B35*SIN(-13*PI()/180)*TAN(-13*PI()/180)</f>
        <v>-1243.698085849717</v>
      </c>
      <c r="F35" s="206">
        <f>C35*COS(-13*PI()/180)-B35*SIN(-13*PI()/180)</f>
        <v>192.64140055183952</v>
      </c>
      <c r="G35" s="62">
        <v>42.615412857880642</v>
      </c>
      <c r="H35" s="230">
        <f>E35/COS(10*PI()/180)-G35*SIN(10*PI()/180)-E35*SIN(10*PI()/180)*TAN(10*PI()/180)</f>
        <v>-1232.2036061345389</v>
      </c>
      <c r="I35" s="206">
        <v>192.64140055183952</v>
      </c>
      <c r="J35" s="207">
        <f>G35*COS(10*PI()/180)+E35*SIN(10*PI()/180)</f>
        <v>-173.99791719539584</v>
      </c>
    </row>
    <row r="36" spans="1:10" ht="15">
      <c r="A36" s="12" t="s">
        <v>59</v>
      </c>
      <c r="B36" s="71">
        <v>-1182.8950498102092</v>
      </c>
      <c r="C36" s="70">
        <v>475.5729599218194</v>
      </c>
      <c r="D36" s="72">
        <v>-50.791432066008845</v>
      </c>
      <c r="E36" s="226">
        <f t="shared" ref="E36:E42" si="4">B36/COS(-13*PI()/180)+C36*SIN(-13*PI()/180)-B36*SIN(-13*PI()/180)*TAN(-13*PI()/180)</f>
        <v>-1259.5581650695535</v>
      </c>
      <c r="F36" s="211">
        <f t="shared" ref="F36:F42" si="5">C36*COS(-13*PI()/180)-B36*SIN(-13*PI()/180)</f>
        <v>197.29056713618399</v>
      </c>
      <c r="G36" s="64">
        <v>-50.791432066008845</v>
      </c>
      <c r="H36" s="231">
        <f t="shared" ref="H36:H42" si="6">E36/COS(10*PI()/180)-G36*SIN(10*PI()/180)-E36*SIN(10*PI()/180)*TAN(10*PI()/180)</f>
        <v>-1231.602806710971</v>
      </c>
      <c r="I36" s="211">
        <v>197.29056713618399</v>
      </c>
      <c r="J36" s="202">
        <f t="shared" ref="J36:J42" si="7">G36*COS(10*PI()/180)+E36*SIN(10*PI()/180)</f>
        <v>-268.73977611502897</v>
      </c>
    </row>
    <row r="37" spans="1:10" ht="15">
      <c r="A37" s="12" t="s">
        <v>60</v>
      </c>
      <c r="B37" s="71">
        <v>-1122.5235010426918</v>
      </c>
      <c r="C37" s="70">
        <v>616.95732392702962</v>
      </c>
      <c r="D37" s="72">
        <v>58.666111126279581</v>
      </c>
      <c r="E37" s="226">
        <f t="shared" si="4"/>
        <v>-1232.5384969364713</v>
      </c>
      <c r="F37" s="211">
        <f t="shared" si="5"/>
        <v>348.63190259918503</v>
      </c>
      <c r="G37" s="64">
        <v>58.666111126279581</v>
      </c>
      <c r="H37" s="231">
        <f t="shared" si="6"/>
        <v>-1224.0007309569346</v>
      </c>
      <c r="I37" s="211">
        <v>348.63190259918503</v>
      </c>
      <c r="J37" s="202">
        <f t="shared" si="7"/>
        <v>-156.25322282111975</v>
      </c>
    </row>
    <row r="38" spans="1:10" ht="15">
      <c r="A38" s="12" t="s">
        <v>61</v>
      </c>
      <c r="B38" s="71">
        <v>-1140.9813050524235</v>
      </c>
      <c r="C38" s="70">
        <v>630.30258580775876</v>
      </c>
      <c r="D38" s="72">
        <v>-65.775828650463069</v>
      </c>
      <c r="E38" s="226">
        <f t="shared" si="4"/>
        <v>-1253.5252593557918</v>
      </c>
      <c r="F38" s="211">
        <f t="shared" si="5"/>
        <v>357.48302380962542</v>
      </c>
      <c r="G38" s="159">
        <v>-65.775828650463069</v>
      </c>
      <c r="H38" s="231">
        <f t="shared" si="6"/>
        <v>-1223.0595412305374</v>
      </c>
      <c r="I38" s="211">
        <v>357.48302380962542</v>
      </c>
      <c r="J38" s="202">
        <f t="shared" si="7"/>
        <v>-282.44892296237799</v>
      </c>
    </row>
    <row r="39" spans="1:10" ht="15">
      <c r="A39" s="12" t="s">
        <v>62</v>
      </c>
      <c r="B39" s="71">
        <v>-1470.7016115204842</v>
      </c>
      <c r="C39" s="70">
        <v>531.96762448594063</v>
      </c>
      <c r="D39" s="72">
        <v>102.82147357817678</v>
      </c>
      <c r="E39" s="226">
        <f t="shared" si="4"/>
        <v>-1552.6743025018777</v>
      </c>
      <c r="F39" s="211">
        <f t="shared" si="5"/>
        <v>187.49745059725939</v>
      </c>
      <c r="G39" s="64">
        <v>102.82147357817678</v>
      </c>
      <c r="H39" s="231">
        <f t="shared" si="6"/>
        <v>-1546.9404525185505</v>
      </c>
      <c r="I39" s="211">
        <v>187.49745059725939</v>
      </c>
      <c r="J39" s="202">
        <f t="shared" si="7"/>
        <v>-168.35967878379483</v>
      </c>
    </row>
    <row r="40" spans="1:10" ht="15">
      <c r="A40" s="12" t="s">
        <v>63</v>
      </c>
      <c r="B40" s="71">
        <v>-1487.2550473169922</v>
      </c>
      <c r="C40" s="70">
        <v>541.27104699148913</v>
      </c>
      <c r="D40" s="72">
        <v>-4.4955823151024603</v>
      </c>
      <c r="E40" s="226">
        <f t="shared" si="4"/>
        <v>-1570.8962895129689</v>
      </c>
      <c r="F40" s="211">
        <f t="shared" si="5"/>
        <v>192.8387141512772</v>
      </c>
      <c r="G40" s="159">
        <v>-4.4955823151024603</v>
      </c>
      <c r="H40" s="231">
        <f t="shared" si="6"/>
        <v>-1546.2501954139127</v>
      </c>
      <c r="I40" s="211">
        <v>192.8387141512772</v>
      </c>
      <c r="J40" s="202">
        <f t="shared" si="7"/>
        <v>-277.21056229588709</v>
      </c>
    </row>
    <row r="41" spans="1:10" ht="15">
      <c r="A41" s="12" t="s">
        <v>64</v>
      </c>
      <c r="B41" s="71">
        <v>-1412.4735131976854</v>
      </c>
      <c r="C41" s="70">
        <v>721.33520596308244</v>
      </c>
      <c r="D41" s="72">
        <v>123.15511742737402</v>
      </c>
      <c r="E41" s="226">
        <f t="shared" si="4"/>
        <v>-1538.5370236786021</v>
      </c>
      <c r="F41" s="211">
        <f t="shared" si="5"/>
        <v>385.11002533951716</v>
      </c>
      <c r="G41" s="64">
        <v>123.15511742737402</v>
      </c>
      <c r="H41" s="231">
        <f t="shared" si="6"/>
        <v>-1536.5488509266347</v>
      </c>
      <c r="I41" s="211">
        <v>385.11002533951716</v>
      </c>
      <c r="J41" s="202">
        <f t="shared" si="7"/>
        <v>-145.88003596928525</v>
      </c>
    </row>
    <row r="42" spans="1:10" ht="16" thickBot="1">
      <c r="A42" s="12" t="s">
        <v>65</v>
      </c>
      <c r="B42" s="65">
        <v>-1434.2188409369292</v>
      </c>
      <c r="C42" s="39">
        <v>737.05942312048023</v>
      </c>
      <c r="D42" s="66">
        <v>-23.454465675295161</v>
      </c>
      <c r="E42" s="228">
        <f t="shared" si="4"/>
        <v>-1563.2621993049536</v>
      </c>
      <c r="F42" s="229">
        <f t="shared" si="5"/>
        <v>395.53959742787225</v>
      </c>
      <c r="G42" s="162">
        <v>-23.454465675295161</v>
      </c>
      <c r="H42" s="232">
        <f t="shared" si="6"/>
        <v>-1535.4399086437675</v>
      </c>
      <c r="I42" s="229">
        <v>395.53959742787225</v>
      </c>
      <c r="J42" s="204">
        <f t="shared" si="7"/>
        <v>-294.55577176469222</v>
      </c>
    </row>
    <row r="43" spans="1:10" ht="16" thickBot="1">
      <c r="A43" s="217"/>
      <c r="B43" s="234"/>
      <c r="C43" s="234"/>
      <c r="D43" s="234"/>
      <c r="E43" s="252" t="s">
        <v>203</v>
      </c>
      <c r="F43" s="253"/>
      <c r="G43" s="254"/>
      <c r="H43" s="218">
        <v>-1400</v>
      </c>
      <c r="I43" s="219">
        <v>300</v>
      </c>
      <c r="J43" s="220">
        <v>-225</v>
      </c>
    </row>
    <row r="44" spans="1:10" ht="14" thickBot="1">
      <c r="H44" s="183"/>
      <c r="I44" s="181"/>
    </row>
    <row r="45" spans="1:10" ht="14" thickBot="1">
      <c r="A45" s="177" t="s">
        <v>154</v>
      </c>
      <c r="B45" s="31" t="s">
        <v>20</v>
      </c>
      <c r="C45" s="31" t="s">
        <v>21</v>
      </c>
      <c r="D45" s="31" t="s">
        <v>22</v>
      </c>
      <c r="E45" s="255" t="s">
        <v>202</v>
      </c>
      <c r="F45" s="256"/>
      <c r="G45" s="257"/>
      <c r="H45" s="255" t="s">
        <v>201</v>
      </c>
      <c r="I45" s="256"/>
      <c r="J45" s="257"/>
    </row>
    <row r="46" spans="1:10" ht="29" thickBot="1">
      <c r="A46" s="16" t="s">
        <v>68</v>
      </c>
      <c r="B46" s="25">
        <v>-1193.3083362997943</v>
      </c>
      <c r="C46" s="25">
        <v>651.28573722005149</v>
      </c>
      <c r="D46" s="26">
        <v>71.602937913999028</v>
      </c>
      <c r="E46" s="212" t="s">
        <v>196</v>
      </c>
      <c r="F46" s="213" t="s">
        <v>197</v>
      </c>
      <c r="G46" s="214" t="s">
        <v>198</v>
      </c>
      <c r="H46" s="212" t="s">
        <v>196</v>
      </c>
      <c r="I46" s="213" t="s">
        <v>197</v>
      </c>
      <c r="J46" s="214" t="s">
        <v>198</v>
      </c>
    </row>
    <row r="47" spans="1:10" ht="15">
      <c r="A47" s="15" t="s">
        <v>58</v>
      </c>
      <c r="B47" s="76">
        <v>-1185.3760785462707</v>
      </c>
      <c r="C47" s="77">
        <v>642.68942627421472</v>
      </c>
      <c r="D47" s="193">
        <v>73.251056119330485</v>
      </c>
      <c r="E47" s="205">
        <f>B47/COS(-13*PI()/180)+C47*SIN(-13*PI()/180)-B47*SIN(-13*PI()/180)*TAN(-13*PI()/180)</f>
        <v>-1299.5686305040363</v>
      </c>
      <c r="F47" s="206">
        <f>C47*COS(-13*PI()/180)-B47*SIN(-13*PI()/180)</f>
        <v>359.5657392526125</v>
      </c>
      <c r="G47" s="221">
        <v>73.251056119330485</v>
      </c>
      <c r="H47" s="205">
        <f>E47/COS(10*PI()/180)-G47*SIN(10*PI()/180)-E47*SIN(10*PI()/180)*TAN(10*PI()/180)</f>
        <v>-1292.5451752991323</v>
      </c>
      <c r="I47" s="206">
        <v>359.5657392526125</v>
      </c>
      <c r="J47" s="207">
        <f>G47*COS(10*PI()/180)+E47*SIN(10*PI()/180)</f>
        <v>-153.52951645748522</v>
      </c>
    </row>
    <row r="48" spans="1:10" ht="15">
      <c r="A48" s="12" t="s">
        <v>59</v>
      </c>
      <c r="B48" s="71">
        <v>-1203.7771556763555</v>
      </c>
      <c r="C48" s="70">
        <v>656.34448619172076</v>
      </c>
      <c r="D48" s="194">
        <v>-56.772291567578776</v>
      </c>
      <c r="E48" s="226">
        <f t="shared" ref="E48:E54" si="8">B48/COS(-13*PI()/180)+C48*SIN(-13*PI()/180)-B48*SIN(-13*PI()/180)*TAN(-13*PI()/180)</f>
        <v>-1320.5698093449666</v>
      </c>
      <c r="F48" s="211">
        <f t="shared" ref="F48:F54" si="9">C48*COS(-13*PI()/180)-B48*SIN(-13*PI()/180)</f>
        <v>368.73147916760377</v>
      </c>
      <c r="G48" s="222">
        <v>-56.772291567578776</v>
      </c>
      <c r="H48" s="201">
        <f t="shared" ref="H48:H54" si="10">E48/COS(10*PI()/180)-G48*SIN(10*PI()/180)-E48*SIN(10*PI()/180)*TAN(10*PI()/180)</f>
        <v>-1290.648981664091</v>
      </c>
      <c r="I48" s="211">
        <v>368.73147916760377</v>
      </c>
      <c r="J48" s="202">
        <f t="shared" ref="J48:J54" si="11">G48*COS(10*PI()/180)+E48*SIN(10*PI()/180)</f>
        <v>-285.22433376674024</v>
      </c>
    </row>
    <row r="49" spans="1:10" ht="15">
      <c r="A49" s="12" t="s">
        <v>60</v>
      </c>
      <c r="B49" s="71">
        <v>-1119.6361025493757</v>
      </c>
      <c r="C49" s="70">
        <v>787.6091913406907</v>
      </c>
      <c r="D49" s="194">
        <v>85.294583842796555</v>
      </c>
      <c r="E49" s="226">
        <f t="shared" si="8"/>
        <v>-1268.1134197799308</v>
      </c>
      <c r="F49" s="211">
        <f t="shared" si="9"/>
        <v>515.55949704213776</v>
      </c>
      <c r="G49" s="222">
        <v>85.294583842796555</v>
      </c>
      <c r="H49" s="201">
        <f t="shared" si="10"/>
        <v>-1263.6591765472615</v>
      </c>
      <c r="I49" s="211">
        <v>515.55949704213776</v>
      </c>
      <c r="J49" s="202">
        <f t="shared" si="11"/>
        <v>-136.20681696142816</v>
      </c>
    </row>
    <row r="50" spans="1:10" ht="15">
      <c r="A50" s="12" t="s">
        <v>61</v>
      </c>
      <c r="B50" s="71">
        <v>-1141.0783515190651</v>
      </c>
      <c r="C50" s="70">
        <v>807.26535513579461</v>
      </c>
      <c r="D50" s="194">
        <v>-74.964373936064462</v>
      </c>
      <c r="E50" s="226">
        <f t="shared" si="8"/>
        <v>-1293.4277800677323</v>
      </c>
      <c r="F50" s="211">
        <f t="shared" si="9"/>
        <v>529.88841811936709</v>
      </c>
      <c r="G50" s="222">
        <v>-74.964373936064462</v>
      </c>
      <c r="H50" s="201">
        <f t="shared" si="10"/>
        <v>-1260.7602788481322</v>
      </c>
      <c r="I50" s="211">
        <v>529.88841811936709</v>
      </c>
      <c r="J50" s="202">
        <f t="shared" si="11"/>
        <v>-298.42687360448747</v>
      </c>
    </row>
    <row r="51" spans="1:10" ht="15">
      <c r="A51" s="12" t="s">
        <v>62</v>
      </c>
      <c r="B51" s="71">
        <v>-1489.2722693894218</v>
      </c>
      <c r="C51" s="70">
        <v>752.00213686608856</v>
      </c>
      <c r="D51" s="194">
        <v>140.76513904736669</v>
      </c>
      <c r="E51" s="226">
        <f t="shared" si="8"/>
        <v>-1620.2659911646913</v>
      </c>
      <c r="F51" s="211">
        <f t="shared" si="9"/>
        <v>397.71500361261513</v>
      </c>
      <c r="G51" s="222">
        <v>140.76513904736669</v>
      </c>
      <c r="H51" s="201">
        <f t="shared" si="10"/>
        <v>-1620.094119915605</v>
      </c>
      <c r="I51" s="211">
        <v>397.71500361261513</v>
      </c>
      <c r="J51" s="202">
        <f t="shared" si="11"/>
        <v>-142.72963641376307</v>
      </c>
    </row>
    <row r="52" spans="1:10" ht="15">
      <c r="A52" s="12" t="s">
        <v>63</v>
      </c>
      <c r="B52" s="71">
        <v>-1510</v>
      </c>
      <c r="C52" s="70">
        <v>758.08213632601803</v>
      </c>
      <c r="D52" s="194">
        <v>-55.393715450073998</v>
      </c>
      <c r="E52" s="226">
        <f t="shared" si="8"/>
        <v>-1641.8301736714925</v>
      </c>
      <c r="F52" s="211">
        <f t="shared" si="9"/>
        <v>398.97644822527553</v>
      </c>
      <c r="G52" s="222">
        <v>-5.3937154500739997</v>
      </c>
      <c r="H52" s="201">
        <f t="shared" si="10"/>
        <v>-1615.9504753023064</v>
      </c>
      <c r="I52" s="211">
        <v>392.60530859903122</v>
      </c>
      <c r="J52" s="202">
        <f t="shared" si="11"/>
        <v>-290.41259048940901</v>
      </c>
    </row>
    <row r="53" spans="1:10" ht="15">
      <c r="A53" s="12" t="s">
        <v>64</v>
      </c>
      <c r="B53" s="71">
        <v>-1406.4354976014572</v>
      </c>
      <c r="C53" s="70">
        <v>934.6112258166188</v>
      </c>
      <c r="D53" s="194">
        <v>155.93966694682354</v>
      </c>
      <c r="E53" s="226">
        <f t="shared" si="8"/>
        <v>-1580.6304275632469</v>
      </c>
      <c r="F53" s="211">
        <f t="shared" si="9"/>
        <v>594.2780525958608</v>
      </c>
      <c r="G53" s="222">
        <v>155.93966694682354</v>
      </c>
      <c r="H53" s="201">
        <f t="shared" si="10"/>
        <v>-1583.6957387025909</v>
      </c>
      <c r="I53" s="211">
        <v>594.2780525958608</v>
      </c>
      <c r="J53" s="202">
        <f t="shared" si="11"/>
        <v>-120.90300029988538</v>
      </c>
    </row>
    <row r="54" spans="1:10" ht="16" thickBot="1">
      <c r="A54" s="12" t="s">
        <v>65</v>
      </c>
      <c r="B54" s="65">
        <v>-1432.0343391002261</v>
      </c>
      <c r="C54" s="39">
        <v>958.08121892364909</v>
      </c>
      <c r="D54" s="195">
        <v>-35.393690439104262</v>
      </c>
      <c r="E54" s="228">
        <f t="shared" si="8"/>
        <v>-1610.8527721076991</v>
      </c>
      <c r="F54" s="229">
        <f t="shared" si="9"/>
        <v>611.38802491493732</v>
      </c>
      <c r="G54" s="233">
        <v>-35.393690439104262</v>
      </c>
      <c r="H54" s="203">
        <f t="shared" si="10"/>
        <v>-1580.2342490872118</v>
      </c>
      <c r="I54" s="229">
        <v>611.38802491493732</v>
      </c>
      <c r="J54" s="204">
        <f t="shared" si="11"/>
        <v>-314.57762911836892</v>
      </c>
    </row>
    <row r="55" spans="1:10" ht="16" thickBot="1">
      <c r="A55" s="217"/>
      <c r="B55" s="234"/>
      <c r="C55" s="234"/>
      <c r="D55" s="234"/>
      <c r="E55" s="252" t="s">
        <v>203</v>
      </c>
      <c r="F55" s="253"/>
      <c r="G55" s="254"/>
      <c r="H55" s="218">
        <v>-1440</v>
      </c>
      <c r="I55" s="219">
        <v>480</v>
      </c>
      <c r="J55" s="220">
        <v>-225</v>
      </c>
    </row>
    <row r="56" spans="1:10" ht="14" thickBot="1">
      <c r="H56" s="183"/>
      <c r="I56" s="181"/>
    </row>
    <row r="57" spans="1:10" ht="14" thickBot="1">
      <c r="A57" s="177" t="s">
        <v>155</v>
      </c>
      <c r="B57" s="31" t="s">
        <v>20</v>
      </c>
      <c r="C57" s="31" t="s">
        <v>21</v>
      </c>
      <c r="D57" s="31" t="s">
        <v>22</v>
      </c>
      <c r="E57" s="255" t="s">
        <v>202</v>
      </c>
      <c r="F57" s="256"/>
      <c r="G57" s="257"/>
      <c r="H57" s="255" t="s">
        <v>201</v>
      </c>
      <c r="I57" s="256"/>
      <c r="J57" s="257"/>
    </row>
    <row r="58" spans="1:10" ht="29" thickBot="1">
      <c r="A58" s="16" t="s">
        <v>68</v>
      </c>
      <c r="B58" s="25">
        <v>-1213.0645626225903</v>
      </c>
      <c r="C58" s="25">
        <v>844.91189819116221</v>
      </c>
      <c r="D58" s="26">
        <v>105.33389733957328</v>
      </c>
      <c r="E58" s="212" t="s">
        <v>196</v>
      </c>
      <c r="F58" s="213" t="s">
        <v>197</v>
      </c>
      <c r="G58" s="214" t="s">
        <v>198</v>
      </c>
      <c r="H58" s="212" t="s">
        <v>196</v>
      </c>
      <c r="I58" s="213" t="s">
        <v>197</v>
      </c>
      <c r="J58" s="214" t="s">
        <v>198</v>
      </c>
    </row>
    <row r="59" spans="1:10" ht="15">
      <c r="A59" s="15" t="s">
        <v>58</v>
      </c>
      <c r="B59" s="76">
        <v>-1205.7491547306286</v>
      </c>
      <c r="C59" s="77">
        <v>835.0998824481685</v>
      </c>
      <c r="D59" s="193">
        <v>107.05101452481335</v>
      </c>
      <c r="E59" s="205">
        <f>B59/COS(-13*PI()/180)+C59*SIN(-13*PI()/180)-B59*SIN(-13*PI()/180)*TAN(-13*PI()/180)</f>
        <v>-1362.7024810487783</v>
      </c>
      <c r="F59" s="206">
        <f>C59*COS(-13*PI()/180)-B59*SIN(-13*PI()/180)</f>
        <v>542.46178293228536</v>
      </c>
      <c r="G59" s="221">
        <v>107.05101452481335</v>
      </c>
      <c r="H59" s="205">
        <f>E59/COS(10*PI()/180)-G59*SIN(10*PI()/180)-E59*SIN(10*PI()/180)*TAN(10*PI()/180)</f>
        <v>-1360.5891819754386</v>
      </c>
      <c r="I59" s="206">
        <v>542.46178293228536</v>
      </c>
      <c r="J59" s="207">
        <f>G59*COS(10*PI()/180)+E59*SIN(10*PI()/180)</f>
        <v>-131.20613346446632</v>
      </c>
    </row>
    <row r="60" spans="1:10" ht="15">
      <c r="A60" s="12" t="s">
        <v>59</v>
      </c>
      <c r="B60" s="71">
        <v>-1226.8914917674151</v>
      </c>
      <c r="C60" s="70">
        <v>855.22978839112625</v>
      </c>
      <c r="D60" s="194">
        <v>-63.442106913109896</v>
      </c>
      <c r="E60" s="226">
        <f t="shared" ref="E60:E66" si="12">B60/COS(-13*PI()/180)+C60*SIN(-13*PI()/180)-B60*SIN(-13*PI()/180)*TAN(-13*PI()/180)</f>
        <v>-1387.8311849227346</v>
      </c>
      <c r="F60" s="211">
        <f t="shared" ref="F60:F66" si="13">C60*COS(-13*PI()/180)-B60*SIN(-13*PI()/180)</f>
        <v>557.31976968232732</v>
      </c>
      <c r="G60" s="222">
        <v>-63.442106913109896</v>
      </c>
      <c r="H60" s="201">
        <f t="shared" ref="H60:H66" si="14">E60/COS(10*PI()/180)-G60*SIN(10*PI()/180)-E60*SIN(10*PI()/180)*TAN(10*PI()/180)</f>
        <v>-1355.7303045312162</v>
      </c>
      <c r="I60" s="211">
        <v>557.31976968232732</v>
      </c>
      <c r="J60" s="202">
        <f t="shared" ref="J60:J66" si="15">G60*COS(10*PI()/180)+E60*SIN(10*PI()/180)</f>
        <v>-303.47263492662944</v>
      </c>
    </row>
    <row r="61" spans="1:10" ht="15">
      <c r="A61" s="12" t="s">
        <v>60</v>
      </c>
      <c r="B61" s="71">
        <v>-1118.4198528811057</v>
      </c>
      <c r="C61" s="70">
        <v>975.29858274647984</v>
      </c>
      <c r="D61" s="194">
        <v>114.88455401448549</v>
      </c>
      <c r="E61" s="226">
        <f t="shared" si="12"/>
        <v>-1309.1492689977542</v>
      </c>
      <c r="F61" s="211">
        <f t="shared" si="13"/>
        <v>698.71201815092058</v>
      </c>
      <c r="G61" s="222">
        <v>114.88455401448549</v>
      </c>
      <c r="H61" s="201">
        <f t="shared" si="14"/>
        <v>-1309.2098434059465</v>
      </c>
      <c r="I61" s="211">
        <v>698.71201815092058</v>
      </c>
      <c r="J61" s="202">
        <f t="shared" si="15"/>
        <v>-114.19218536063889</v>
      </c>
    </row>
    <row r="62" spans="1:10" ht="15">
      <c r="A62" s="12" t="s">
        <v>61</v>
      </c>
      <c r="B62" s="71">
        <v>-1141.1543169028487</v>
      </c>
      <c r="C62" s="70">
        <v>1002.2793497273158</v>
      </c>
      <c r="D62" s="194">
        <v>-85.082084212828917</v>
      </c>
      <c r="E62" s="226">
        <f t="shared" si="12"/>
        <v>-1337.3704021588228</v>
      </c>
      <c r="F62" s="211">
        <f t="shared" si="13"/>
        <v>719.88712817035935</v>
      </c>
      <c r="G62" s="222">
        <v>-85.082084212828917</v>
      </c>
      <c r="H62" s="201">
        <f t="shared" si="14"/>
        <v>-1302.2783918194011</v>
      </c>
      <c r="I62" s="211">
        <v>719.88712817035935</v>
      </c>
      <c r="J62" s="202">
        <f t="shared" si="15"/>
        <v>-316.02142937580084</v>
      </c>
    </row>
    <row r="63" spans="1:10" ht="15">
      <c r="A63" s="12" t="s">
        <v>62</v>
      </c>
      <c r="B63" s="71">
        <v>-1510.918377522614</v>
      </c>
      <c r="C63" s="70">
        <v>991.22150557242594</v>
      </c>
      <c r="D63" s="194">
        <v>182.16241467686038</v>
      </c>
      <c r="E63" s="226">
        <f t="shared" si="12"/>
        <v>-1695.1699601587422</v>
      </c>
      <c r="F63" s="211">
        <f t="shared" si="13"/>
        <v>625.93388054988918</v>
      </c>
      <c r="G63" s="222">
        <v>182.16241467686038</v>
      </c>
      <c r="H63" s="201">
        <f t="shared" si="14"/>
        <v>-1701.0486907857698</v>
      </c>
      <c r="I63" s="211">
        <v>625.93388054988918</v>
      </c>
      <c r="J63" s="202">
        <f t="shared" si="15"/>
        <v>-114.96821613609154</v>
      </c>
    </row>
    <row r="64" spans="1:10" ht="15">
      <c r="A64" s="12" t="s">
        <v>63</v>
      </c>
      <c r="B64" s="71">
        <v>-1536.163093667587</v>
      </c>
      <c r="C64" s="70">
        <v>1015.2519958116166</v>
      </c>
      <c r="D64" s="194">
        <v>-21.395876681171458</v>
      </c>
      <c r="E64" s="226">
        <f t="shared" si="12"/>
        <v>-1725.1733399801103</v>
      </c>
      <c r="F64" s="211">
        <f t="shared" si="13"/>
        <v>643.66964536764704</v>
      </c>
      <c r="G64" s="222">
        <v>-21.395876681171458</v>
      </c>
      <c r="H64" s="201">
        <f t="shared" si="14"/>
        <v>-1695.2487255071069</v>
      </c>
      <c r="I64" s="211">
        <v>643.66964536764704</v>
      </c>
      <c r="J64" s="202">
        <f t="shared" si="15"/>
        <v>-320.64403188522857</v>
      </c>
    </row>
    <row r="65" spans="1:10" ht="15">
      <c r="A65" s="12" t="s">
        <v>64</v>
      </c>
      <c r="B65" s="71">
        <v>-1397.8740004153187</v>
      </c>
      <c r="C65" s="70">
        <v>1172.7039229202446</v>
      </c>
      <c r="D65" s="194">
        <v>192.30055326850066</v>
      </c>
      <c r="E65" s="226">
        <f t="shared" si="12"/>
        <v>-1625.8475642403657</v>
      </c>
      <c r="F65" s="211">
        <f t="shared" si="13"/>
        <v>828.19436711639605</v>
      </c>
      <c r="G65" s="222">
        <v>192.30055326850066</v>
      </c>
      <c r="H65" s="201">
        <f t="shared" si="14"/>
        <v>-1634.5399271193437</v>
      </c>
      <c r="I65" s="211">
        <v>828.19436711639605</v>
      </c>
      <c r="J65" s="202">
        <f t="shared" si="15"/>
        <v>-92.946390927200383</v>
      </c>
    </row>
    <row r="66" spans="1:10" ht="16" thickBot="1">
      <c r="A66" s="12" t="s">
        <v>65</v>
      </c>
      <c r="B66" s="65">
        <v>-1425.3449816094726</v>
      </c>
      <c r="C66" s="39">
        <v>1205.3175080753099</v>
      </c>
      <c r="D66" s="195">
        <v>-49.363540654285558</v>
      </c>
      <c r="E66" s="228">
        <f t="shared" si="12"/>
        <v>-1659.9509263327927</v>
      </c>
      <c r="F66" s="229">
        <f t="shared" si="13"/>
        <v>853.79244201333017</v>
      </c>
      <c r="G66" s="233">
        <v>-49.363540654285558</v>
      </c>
      <c r="H66" s="203">
        <f t="shared" si="14"/>
        <v>-1626.1606529945268</v>
      </c>
      <c r="I66" s="229">
        <v>853.79244201333017</v>
      </c>
      <c r="J66" s="204">
        <f t="shared" si="15"/>
        <v>-336.86105092669612</v>
      </c>
    </row>
    <row r="67" spans="1:10" ht="14" thickBot="1">
      <c r="E67" s="252" t="s">
        <v>203</v>
      </c>
      <c r="F67" s="253"/>
      <c r="G67" s="254"/>
      <c r="H67" s="218">
        <v>-1500</v>
      </c>
      <c r="I67" s="219">
        <v>700</v>
      </c>
      <c r="J67" s="220">
        <v>-225</v>
      </c>
    </row>
  </sheetData>
  <mergeCells count="12">
    <mergeCell ref="E67:G67"/>
    <mergeCell ref="E21:G21"/>
    <mergeCell ref="H21:J21"/>
    <mergeCell ref="E33:G33"/>
    <mergeCell ref="H33:J33"/>
    <mergeCell ref="E45:G45"/>
    <mergeCell ref="H45:J45"/>
    <mergeCell ref="E57:G57"/>
    <mergeCell ref="H57:J57"/>
    <mergeCell ref="E31:G31"/>
    <mergeCell ref="E43:G43"/>
    <mergeCell ref="E55:G5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8BBE-1D8A-8241-8771-2E0FED4DCCC9}">
  <dimension ref="A1:M63"/>
  <sheetViews>
    <sheetView topLeftCell="A15" workbookViewId="0">
      <selection activeCell="L50" sqref="L50"/>
    </sheetView>
  </sheetViews>
  <sheetFormatPr baseColWidth="10" defaultRowHeight="13"/>
  <cols>
    <col min="1" max="1" width="18" customWidth="1"/>
  </cols>
  <sheetData>
    <row r="1" spans="1:4" ht="19" thickBot="1">
      <c r="A1" s="112"/>
      <c r="B1" s="144"/>
      <c r="C1" s="145"/>
      <c r="D1" s="145"/>
    </row>
    <row r="2" spans="1:4" ht="18">
      <c r="A2" s="107"/>
      <c r="B2" s="127"/>
      <c r="C2" s="146"/>
      <c r="D2" s="146"/>
    </row>
    <row r="3" spans="1:4" ht="18">
      <c r="A3" s="107"/>
      <c r="B3" s="133"/>
      <c r="C3" s="146"/>
      <c r="D3" s="146"/>
    </row>
    <row r="4" spans="1:4" ht="19" thickBot="1">
      <c r="A4" s="107"/>
      <c r="B4" s="136"/>
      <c r="C4" s="146"/>
      <c r="D4" s="146"/>
    </row>
    <row r="5" spans="1:4" ht="19" thickBot="1">
      <c r="A5" s="112"/>
      <c r="B5" s="144"/>
      <c r="C5" s="145"/>
      <c r="D5" s="145"/>
    </row>
    <row r="6" spans="1:4" ht="18">
      <c r="A6" s="107"/>
      <c r="B6" s="127"/>
      <c r="C6" s="146"/>
      <c r="D6" s="146"/>
    </row>
    <row r="7" spans="1:4" ht="18">
      <c r="A7" s="107"/>
      <c r="B7" s="133"/>
      <c r="C7" s="146"/>
      <c r="D7" s="146"/>
    </row>
    <row r="8" spans="1:4" ht="19" thickBot="1">
      <c r="A8" s="107"/>
      <c r="B8" s="136"/>
      <c r="C8" s="146"/>
      <c r="D8" s="146"/>
    </row>
    <row r="9" spans="1:4" ht="19" thickBot="1">
      <c r="A9" s="112"/>
      <c r="B9" s="144"/>
      <c r="C9" s="145"/>
      <c r="D9" s="145"/>
    </row>
    <row r="10" spans="1:4" ht="18">
      <c r="A10" s="107"/>
      <c r="B10" s="127"/>
      <c r="C10" s="146"/>
      <c r="D10" s="146"/>
    </row>
    <row r="11" spans="1:4" ht="18">
      <c r="A11" s="107"/>
      <c r="B11" s="133"/>
      <c r="C11" s="146"/>
      <c r="D11" s="146"/>
    </row>
    <row r="12" spans="1:4" ht="19" thickBot="1">
      <c r="A12" s="107"/>
      <c r="B12" s="136"/>
      <c r="C12" s="146"/>
      <c r="D12" s="146"/>
    </row>
    <row r="13" spans="1:4" ht="18">
      <c r="A13" s="108"/>
      <c r="B13" s="114"/>
      <c r="C13" s="115"/>
      <c r="D13" s="115"/>
    </row>
    <row r="14" spans="1:4" ht="19" thickBot="1">
      <c r="A14" s="112"/>
      <c r="B14" s="144"/>
      <c r="C14" s="145"/>
      <c r="D14" s="145"/>
    </row>
    <row r="15" spans="1:4" ht="18">
      <c r="A15" s="107"/>
      <c r="B15" s="127"/>
      <c r="C15" s="146"/>
      <c r="D15" s="146"/>
    </row>
    <row r="16" spans="1:4" ht="18">
      <c r="A16" s="107"/>
      <c r="B16" s="133"/>
      <c r="C16" s="146"/>
      <c r="D16" s="146"/>
    </row>
    <row r="17" spans="1:13" ht="19" thickBot="1">
      <c r="A17" s="107"/>
      <c r="B17" s="136"/>
      <c r="C17" s="146"/>
      <c r="D17" s="146"/>
    </row>
    <row r="20" spans="1:13" ht="14" thickBot="1"/>
    <row r="21" spans="1:13" ht="14" thickBot="1">
      <c r="A21" s="177" t="s">
        <v>152</v>
      </c>
      <c r="B21" s="31" t="s">
        <v>20</v>
      </c>
      <c r="C21" s="31" t="s">
        <v>21</v>
      </c>
      <c r="D21" s="196" t="s">
        <v>22</v>
      </c>
      <c r="E21" s="258" t="s">
        <v>199</v>
      </c>
      <c r="F21" s="259"/>
      <c r="G21" s="260"/>
      <c r="H21" s="258" t="s">
        <v>200</v>
      </c>
      <c r="I21" s="259"/>
      <c r="J21" s="260"/>
    </row>
    <row r="22" spans="1:13" ht="29" thickBot="1">
      <c r="A22" s="16" t="s">
        <v>68</v>
      </c>
      <c r="B22" s="25">
        <v>-1158.9631551284999</v>
      </c>
      <c r="C22" s="25">
        <v>305.84309374667555</v>
      </c>
      <c r="D22" s="197">
        <v>11.643596382888195</v>
      </c>
      <c r="E22" s="198" t="s">
        <v>196</v>
      </c>
      <c r="F22" s="199" t="s">
        <v>197</v>
      </c>
      <c r="G22" s="200" t="s">
        <v>198</v>
      </c>
      <c r="H22" s="198" t="s">
        <v>196</v>
      </c>
      <c r="I22" s="199" t="s">
        <v>197</v>
      </c>
      <c r="J22" s="200" t="s">
        <v>198</v>
      </c>
    </row>
    <row r="23" spans="1:13" ht="16" thickBot="1">
      <c r="A23" s="15" t="s">
        <v>58</v>
      </c>
      <c r="B23" s="60">
        <v>-1150.309639677537</v>
      </c>
      <c r="C23" s="61">
        <v>299.60990911172388</v>
      </c>
      <c r="D23" s="188">
        <v>13.110074722589573</v>
      </c>
      <c r="E23" s="205">
        <f>B23*COS(-13*PI()/180)*COS(10*PI()/180)+C23*SIN(-13*PI()/180)-D23*COS(-13*PI()/180)*SIN(10*PI()/180)</f>
        <v>-1173.4151512390988</v>
      </c>
      <c r="F23" s="206">
        <f>-B23*SIN(-13*PI()/180)*COS(10*PI()/180)+C23*COS(-13*PI()/180)+D23*SIN(-13*PI()/180)*COS(10*PI()/180)</f>
        <v>34.194435961862212</v>
      </c>
      <c r="G23" s="207">
        <f>B23*SIN(10*PI()/180)+D23*COS(10*PI()/180)</f>
        <v>-186.83826945333198</v>
      </c>
      <c r="H23" s="208">
        <f>B23*COS(-13*PI()/180)*COS(10*PI()/180)+C23*COS(-13*PI()/180)*SIN(10*PI()/180)-D23*SIN(-13*PI()/180)</f>
        <v>-1050.1569947639323</v>
      </c>
      <c r="I23" s="209">
        <f>-B23*SIN(10*PI()/180)+C23*COS(10*PI()/180)</f>
        <v>494.80733405521619</v>
      </c>
      <c r="J23" s="210">
        <f>B23*COS(10*PI()/180)*SIN(-13*PI()/180)+C23*SIN(-13*PI()/180)*SIN(10*PI()/180)+D23*COS(-13*PI()/180)</f>
        <v>255.90276932027851</v>
      </c>
      <c r="K23" s="187"/>
      <c r="L23" s="187"/>
      <c r="M23" s="187"/>
    </row>
    <row r="24" spans="1:13" ht="16" thickBot="1">
      <c r="A24" s="12" t="s">
        <v>59</v>
      </c>
      <c r="B24" s="63">
        <v>-1159.7075073555418</v>
      </c>
      <c r="C24" s="45">
        <v>303.94454828790288</v>
      </c>
      <c r="D24" s="189">
        <v>-45.489105896715508</v>
      </c>
      <c r="E24" s="205">
        <f t="shared" ref="E24:E30" si="0">B24*COS(-13*PI()/180)*COS(10*PI()/180)+C24*SIN(-13*PI()/180)-D24*COS(-13*PI()/180)*SIN(10*PI()/180)</f>
        <v>-1173.4932785007377</v>
      </c>
      <c r="F24" s="206">
        <f t="shared" ref="F24:F30" si="1">-B24*SIN(-13*PI()/180)*COS(10*PI()/180)+C24*COS(-13*PI()/180)+D24*SIN(-13*PI()/180)*COS(10*PI()/180)</f>
        <v>49.317719761726117</v>
      </c>
      <c r="G24" s="202">
        <f t="shared" ref="G24:G30" si="2">B24*SIN(10*PI()/180)+D24*COS(10*PI()/180)</f>
        <v>-246.1791194436268</v>
      </c>
      <c r="H24" s="208">
        <f t="shared" ref="H24:H30" si="3">B24*COS(-13*PI()/180)*COS(10*PI()/180)+C24*COS(-13*PI()/180)*SIN(10*PI()/180)-D24*SIN(-13*PI()/180)</f>
        <v>-1071.6234172609463</v>
      </c>
      <c r="I24" s="209">
        <f t="shared" ref="I24:I30" si="4">-B24*SIN(10*PI()/180)+C24*COS(10*PI()/180)</f>
        <v>500.70804291866818</v>
      </c>
      <c r="J24" s="210">
        <f t="shared" ref="J24:J30" si="5">B24*COS(10*PI()/180)*SIN(-13*PI()/180)+C24*SIN(-13*PI()/180)*SIN(10*PI()/180)+D24*COS(-13*PI()/180)</f>
        <v>200.71810366918155</v>
      </c>
      <c r="K24" s="187"/>
      <c r="L24" s="187"/>
      <c r="M24" s="187"/>
    </row>
    <row r="25" spans="1:13" ht="16" thickBot="1">
      <c r="A25" s="12" t="s">
        <v>60</v>
      </c>
      <c r="B25" s="63">
        <v>-1120.811749552998</v>
      </c>
      <c r="C25" s="45">
        <v>454.26064359394456</v>
      </c>
      <c r="D25" s="189">
        <v>32.802540068948872</v>
      </c>
      <c r="E25" s="205">
        <f t="shared" si="0"/>
        <v>-1183.2307069585681</v>
      </c>
      <c r="F25" s="206">
        <f t="shared" si="1"/>
        <v>187.05371262390236</v>
      </c>
      <c r="G25" s="202">
        <f t="shared" si="2"/>
        <v>-162.32272203916756</v>
      </c>
      <c r="H25" s="208">
        <f t="shared" si="3"/>
        <v>-991.25541529629527</v>
      </c>
      <c r="I25" s="209">
        <f t="shared" si="4"/>
        <v>641.98632151719403</v>
      </c>
      <c r="J25" s="210">
        <f t="shared" si="5"/>
        <v>262.5147262916941</v>
      </c>
      <c r="K25" s="187"/>
      <c r="L25" s="187"/>
      <c r="M25" s="187"/>
    </row>
    <row r="26" spans="1:13" ht="16" thickBot="1">
      <c r="A26" s="12" t="s">
        <v>61</v>
      </c>
      <c r="B26" s="157">
        <v>-1135.1136259297482</v>
      </c>
      <c r="C26" s="158">
        <v>462.24543239207651</v>
      </c>
      <c r="D26" s="190">
        <v>-57.730035232663688</v>
      </c>
      <c r="E26" s="205">
        <f t="shared" si="0"/>
        <v>-1183.4326117961277</v>
      </c>
      <c r="F26" s="206">
        <f t="shared" si="1"/>
        <v>211.72150857230369</v>
      </c>
      <c r="G26" s="202">
        <f t="shared" si="2"/>
        <v>-253.96339886639754</v>
      </c>
      <c r="H26" s="208">
        <f t="shared" si="3"/>
        <v>-1023.9934179577647</v>
      </c>
      <c r="I26" s="209">
        <f t="shared" si="4"/>
        <v>652.33329820179983</v>
      </c>
      <c r="J26" s="210">
        <f t="shared" si="5"/>
        <v>177.15893582605185</v>
      </c>
      <c r="K26" s="187"/>
      <c r="L26" s="187"/>
      <c r="M26" s="187"/>
    </row>
    <row r="27" spans="1:13" ht="16" thickBot="1">
      <c r="A27" s="12" t="s">
        <v>62</v>
      </c>
      <c r="B27" s="63">
        <v>-1437.6883264531014</v>
      </c>
      <c r="C27" s="45">
        <v>334.69855700421692</v>
      </c>
      <c r="D27" s="189">
        <v>66.081834513235435</v>
      </c>
      <c r="E27" s="205">
        <f t="shared" si="0"/>
        <v>-1466.0302335816682</v>
      </c>
      <c r="F27" s="206">
        <f t="shared" si="1"/>
        <v>-7.015275991602552</v>
      </c>
      <c r="G27" s="202">
        <f t="shared" si="2"/>
        <v>-184.57405497969592</v>
      </c>
      <c r="H27" s="208">
        <f t="shared" si="3"/>
        <v>-1308.0631871392202</v>
      </c>
      <c r="I27" s="209">
        <f t="shared" si="4"/>
        <v>579.26569180135118</v>
      </c>
      <c r="J27" s="210">
        <f t="shared" si="5"/>
        <v>369.81024010422738</v>
      </c>
      <c r="K27" s="187"/>
      <c r="L27" s="187"/>
      <c r="M27" s="187"/>
    </row>
    <row r="28" spans="1:13" ht="16" thickBot="1">
      <c r="A28" s="12" t="s">
        <v>63</v>
      </c>
      <c r="B28" s="157">
        <v>-1448.3370215622479</v>
      </c>
      <c r="C28" s="158">
        <v>339.61018568128827</v>
      </c>
      <c r="D28" s="190">
        <v>-0.31677853976722048</v>
      </c>
      <c r="E28" s="205">
        <f t="shared" si="0"/>
        <v>-1466.1187630673744</v>
      </c>
      <c r="F28" s="206">
        <f t="shared" si="1"/>
        <v>10.120944769398781</v>
      </c>
      <c r="G28" s="202">
        <f t="shared" si="2"/>
        <v>-251.81305040378456</v>
      </c>
      <c r="H28" s="208">
        <f t="shared" si="3"/>
        <v>-1332.3867279231174</v>
      </c>
      <c r="I28" s="209">
        <f t="shared" si="4"/>
        <v>585.9518283026822</v>
      </c>
      <c r="J28" s="210">
        <f t="shared" si="5"/>
        <v>307.28060263869401</v>
      </c>
      <c r="K28" s="187"/>
      <c r="L28" s="187"/>
      <c r="M28" s="187"/>
    </row>
    <row r="29" spans="1:13" ht="16" thickBot="1">
      <c r="A29" s="12" t="s">
        <v>64</v>
      </c>
      <c r="B29" s="63">
        <v>-1403.3813710380309</v>
      </c>
      <c r="C29" s="45">
        <v>514.56327549164655</v>
      </c>
      <c r="D29" s="189">
        <v>88.983658535598977</v>
      </c>
      <c r="E29" s="205">
        <f t="shared" si="0"/>
        <v>-1477.4460960412059</v>
      </c>
      <c r="F29" s="206">
        <f t="shared" si="1"/>
        <v>170.7661405721496</v>
      </c>
      <c r="G29" s="202">
        <f t="shared" si="2"/>
        <v>-156.06282083522345</v>
      </c>
      <c r="H29" s="208">
        <f t="shared" si="3"/>
        <v>-1239.5588925363229</v>
      </c>
      <c r="I29" s="209">
        <f t="shared" si="4"/>
        <v>750.44052077200251</v>
      </c>
      <c r="J29" s="210">
        <f t="shared" si="5"/>
        <v>377.4990135950369</v>
      </c>
      <c r="K29" s="187"/>
      <c r="L29" s="187"/>
      <c r="M29" s="187"/>
    </row>
    <row r="30" spans="1:13" ht="16" thickBot="1">
      <c r="A30" s="12" t="s">
        <v>65</v>
      </c>
      <c r="B30" s="160">
        <v>-1419.7371243142893</v>
      </c>
      <c r="C30" s="161">
        <v>523.69562456323843</v>
      </c>
      <c r="D30" s="191">
        <v>-14.551053949230919</v>
      </c>
      <c r="E30" s="205">
        <f t="shared" si="0"/>
        <v>-1477.677048439856</v>
      </c>
      <c r="F30" s="206">
        <f t="shared" si="1"/>
        <v>198.97749178194329</v>
      </c>
      <c r="G30" s="204">
        <f t="shared" si="2"/>
        <v>-260.86475514696599</v>
      </c>
      <c r="H30" s="208">
        <f t="shared" si="3"/>
        <v>-1276.9984081311752</v>
      </c>
      <c r="I30" s="209">
        <f t="shared" si="4"/>
        <v>762.27427569171221</v>
      </c>
      <c r="J30" s="210">
        <f t="shared" si="5"/>
        <v>279.88450611464913</v>
      </c>
      <c r="K30" s="187"/>
      <c r="L30" s="187"/>
      <c r="M30" s="187"/>
    </row>
    <row r="31" spans="1:13" ht="14" thickBot="1">
      <c r="E31" s="183"/>
      <c r="F31" s="181"/>
      <c r="G31" s="179"/>
    </row>
    <row r="32" spans="1:13" ht="14" thickBot="1">
      <c r="A32" s="177" t="s">
        <v>153</v>
      </c>
      <c r="B32" s="31" t="s">
        <v>20</v>
      </c>
      <c r="C32" s="31" t="s">
        <v>21</v>
      </c>
      <c r="D32" s="31" t="s">
        <v>22</v>
      </c>
      <c r="E32" s="258" t="s">
        <v>199</v>
      </c>
      <c r="F32" s="259"/>
      <c r="G32" s="260"/>
      <c r="H32" s="258" t="s">
        <v>200</v>
      </c>
      <c r="I32" s="259"/>
      <c r="J32" s="260"/>
    </row>
    <row r="33" spans="1:13" ht="29" thickBot="1">
      <c r="A33" s="16" t="s">
        <v>68</v>
      </c>
      <c r="B33" s="25">
        <v>-1177.0915868905151</v>
      </c>
      <c r="C33" s="25">
        <v>474.5467209068363</v>
      </c>
      <c r="D33" s="26">
        <v>41.05180873908693</v>
      </c>
      <c r="E33" s="198" t="s">
        <v>196</v>
      </c>
      <c r="F33" s="199" t="s">
        <v>197</v>
      </c>
      <c r="G33" s="200" t="s">
        <v>198</v>
      </c>
      <c r="H33" s="198" t="s">
        <v>196</v>
      </c>
      <c r="I33" s="199" t="s">
        <v>197</v>
      </c>
      <c r="J33" s="200" t="s">
        <v>198</v>
      </c>
    </row>
    <row r="34" spans="1:13" ht="16" thickBot="1">
      <c r="A34" s="15" t="s">
        <v>58</v>
      </c>
      <c r="B34" s="76">
        <v>-1168.4872983182468</v>
      </c>
      <c r="C34" s="77">
        <v>467.47520963335489</v>
      </c>
      <c r="D34" s="78">
        <v>42.615412857880642</v>
      </c>
      <c r="E34" s="205">
        <f>B34*COS(-13*PI()/180)*COS(10*PI()/180)+C34*SIN(-13*PI()/180)-D34*COS(-13*PI()/180)*SIN(10*PI()/180)</f>
        <v>-1233.6115444666657</v>
      </c>
      <c r="F34" s="206">
        <f>-B34*SIN(-13*PI()/180)*COS(10*PI()/180)+C34*COS(-13*PI()/180)+D34*SIN(-13*PI()/180)*COS(10*PI()/180)</f>
        <v>187.19397651989763</v>
      </c>
      <c r="G34" s="207">
        <f>B34*SIN(10*PI()/180)+D34*COS(10*PI()/180)</f>
        <v>-160.93770099966136</v>
      </c>
      <c r="H34" s="208">
        <f>B34*COS(-13*PI()/180)*COS(10*PI()/180)+C34*COS(-13*PI()/180)*SIN(10*PI()/180)-D34*SIN(-13*PI()/180)</f>
        <v>-1032.5600190967643</v>
      </c>
      <c r="I34" s="209">
        <f>-B34*SIN(10*PI()/180)+C34*COS(10*PI()/180)</f>
        <v>663.27890076785343</v>
      </c>
      <c r="J34" s="210">
        <f>B34*COS(10*PI()/180)*SIN(-13*PI()/180)+C34*SIN(-13*PI()/180)*SIN(10*PI()/180)+D34*COS(-13*PI()/180)</f>
        <v>282.12163710880111</v>
      </c>
      <c r="K34" s="187"/>
      <c r="L34" s="187"/>
      <c r="M34" s="187"/>
    </row>
    <row r="35" spans="1:13" ht="16" thickBot="1">
      <c r="A35" s="12" t="s">
        <v>59</v>
      </c>
      <c r="B35" s="71">
        <v>-1182.8950498102092</v>
      </c>
      <c r="C35" s="70">
        <v>475.5729599218194</v>
      </c>
      <c r="D35" s="72">
        <v>-50.791432066008845</v>
      </c>
      <c r="E35" s="205">
        <f t="shared" ref="E35:E41" si="6">B35*COS(-13*PI()/180)*COS(10*PI()/180)+C35*SIN(-13*PI()/180)-D35*COS(-13*PI()/180)*SIN(10*PI()/180)</f>
        <v>-1233.4541349158492</v>
      </c>
      <c r="F35" s="206">
        <f t="shared" ref="F35:F41" si="7">-B35*SIN(-13*PI()/180)*COS(10*PI()/180)+C35*COS(-13*PI()/180)+D35*SIN(-13*PI()/180)*COS(10*PI()/180)</f>
        <v>212.58513100476944</v>
      </c>
      <c r="G35" s="202">
        <f t="shared" ref="G35:G41" si="8">B35*SIN(10*PI()/180)+D35*COS(10*PI()/180)</f>
        <v>-255.42736585597399</v>
      </c>
      <c r="H35" s="208">
        <f t="shared" ref="H35:H41" si="9">B35*COS(-13*PI()/180)*COS(10*PI()/180)+C35*COS(-13*PI()/180)*SIN(10*PI()/180)-D35*SIN(-13*PI()/180)</f>
        <v>-1066.0270732159738</v>
      </c>
      <c r="I35" s="209">
        <f t="shared" ref="I35:I41" si="10">-B35*SIN(10*PI()/180)+C35*COS(10*PI()/180)</f>
        <v>673.75550782474738</v>
      </c>
      <c r="J35" s="210">
        <f t="shared" ref="J35:J41" si="11">B35*COS(10*PI()/180)*SIN(-13*PI()/180)+C35*SIN(-13*PI()/180)*SIN(10*PI()/180)+D35*COS(-13*PI()/180)</f>
        <v>193.98428671419623</v>
      </c>
      <c r="K35" s="187"/>
      <c r="L35" s="187"/>
      <c r="M35" s="187"/>
    </row>
    <row r="36" spans="1:13" ht="16" thickBot="1">
      <c r="A36" s="12" t="s">
        <v>60</v>
      </c>
      <c r="B36" s="71">
        <v>-1122.5235010426918</v>
      </c>
      <c r="C36" s="70">
        <v>616.95732392702962</v>
      </c>
      <c r="D36" s="72">
        <v>58.666111126279581</v>
      </c>
      <c r="E36" s="205">
        <f t="shared" si="6"/>
        <v>-1225.8480911031354</v>
      </c>
      <c r="F36" s="206">
        <f t="shared" si="7"/>
        <v>339.47162869466274</v>
      </c>
      <c r="G36" s="202">
        <f t="shared" si="8"/>
        <v>-137.14931926813011</v>
      </c>
      <c r="H36" s="208">
        <f t="shared" si="9"/>
        <v>-959.5520327092089</v>
      </c>
      <c r="I36" s="209">
        <f t="shared" si="10"/>
        <v>802.50851622536902</v>
      </c>
      <c r="J36" s="210">
        <f t="shared" si="11"/>
        <v>281.73931291959656</v>
      </c>
      <c r="K36" s="187"/>
      <c r="L36" s="187"/>
      <c r="M36" s="187"/>
    </row>
    <row r="37" spans="1:13" ht="16" thickBot="1">
      <c r="A37" s="12" t="s">
        <v>61</v>
      </c>
      <c r="B37" s="71">
        <v>-1140.9813050524235</v>
      </c>
      <c r="C37" s="70">
        <v>630.30258580775876</v>
      </c>
      <c r="D37" s="72">
        <v>-65.775828650463069</v>
      </c>
      <c r="E37" s="205">
        <f t="shared" si="6"/>
        <v>-1225.5063492139225</v>
      </c>
      <c r="F37" s="206">
        <f t="shared" si="7"/>
        <v>375.95389340904126</v>
      </c>
      <c r="G37" s="202">
        <f t="shared" si="8"/>
        <v>-262.90587039016782</v>
      </c>
      <c r="H37" s="208">
        <f t="shared" si="9"/>
        <v>-1002.9988953731131</v>
      </c>
      <c r="I37" s="209">
        <f t="shared" si="10"/>
        <v>818.85619762151259</v>
      </c>
      <c r="J37" s="210">
        <f t="shared" si="11"/>
        <v>164.05453753824401</v>
      </c>
      <c r="K37" s="187"/>
      <c r="L37" s="187"/>
      <c r="M37" s="187"/>
    </row>
    <row r="38" spans="1:13" ht="16" thickBot="1">
      <c r="A38" s="12" t="s">
        <v>62</v>
      </c>
      <c r="B38" s="71">
        <v>-1470.7016115204842</v>
      </c>
      <c r="C38" s="70">
        <v>531.96762448594063</v>
      </c>
      <c r="D38" s="72">
        <v>102.82147357817678</v>
      </c>
      <c r="E38" s="205">
        <f t="shared" si="6"/>
        <v>-1548.300841866185</v>
      </c>
      <c r="F38" s="206">
        <f t="shared" si="7"/>
        <v>169.74518569725922</v>
      </c>
      <c r="G38" s="202">
        <f t="shared" si="8"/>
        <v>-154.12527037642138</v>
      </c>
      <c r="H38" s="208">
        <f t="shared" si="9"/>
        <v>-1298.0995818809211</v>
      </c>
      <c r="I38" s="209">
        <f t="shared" si="10"/>
        <v>779.27049567759104</v>
      </c>
      <c r="J38" s="210">
        <f t="shared" si="11"/>
        <v>405.21600307235053</v>
      </c>
      <c r="K38" s="187"/>
      <c r="L38" s="187"/>
      <c r="M38" s="187"/>
    </row>
    <row r="39" spans="1:13" ht="16" thickBot="1">
      <c r="A39" s="12" t="s">
        <v>63</v>
      </c>
      <c r="B39" s="71">
        <v>-1487.2550473169922</v>
      </c>
      <c r="C39" s="70">
        <v>541.27104699148913</v>
      </c>
      <c r="D39" s="72">
        <v>-4.4955823151024603</v>
      </c>
      <c r="E39" s="205">
        <f t="shared" si="6"/>
        <v>-1548.1200037008546</v>
      </c>
      <c r="F39" s="206">
        <f t="shared" si="7"/>
        <v>198.91734836472449</v>
      </c>
      <c r="G39" s="202">
        <f t="shared" si="8"/>
        <v>-262.68641301075741</v>
      </c>
      <c r="H39" s="208">
        <f t="shared" si="9"/>
        <v>-1336.5506840625987</v>
      </c>
      <c r="I39" s="209">
        <f t="shared" si="10"/>
        <v>791.3070522507935</v>
      </c>
      <c r="J39" s="210">
        <f t="shared" si="11"/>
        <v>303.95320418025318</v>
      </c>
      <c r="K39" s="187"/>
      <c r="L39" s="187"/>
      <c r="M39" s="187"/>
    </row>
    <row r="40" spans="1:13" ht="16" thickBot="1">
      <c r="A40" s="12" t="s">
        <v>64</v>
      </c>
      <c r="B40" s="71">
        <v>-1412.4735131976854</v>
      </c>
      <c r="C40" s="70">
        <v>721.33520596308244</v>
      </c>
      <c r="D40" s="72">
        <v>123.15511742737402</v>
      </c>
      <c r="E40" s="205">
        <f t="shared" si="6"/>
        <v>-1538.465909508797</v>
      </c>
      <c r="F40" s="206">
        <f t="shared" si="7"/>
        <v>362.65418106493343</v>
      </c>
      <c r="G40" s="202">
        <f t="shared" si="8"/>
        <v>-123.98933710397812</v>
      </c>
      <c r="H40" s="208">
        <f t="shared" si="9"/>
        <v>-1205.611196656886</v>
      </c>
      <c r="I40" s="209">
        <f t="shared" si="10"/>
        <v>955.64995492268645</v>
      </c>
      <c r="J40" s="210">
        <f t="shared" si="11"/>
        <v>404.73187908439229</v>
      </c>
      <c r="K40" s="187"/>
      <c r="L40" s="187"/>
      <c r="M40" s="187"/>
    </row>
    <row r="41" spans="1:13" ht="16" thickBot="1">
      <c r="A41" s="12" t="s">
        <v>65</v>
      </c>
      <c r="B41" s="65">
        <v>-1434.2188409369292</v>
      </c>
      <c r="C41" s="39">
        <v>737.05942312048023</v>
      </c>
      <c r="D41" s="66">
        <v>-23.454465675295161</v>
      </c>
      <c r="E41" s="205">
        <f t="shared" si="6"/>
        <v>-1538.0632042971979</v>
      </c>
      <c r="F41" s="206">
        <f t="shared" si="7"/>
        <v>405.6370083608503</v>
      </c>
      <c r="G41" s="204">
        <f t="shared" si="8"/>
        <v>-272.14762774406415</v>
      </c>
      <c r="H41" s="208">
        <f t="shared" si="9"/>
        <v>-1256.7967804896452</v>
      </c>
      <c r="I41" s="209">
        <f t="shared" si="10"/>
        <v>974.91132242402909</v>
      </c>
      <c r="J41" s="210">
        <f t="shared" si="11"/>
        <v>266.08298485542127</v>
      </c>
      <c r="K41" s="187"/>
      <c r="L41" s="187"/>
      <c r="M41" s="187"/>
    </row>
    <row r="42" spans="1:13" ht="14" thickBot="1">
      <c r="E42" s="183"/>
      <c r="F42" s="181"/>
    </row>
    <row r="43" spans="1:13" ht="14" thickBot="1">
      <c r="A43" s="177" t="s">
        <v>154</v>
      </c>
      <c r="B43" s="31" t="s">
        <v>20</v>
      </c>
      <c r="C43" s="31" t="s">
        <v>21</v>
      </c>
      <c r="D43" s="31" t="s">
        <v>22</v>
      </c>
      <c r="E43" s="258" t="s">
        <v>199</v>
      </c>
      <c r="F43" s="259"/>
      <c r="G43" s="260"/>
      <c r="H43" s="258" t="s">
        <v>200</v>
      </c>
      <c r="I43" s="259"/>
      <c r="J43" s="260"/>
    </row>
    <row r="44" spans="1:13" ht="29" thickBot="1">
      <c r="A44" s="16" t="s">
        <v>68</v>
      </c>
      <c r="B44" s="25">
        <v>-1193.3083362997943</v>
      </c>
      <c r="C44" s="25">
        <v>651.28573722005149</v>
      </c>
      <c r="D44" s="26">
        <v>71.602937913999028</v>
      </c>
      <c r="E44" s="198" t="s">
        <v>196</v>
      </c>
      <c r="F44" s="199" t="s">
        <v>197</v>
      </c>
      <c r="G44" s="200" t="s">
        <v>198</v>
      </c>
      <c r="H44" s="198" t="s">
        <v>196</v>
      </c>
      <c r="I44" s="199" t="s">
        <v>197</v>
      </c>
      <c r="J44" s="200" t="s">
        <v>198</v>
      </c>
    </row>
    <row r="45" spans="1:13" ht="16" thickBot="1">
      <c r="A45" s="15" t="s">
        <v>58</v>
      </c>
      <c r="B45" s="76">
        <v>-1185.3760785462707</v>
      </c>
      <c r="C45" s="77">
        <v>642.68942627421472</v>
      </c>
      <c r="D45" s="193">
        <v>73.251056119330485</v>
      </c>
      <c r="E45" s="205">
        <f>B45*COS(-13*PI()/180)*COS(10*PI()/180)+C45*SIN(-13*PI()/180)-D45*COS(-13*PI()/180)*SIN(10*PI()/180)</f>
        <v>-1294.415563580465</v>
      </c>
      <c r="F45" s="206">
        <f>-B45*SIN(-13*PI()/180)*COS(10*PI()/180)+C45*COS(-13*PI()/180)+D45*SIN(-13*PI()/180)*COS(10*PI()/180)</f>
        <v>347.38921025501617</v>
      </c>
      <c r="G45" s="207">
        <f>B45*SIN(10*PI()/180)+D45*COS(10*PI()/180)</f>
        <v>-133.700187906883</v>
      </c>
      <c r="H45" s="208">
        <f>B45*COS(-13*PI()/180)*COS(10*PI()/180)+C45*COS(-13*PI()/180)*SIN(10*PI()/180)-D45*SIN(-13*PI()/180)</f>
        <v>-1012.2285957897395</v>
      </c>
      <c r="I45" s="209">
        <f>-B45*SIN(10*PI()/180)+C45*COS(10*PI()/180)</f>
        <v>838.76392566334653</v>
      </c>
      <c r="J45" s="210">
        <f>B45*COS(10*PI()/180)*SIN(-13*PI()/180)+C45*SIN(-13*PI()/180)*SIN(10*PI()/180)+D45*COS(-13*PI()/180)</f>
        <v>308.86924471101906</v>
      </c>
    </row>
    <row r="46" spans="1:13" ht="16" thickBot="1">
      <c r="A46" s="12" t="s">
        <v>59</v>
      </c>
      <c r="B46" s="71">
        <v>-1203.7771556763555</v>
      </c>
      <c r="C46" s="70">
        <v>656.34448619172076</v>
      </c>
      <c r="D46" s="194">
        <v>-56.772291567578776</v>
      </c>
      <c r="E46" s="205">
        <f t="shared" ref="E46:E52" si="12">B46*COS(-13*PI()/180)*COS(10*PI()/180)+C46*SIN(-13*PI()/180)-D46*COS(-13*PI()/180)*SIN(10*PI()/180)</f>
        <v>-1293.144717087956</v>
      </c>
      <c r="F46" s="206">
        <f t="shared" ref="F46:F52" si="13">-B46*SIN(-13*PI()/180)*COS(10*PI()/180)+C46*COS(-13*PI()/180)+D46*SIN(-13*PI()/180)*COS(10*PI()/180)</f>
        <v>385.42236887488428</v>
      </c>
      <c r="G46" s="202">
        <f t="shared" ref="G46:G52" si="14">B46*SIN(10*PI()/180)+D46*COS(10*PI()/180)</f>
        <v>-264.94350229230099</v>
      </c>
      <c r="H46" s="208">
        <f t="shared" ref="H46:H52" si="15">B46*COS(-13*PI()/180)*COS(10*PI()/180)+C46*COS(-13*PI()/180)*SIN(10*PI()/180)-D46*SIN(-13*PI()/180)</f>
        <v>-1056.824151715017</v>
      </c>
      <c r="I46" s="209">
        <f t="shared" ref="I46:I52" si="16">-B46*SIN(10*PI()/180)+C46*COS(10*PI()/180)</f>
        <v>855.40684804870057</v>
      </c>
      <c r="J46" s="210">
        <f t="shared" ref="J46:J52" si="17">B46*COS(10*PI()/180)*SIN(-13*PI()/180)+C46*SIN(-13*PI()/180)*SIN(10*PI()/180)+D46*COS(-13*PI()/180)</f>
        <v>185.72144419960347</v>
      </c>
    </row>
    <row r="47" spans="1:13" ht="16" thickBot="1">
      <c r="A47" s="12" t="s">
        <v>60</v>
      </c>
      <c r="B47" s="71">
        <v>-1119.6361025493757</v>
      </c>
      <c r="C47" s="70">
        <v>787.6091913406907</v>
      </c>
      <c r="D47" s="194">
        <v>85.294583842796555</v>
      </c>
      <c r="E47" s="205">
        <f t="shared" si="12"/>
        <v>-1265.9712290388793</v>
      </c>
      <c r="F47" s="206">
        <f t="shared" si="13"/>
        <v>500.49025552999069</v>
      </c>
      <c r="G47" s="202">
        <f t="shared" si="14"/>
        <v>-110.42400139946756</v>
      </c>
      <c r="H47" s="208">
        <f t="shared" si="15"/>
        <v>-921.91739279176988</v>
      </c>
      <c r="I47" s="209">
        <f t="shared" si="16"/>
        <v>970.06640683379123</v>
      </c>
      <c r="J47" s="210">
        <f t="shared" si="17"/>
        <v>300.37958261142109</v>
      </c>
    </row>
    <row r="48" spans="1:13" ht="16" thickBot="1">
      <c r="A48" s="12" t="s">
        <v>61</v>
      </c>
      <c r="B48" s="71">
        <v>-1141.0783515190651</v>
      </c>
      <c r="C48" s="70">
        <v>807.26535513579461</v>
      </c>
      <c r="D48" s="194">
        <v>-74.964373936064462</v>
      </c>
      <c r="E48" s="205">
        <f t="shared" si="12"/>
        <v>-1263.8527536772599</v>
      </c>
      <c r="F48" s="206">
        <f t="shared" si="13"/>
        <v>550.3951903625557</v>
      </c>
      <c r="G48" s="202">
        <f t="shared" si="14"/>
        <v>-271.97167296841315</v>
      </c>
      <c r="H48" s="208">
        <f t="shared" si="15"/>
        <v>-975.21731752471408</v>
      </c>
      <c r="I48" s="209">
        <f t="shared" si="16"/>
        <v>993.14735679235457</v>
      </c>
      <c r="J48" s="210">
        <f t="shared" si="17"/>
        <v>148.21041314251187</v>
      </c>
    </row>
    <row r="49" spans="1:10" ht="16" thickBot="1">
      <c r="A49" s="12" t="s">
        <v>62</v>
      </c>
      <c r="B49" s="71">
        <v>-1489.2722693894218</v>
      </c>
      <c r="C49" s="70">
        <v>752.00213686608856</v>
      </c>
      <c r="D49" s="194">
        <v>140.76513904736669</v>
      </c>
      <c r="E49" s="205">
        <f t="shared" si="12"/>
        <v>-1622.037608088142</v>
      </c>
      <c r="F49" s="206">
        <f t="shared" si="13"/>
        <v>371.62040953657265</v>
      </c>
      <c r="G49" s="202">
        <f t="shared" si="14"/>
        <v>-119.98281534167862</v>
      </c>
      <c r="H49" s="208">
        <f t="shared" si="15"/>
        <v>-1270.1546000333997</v>
      </c>
      <c r="I49" s="209">
        <f t="shared" si="16"/>
        <v>999.1869502968384</v>
      </c>
      <c r="J49" s="210">
        <f t="shared" si="17"/>
        <v>437.70613539794448</v>
      </c>
    </row>
    <row r="50" spans="1:10" ht="16" thickBot="1">
      <c r="A50" s="12" t="s">
        <v>63</v>
      </c>
      <c r="B50" s="215">
        <v>-1460</v>
      </c>
      <c r="C50" s="216">
        <v>740</v>
      </c>
      <c r="D50" s="194">
        <v>-35.393715450073969</v>
      </c>
      <c r="E50" s="205">
        <f t="shared" si="12"/>
        <v>-1561.4433523874977</v>
      </c>
      <c r="F50" s="206">
        <f t="shared" si="13"/>
        <v>405.43577124770826</v>
      </c>
      <c r="G50" s="202">
        <f t="shared" si="14"/>
        <v>-288.3823447768591</v>
      </c>
      <c r="H50" s="208">
        <f t="shared" si="15"/>
        <v>-1283.7237432676193</v>
      </c>
      <c r="I50" s="209">
        <f t="shared" si="16"/>
        <v>982.28407662275231</v>
      </c>
      <c r="J50" s="210">
        <f t="shared" si="17"/>
        <v>260.04626295665065</v>
      </c>
    </row>
    <row r="51" spans="1:10" ht="16" thickBot="1">
      <c r="A51" s="12" t="s">
        <v>64</v>
      </c>
      <c r="B51" s="71">
        <v>-1406.4354976014572</v>
      </c>
      <c r="C51" s="70">
        <v>934.6112258166188</v>
      </c>
      <c r="D51" s="194">
        <v>155.93966694682354</v>
      </c>
      <c r="E51" s="205">
        <f t="shared" si="12"/>
        <v>-1586.1957599983134</v>
      </c>
      <c r="F51" s="206">
        <f t="shared" si="13"/>
        <v>564.53869594073421</v>
      </c>
      <c r="G51" s="202">
        <f t="shared" si="14"/>
        <v>-90.654368153202029</v>
      </c>
      <c r="H51" s="208">
        <f t="shared" si="15"/>
        <v>-1156.3566082554967</v>
      </c>
      <c r="I51" s="209">
        <f t="shared" si="16"/>
        <v>1164.6373424010251</v>
      </c>
      <c r="J51" s="210">
        <f t="shared" si="17"/>
        <v>427.00747919949629</v>
      </c>
    </row>
    <row r="52" spans="1:10" ht="16" thickBot="1">
      <c r="A52" s="12" t="s">
        <v>65</v>
      </c>
      <c r="B52" s="65">
        <v>-1432.0343391002261</v>
      </c>
      <c r="C52" s="39">
        <v>958.08121892364909</v>
      </c>
      <c r="D52" s="195">
        <v>-35.393690439104262</v>
      </c>
      <c r="E52" s="205">
        <f t="shared" si="12"/>
        <v>-1583.6660259879172</v>
      </c>
      <c r="F52" s="206">
        <f t="shared" si="13"/>
        <v>624.12290904175472</v>
      </c>
      <c r="G52" s="204">
        <f t="shared" si="14"/>
        <v>-283.52613409336516</v>
      </c>
      <c r="H52" s="208">
        <f t="shared" si="15"/>
        <v>-1219.9899910598501</v>
      </c>
      <c r="I52" s="209">
        <f t="shared" si="16"/>
        <v>1192.1959657526174</v>
      </c>
      <c r="J52" s="210">
        <f t="shared" si="17"/>
        <v>245.33219253965908</v>
      </c>
    </row>
    <row r="53" spans="1:10" ht="14" thickBot="1">
      <c r="E53" s="183"/>
      <c r="F53" s="181"/>
    </row>
    <row r="54" spans="1:10" ht="14" thickBot="1">
      <c r="A54" s="177" t="s">
        <v>155</v>
      </c>
      <c r="B54" s="31" t="s">
        <v>20</v>
      </c>
      <c r="C54" s="31" t="s">
        <v>21</v>
      </c>
      <c r="D54" s="31" t="s">
        <v>22</v>
      </c>
      <c r="E54" s="258" t="s">
        <v>199</v>
      </c>
      <c r="F54" s="259"/>
      <c r="G54" s="260"/>
      <c r="H54" s="258" t="s">
        <v>200</v>
      </c>
      <c r="I54" s="259"/>
      <c r="J54" s="260"/>
    </row>
    <row r="55" spans="1:10" ht="29" thickBot="1">
      <c r="A55" s="16" t="s">
        <v>68</v>
      </c>
      <c r="B55" s="25">
        <v>-1213.0645626225903</v>
      </c>
      <c r="C55" s="25">
        <v>844.91189819116221</v>
      </c>
      <c r="D55" s="26">
        <v>105.33389733957328</v>
      </c>
      <c r="E55" s="198" t="s">
        <v>196</v>
      </c>
      <c r="F55" s="199" t="s">
        <v>197</v>
      </c>
      <c r="G55" s="200" t="s">
        <v>198</v>
      </c>
      <c r="H55" s="198" t="s">
        <v>196</v>
      </c>
      <c r="I55" s="199" t="s">
        <v>197</v>
      </c>
      <c r="J55" s="200" t="s">
        <v>198</v>
      </c>
    </row>
    <row r="56" spans="1:10" ht="16" thickBot="1">
      <c r="A56" s="15" t="s">
        <v>58</v>
      </c>
      <c r="B56" s="76">
        <v>-1205.7491547306286</v>
      </c>
      <c r="C56" s="77">
        <v>835.0998824481685</v>
      </c>
      <c r="D56" s="193">
        <v>107.05101452481335</v>
      </c>
      <c r="E56" s="205">
        <f>B56*COS(-13*PI()/180)*COS(10*PI()/180)+C56*SIN(-13*PI()/180)-D56*COS(-13*PI()/180)*SIN(10*PI()/180)</f>
        <v>-1362.9667054863323</v>
      </c>
      <c r="F56" s="206">
        <f>-B56*SIN(-13*PI()/180)*COS(10*PI()/180)+C56*COS(-13*PI()/180)+D56*SIN(-13*PI()/180)*COS(10*PI()/180)</f>
        <v>522.86705464917895</v>
      </c>
      <c r="G56" s="207">
        <f>B56*SIN(10*PI()/180)+D56*COS(10*PI()/180)</f>
        <v>-103.95147437055658</v>
      </c>
      <c r="H56" s="208">
        <f>B56*COS(-13*PI()/180)*COS(10*PI()/180)+C56*COS(-13*PI()/180)*SIN(10*PI()/180)-D56*SIN(-13*PI()/180)</f>
        <v>-991.61921032963869</v>
      </c>
      <c r="I56" s="209">
        <f>-B56*SIN(10*PI()/180)+C56*COS(10*PI()/180)</f>
        <v>1031.7889822169552</v>
      </c>
      <c r="J56" s="210">
        <f>B56*COS(10*PI()/180)*SIN(-13*PI()/180)+C56*SIN(-13*PI()/180)*SIN(10*PI()/180)+D56*COS(-13*PI()/180)</f>
        <v>338.80022932442898</v>
      </c>
    </row>
    <row r="57" spans="1:10" ht="16" thickBot="1">
      <c r="A57" s="12" t="s">
        <v>59</v>
      </c>
      <c r="B57" s="71">
        <v>-1226.8914917674151</v>
      </c>
      <c r="C57" s="70">
        <v>855.22978839112625</v>
      </c>
      <c r="D57" s="194">
        <v>-63.442106913109896</v>
      </c>
      <c r="E57" s="205">
        <f t="shared" ref="E57:E63" si="18">B57*COS(-13*PI()/180)*COS(10*PI()/180)+C57*SIN(-13*PI()/180)-D57*COS(-13*PI()/180)*SIN(10*PI()/180)</f>
        <v>-1358.9354174813232</v>
      </c>
      <c r="F57" s="206">
        <f t="shared" ref="F57:F63" si="19">-B57*SIN(-13*PI()/180)*COS(10*PI()/180)+C57*COS(-13*PI()/180)+D57*SIN(-13*PI()/180)*COS(10*PI()/180)</f>
        <v>575.56724073048031</v>
      </c>
      <c r="G57" s="202">
        <f t="shared" ref="G57:G63" si="20">B57*SIN(10*PI()/180)+D57*COS(10*PI()/180)</f>
        <v>-275.52575049593332</v>
      </c>
      <c r="H57" s="208">
        <f t="shared" ref="H57:H63" si="21">B57*COS(-13*PI()/180)*COS(10*PI()/180)+C57*COS(-13*PI()/180)*SIN(10*PI()/180)-D57*SIN(-13*PI()/180)</f>
        <v>-1046.8533792882213</v>
      </c>
      <c r="I57" s="209">
        <f t="shared" ref="I57:I63" si="22">-B57*SIN(10*PI()/180)+C57*COS(10*PI()/180)</f>
        <v>1055.2843979550446</v>
      </c>
      <c r="J57" s="210">
        <f t="shared" ref="J57:J63" si="23">B57*COS(10*PI()/180)*SIN(-13*PI()/180)+C57*SIN(-13*PI()/180)*SIN(10*PI()/180)+D57*COS(-13*PI()/180)</f>
        <v>176.57425111796246</v>
      </c>
    </row>
    <row r="58" spans="1:10" ht="16" thickBot="1">
      <c r="A58" s="12" t="s">
        <v>60</v>
      </c>
      <c r="B58" s="71">
        <v>-1118.4198528811057</v>
      </c>
      <c r="C58" s="70">
        <v>975.29858274647984</v>
      </c>
      <c r="D58" s="194">
        <v>114.88455401448549</v>
      </c>
      <c r="E58" s="205">
        <f t="shared" si="18"/>
        <v>-1312.031633769765</v>
      </c>
      <c r="F58" s="206">
        <f t="shared" si="19"/>
        <v>677.08344918032253</v>
      </c>
      <c r="G58" s="202">
        <f t="shared" si="20"/>
        <v>-81.072369824505216</v>
      </c>
      <c r="H58" s="208">
        <f t="shared" si="21"/>
        <v>-882.3374325553483</v>
      </c>
      <c r="I58" s="209">
        <f t="shared" si="22"/>
        <v>1154.6931751098721</v>
      </c>
      <c r="J58" s="210">
        <f t="shared" si="23"/>
        <v>321.61013672350504</v>
      </c>
    </row>
    <row r="59" spans="1:10" ht="16" thickBot="1">
      <c r="A59" s="12" t="s">
        <v>61</v>
      </c>
      <c r="B59" s="71">
        <v>-1141.1543169028487</v>
      </c>
      <c r="C59" s="70">
        <v>1002.2793497273158</v>
      </c>
      <c r="D59" s="194">
        <v>-85.082084212828917</v>
      </c>
      <c r="E59" s="205">
        <f t="shared" si="18"/>
        <v>-1306.0823591066753</v>
      </c>
      <c r="F59" s="206">
        <f t="shared" si="19"/>
        <v>742.63557222440249</v>
      </c>
      <c r="G59" s="202">
        <f t="shared" si="20"/>
        <v>-281.9488637421619</v>
      </c>
      <c r="H59" s="208">
        <f t="shared" si="21"/>
        <v>-944.57030386406291</v>
      </c>
      <c r="I59" s="209">
        <f t="shared" si="22"/>
        <v>1185.2118418624252</v>
      </c>
      <c r="J59" s="210">
        <f t="shared" si="23"/>
        <v>130.7511449167701</v>
      </c>
    </row>
    <row r="60" spans="1:10" ht="16" thickBot="1">
      <c r="A60" s="12" t="s">
        <v>62</v>
      </c>
      <c r="B60" s="71">
        <v>-1510.918377522614</v>
      </c>
      <c r="C60" s="70">
        <v>991.22150557242594</v>
      </c>
      <c r="D60" s="194">
        <v>182.16241467686038</v>
      </c>
      <c r="E60" s="205">
        <f t="shared" si="18"/>
        <v>-1703.6254716513204</v>
      </c>
      <c r="F60" s="206">
        <f t="shared" si="19"/>
        <v>590.74237719315579</v>
      </c>
      <c r="G60" s="202">
        <f t="shared" si="20"/>
        <v>-82.97326457908008</v>
      </c>
      <c r="H60" s="208">
        <f t="shared" si="21"/>
        <v>-1241.1377947391902</v>
      </c>
      <c r="I60" s="209">
        <f t="shared" si="22"/>
        <v>1238.5308465004355</v>
      </c>
      <c r="J60" s="210">
        <f t="shared" si="23"/>
        <v>473.49327207743232</v>
      </c>
    </row>
    <row r="61" spans="1:10" ht="16" thickBot="1">
      <c r="A61" s="12" t="s">
        <v>63</v>
      </c>
      <c r="B61" s="71">
        <v>-1536.163093667587</v>
      </c>
      <c r="C61" s="70">
        <v>1015.2519958116166</v>
      </c>
      <c r="D61" s="194">
        <v>-21.395876681171458</v>
      </c>
      <c r="E61" s="205">
        <f t="shared" si="18"/>
        <v>-1698.8135856710626</v>
      </c>
      <c r="F61" s="206">
        <f t="shared" si="19"/>
        <v>653.65940549325148</v>
      </c>
      <c r="G61" s="202">
        <f t="shared" si="20"/>
        <v>-287.82274705268128</v>
      </c>
      <c r="H61" s="208">
        <f t="shared" si="21"/>
        <v>-1307.0865474959592</v>
      </c>
      <c r="I61" s="209">
        <f t="shared" si="22"/>
        <v>1266.5799585509683</v>
      </c>
      <c r="J61" s="210">
        <f t="shared" si="23"/>
        <v>279.80603073722239</v>
      </c>
    </row>
    <row r="62" spans="1:10" ht="16" thickBot="1">
      <c r="A62" s="12" t="s">
        <v>64</v>
      </c>
      <c r="B62" s="71">
        <v>-1397.8740004153187</v>
      </c>
      <c r="C62" s="70">
        <v>1172.7039229202446</v>
      </c>
      <c r="D62" s="194">
        <v>192.30055326850066</v>
      </c>
      <c r="E62" s="205">
        <f t="shared" si="18"/>
        <v>-1637.6918056060472</v>
      </c>
      <c r="F62" s="206">
        <f t="shared" si="19"/>
        <v>790.37059549167577</v>
      </c>
      <c r="G62" s="202">
        <f t="shared" si="20"/>
        <v>-53.359197012745341</v>
      </c>
      <c r="H62" s="208">
        <f t="shared" si="21"/>
        <v>-1099.6771470848428</v>
      </c>
      <c r="I62" s="209">
        <f t="shared" si="22"/>
        <v>1397.6261880597895</v>
      </c>
      <c r="J62" s="210">
        <f t="shared" si="23"/>
        <v>451.23932152000157</v>
      </c>
    </row>
    <row r="63" spans="1:10" ht="16" thickBot="1">
      <c r="A63" s="12" t="s">
        <v>65</v>
      </c>
      <c r="B63" s="65">
        <v>-1425.3449816094726</v>
      </c>
      <c r="C63" s="39">
        <v>1205.3175080753099</v>
      </c>
      <c r="D63" s="195">
        <v>-49.363540654285558</v>
      </c>
      <c r="E63" s="205">
        <f t="shared" si="18"/>
        <v>-1630.4995369719798</v>
      </c>
      <c r="F63" s="206">
        <f t="shared" si="19"/>
        <v>869.59925558529255</v>
      </c>
      <c r="G63" s="204">
        <f t="shared" si="20"/>
        <v>-296.12215615566299</v>
      </c>
      <c r="H63" s="208">
        <f t="shared" si="21"/>
        <v>-1174.8818522705137</v>
      </c>
      <c r="I63" s="209">
        <f t="shared" si="22"/>
        <v>1434.5145853971089</v>
      </c>
      <c r="J63" s="210">
        <f t="shared" si="23"/>
        <v>220.58084347122517</v>
      </c>
    </row>
  </sheetData>
  <mergeCells count="8">
    <mergeCell ref="E54:G54"/>
    <mergeCell ref="H54:J54"/>
    <mergeCell ref="E21:G21"/>
    <mergeCell ref="H21:J21"/>
    <mergeCell ref="E32:G32"/>
    <mergeCell ref="H32:J32"/>
    <mergeCell ref="E43:G43"/>
    <mergeCell ref="H43:J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9"/>
  <sheetViews>
    <sheetView tabSelected="1" topLeftCell="D5" workbookViewId="0">
      <selection activeCell="D35" sqref="D35"/>
    </sheetView>
  </sheetViews>
  <sheetFormatPr baseColWidth="10" defaultColWidth="9" defaultRowHeight="13"/>
  <cols>
    <col min="1" max="1" width="21.1640625" customWidth="1"/>
    <col min="2" max="3" width="23.83203125" customWidth="1"/>
    <col min="4" max="4" width="28.83203125" customWidth="1"/>
    <col min="5" max="5" width="13.83203125" customWidth="1"/>
    <col min="6" max="6" width="18.1640625" customWidth="1"/>
    <col min="7" max="9" width="10"/>
    <col min="10" max="10" width="31.33203125" customWidth="1"/>
    <col min="11" max="11" width="10" customWidth="1"/>
    <col min="12" max="12" width="12.1640625" customWidth="1"/>
    <col min="13" max="258" width="10" customWidth="1"/>
  </cols>
  <sheetData>
    <row r="1" spans="1:17" ht="29" thickBot="1">
      <c r="A1" s="1" t="s">
        <v>26</v>
      </c>
      <c r="B1" s="10" t="s">
        <v>80</v>
      </c>
      <c r="C1" s="10" t="s">
        <v>79</v>
      </c>
      <c r="D1" s="10" t="s">
        <v>82</v>
      </c>
      <c r="E1" s="10" t="s">
        <v>66</v>
      </c>
      <c r="F1" s="10" t="s">
        <v>67</v>
      </c>
      <c r="G1" s="1" t="s">
        <v>51</v>
      </c>
      <c r="H1" s="1" t="s">
        <v>52</v>
      </c>
      <c r="I1" s="1" t="s">
        <v>53</v>
      </c>
      <c r="J1" s="2" t="s">
        <v>41</v>
      </c>
      <c r="L1" s="3" t="s">
        <v>42</v>
      </c>
      <c r="M1" s="4"/>
      <c r="N1" s="4"/>
      <c r="O1" s="8"/>
      <c r="P1" s="8"/>
    </row>
    <row r="2" spans="1:17" ht="14" thickBot="1">
      <c r="A2" s="5" t="s">
        <v>54</v>
      </c>
      <c r="B2" s="33">
        <v>0</v>
      </c>
      <c r="C2" s="33">
        <v>18</v>
      </c>
      <c r="D2" s="6">
        <v>0</v>
      </c>
      <c r="E2" s="6">
        <v>0</v>
      </c>
      <c r="F2" s="6">
        <v>0</v>
      </c>
      <c r="G2" s="17">
        <f>SUM(G3:G10)/8</f>
        <v>-26.353237915039063</v>
      </c>
      <c r="H2" s="17">
        <f t="shared" ref="H2:I2" si="0">SUM(H3:H10)/8</f>
        <v>-76.092786682128917</v>
      </c>
      <c r="I2" s="17">
        <f t="shared" si="0"/>
        <v>325.3125</v>
      </c>
      <c r="J2" s="18" t="s">
        <v>73</v>
      </c>
      <c r="K2" s="19"/>
      <c r="L2" s="20" t="s">
        <v>43</v>
      </c>
      <c r="M2" s="20" t="s">
        <v>44</v>
      </c>
      <c r="N2" s="20" t="s">
        <v>45</v>
      </c>
      <c r="O2" s="19"/>
    </row>
    <row r="3" spans="1:17" ht="16" thickBot="1">
      <c r="A3" t="s">
        <v>46</v>
      </c>
      <c r="D3" s="9" t="s">
        <v>70</v>
      </c>
      <c r="E3" s="9" t="s">
        <v>69</v>
      </c>
      <c r="F3" s="13" t="s">
        <v>58</v>
      </c>
      <c r="G3" s="17">
        <f>((Main!F$99+$D$2*(Main!F$103-Main!F$99)/8)+Sumo3!$E$2*((Main!F$101+$D$2*(Main!F$105-Main!F$101)/8)-(Main!F$99+$D$2*(Main!F$103-Main!F$99)/8))/16)+Sumo3!$F$2*((Main!F$100+$D$2*(Main!F$104-Main!F$100)/8)+Sumo3!$E$2*((Main!F$102+$D$2*(Main!F$106-Main!F$102)/8)-(Main!F$100+$D$2*(Main!F$104-Main!F$100)/8))/16-((Main!F$99+$D$2*(Main!F$103-Main!F$99)/8)+Sumo3!$E$2*((Main!F$101+$D$2*(Main!F$105-Main!F$101)/8)-(Main!F$99+$D$2*(Main!F$103-Main!F$99)/8))/16))/16</f>
        <v>-29.510999999999999</v>
      </c>
      <c r="H3" s="17">
        <f>((Main!G$99+$D$2*(Main!G$103-Main!G$99)/8)+Sumo3!$E$2*((Main!G$101+$D$2*(Main!G$105-Main!G$101)/8)-(Main!G$99+$D$2*(Main!G$103-Main!G$99)/8))/16)+Sumo3!$F$2*((Main!G$100+$D$2*(Main!G$104-Main!G$100)/8)+Sumo3!$E$2*((Main!G$102+$D$2*(Main!G$106-Main!G$102)/8)-(Main!G$100+$D$2*(Main!G$104-Main!G$100)/8))/16-((Main!G$99+$D$2*(Main!G$103-Main!G$99)/8)+Sumo3!$E$2*((Main!G$101+$D$2*(Main!G$105-Main!G$101)/8)-(Main!G$99+$D$2*(Main!G$103-Main!G$99)/8))/16))/16</f>
        <v>-80.73</v>
      </c>
      <c r="I3" s="17">
        <f>((Main!H$99+$D$2*(Main!H$103-Main!H$99)/8)+Sumo3!$E$2*((Main!H$101+$D$2*(Main!H$105-Main!H$101)/8)-(Main!H$99+$D$2*(Main!H$103-Main!H$99)/8))/16)+Sumo3!$F$2*((Main!H$100+$D$2*(Main!H$104-Main!H$100)/8)+Sumo3!$E$2*((Main!H$102+$D$2*(Main!H$106-Main!H$102)/8)-(Main!H$100+$D$2*(Main!H$104-Main!H$100)/8))/16-((Main!H$99+$D$2*(Main!H$103-Main!H$99)/8)+Sumo3!$E$2*((Main!H$101+$D$2*(Main!H$105-Main!H$101)/8)-(Main!H$99+$D$2*(Main!H$103-Main!H$99)/8))/16))/16</f>
        <v>334.5</v>
      </c>
      <c r="J3" s="18"/>
      <c r="K3" s="21" t="s">
        <v>20</v>
      </c>
      <c r="L3" s="22">
        <f>(Main!$K$99-Main!$F$76)/SQRT((Main!$K$99-Main!$F$76)^2+(Main!$L$99-Main!$G$76)^2+(Main!$M$99-Main!$H$76)^2)</f>
        <v>-0.16192391363672071</v>
      </c>
      <c r="M3" s="17">
        <f>(Main!$K$100-Main!$F$76)/SQRT((Main!$K$100-Main!$F$76)^2+(Main!$L$100-Main!$G$76)^2+(Main!$M$100-Main!$H$76)^2)</f>
        <v>0.17003324474941836</v>
      </c>
      <c r="N3" s="23">
        <f>(Main!$K$101-Main!$F$76)/SQRT((Main!$K$101-Main!$F$76)^2+(Main!$L$101-Main!$G$76)^2+(Main!$M$101-Main!$H$76)^2)</f>
        <v>0.97204665935949275</v>
      </c>
      <c r="O3" s="30" t="s">
        <v>34</v>
      </c>
    </row>
    <row r="4" spans="1:17" ht="16" thickBot="1">
      <c r="D4" s="9" t="s">
        <v>70</v>
      </c>
      <c r="E4" s="9" t="s">
        <v>69</v>
      </c>
      <c r="F4" s="14" t="s">
        <v>59</v>
      </c>
      <c r="G4" s="17">
        <f>((Main!F$99+$D$2*(Main!F$103-Main!F$99)/8)+Sumo3!$E$2*((Main!F$101+$D$2*(Main!F$105-Main!F$101)/8)-(Main!F$99+$D$2*(Main!F$103-Main!F$99)/8))/16)+(Sumo3!$F$2+1)*((Main!F$100+$D$2*(Main!F$104-Main!F$100)/8)+Sumo3!$E$2*((Main!F$102+$D$2*(Main!F$106-Main!F$102)/8)-(Main!F$100+$D$2*(Main!F$104-Main!F$100)/8))/16-((Main!F$99+$D$2*(Main!F$103-Main!F$99)/8)+Sumo3!$E$2*((Main!F$101+$D$2*(Main!F$105-Main!F$101)/8)-(Main!F$99+$D$2*(Main!F$103-Main!F$99)/8))/16))/16</f>
        <v>-29.756187499999999</v>
      </c>
      <c r="H4" s="17">
        <f>((Main!G$99+$D$2*(Main!G$103-Main!G$99)/8)+Sumo3!$E$2*((Main!G$101+$D$2*(Main!G$105-Main!G$101)/8)-(Main!G$99+$D$2*(Main!G$103-Main!G$99)/8))/16)+(Sumo3!$F$2+1)*((Main!G$100+$D$2*(Main!G$104-Main!G$100)/8)+Sumo3!$E$2*((Main!G$102+$D$2*(Main!G$106-Main!G$102)/8)-(Main!G$100+$D$2*(Main!G$104-Main!G$100)/8))/16-((Main!G$99+$D$2*(Main!G$103-Main!G$99)/8)+Sumo3!$E$2*((Main!G$101+$D$2*(Main!G$105-Main!G$101)/8)-(Main!G$99+$D$2*(Main!G$103-Main!G$99)/8))/16))/16</f>
        <v>-81.5505</v>
      </c>
      <c r="I4" s="17">
        <f>((Main!H$99+$D$2*(Main!H$103-Main!H$99)/8)+Sumo3!$E$2*((Main!H$101+$D$2*(Main!H$105-Main!H$101)/8)-(Main!H$99+$D$2*(Main!H$103-Main!H$99)/8))/16)+(Sumo3!$F$2+1)*((Main!H$100+$D$2*(Main!H$104-Main!H$100)/8)+Sumo3!$E$2*((Main!H$102+$D$2*(Main!H$106-Main!H$102)/8)-(Main!H$100+$D$2*(Main!H$104-Main!H$100)/8))/16-((Main!H$99+$D$2*(Main!H$103-Main!H$99)/8)+Sumo3!$E$2*((Main!H$101+$D$2*(Main!H$105-Main!H$101)/8)-(Main!H$99+$D$2*(Main!H$103-Main!H$99)/8))/16))/16</f>
        <v>316.125</v>
      </c>
      <c r="J4" s="18"/>
      <c r="K4" s="21" t="s">
        <v>21</v>
      </c>
      <c r="L4" s="22">
        <f>(Main!$L$99-Main!$G$76)/SQRT((Main!$K$99-Main!$F$76)^2+(Main!$L$99-Main!$G$76)^2+(Main!$M$99-Main!$H$76)^2)</f>
        <v>4.9976516554487309E-2</v>
      </c>
      <c r="M4" s="17">
        <f>(Main!$L$100-Main!$G$76)/SQRT((Main!$K$100-Main!$F$76)^2+(Main!$L$100-Main!$G$76)^2+(Main!$M$100-Main!$H$76)^2)</f>
        <v>0.98519262398881202</v>
      </c>
      <c r="N4" s="23">
        <f>(Main!$L$101-Main!$G$76)/SQRT((Main!$K$101-Main!$F$76)^2+(Main!$L$101-Main!$G$76)^2+(Main!$M$101-Main!$H$76)^2)</f>
        <v>-0.16400787256687549</v>
      </c>
      <c r="O4" s="30" t="s">
        <v>35</v>
      </c>
    </row>
    <row r="5" spans="1:17" ht="16" thickBot="1">
      <c r="D5" s="9" t="s">
        <v>70</v>
      </c>
      <c r="E5" s="9" t="s">
        <v>69</v>
      </c>
      <c r="F5" s="14" t="s">
        <v>60</v>
      </c>
      <c r="G5" s="17">
        <f>((Main!F$99+$D$2*(Main!F$103-Main!F$99)/8)+(Sumo3!$E$2+1)*((Main!F$101+$D$2*(Main!F$105-Main!F$101)/8)-(Main!F$99+$D$2*(Main!F$103-Main!F$99)/8))/16)+Sumo3!$F$2*((Main!F$100+$D$2*(Main!F$104-Main!F$100)/8)+(Sumo3!$E$2+1)*((Main!F$102+$D$2*(Main!F$106-Main!F$102)/8)-(Main!F$100+$D$2*(Main!F$104-Main!F$100)/8))/16-((Main!F$99+$D$2*(Main!F$103-Main!F$99)/8)+(Sumo3!$E$2+1)*((Main!F$101+$D$2*(Main!F$105-Main!F$101)/8)-(Main!F$99+$D$2*(Main!F$103-Main!F$99)/8))/16))/16</f>
        <v>-30.539625000000001</v>
      </c>
      <c r="H5" s="17">
        <f>((Main!G$99+$D$2*(Main!G$103-Main!G$99)/8)+(Sumo3!$E$2+1)*((Main!G$101+$D$2*(Main!G$105-Main!G$101)/8)-(Main!G$99+$D$2*(Main!G$103-Main!G$99)/8))/16)+Sumo3!$F$2*((Main!G$100+$D$2*(Main!G$104-Main!G$100)/8)+(Sumo3!$E$2+1)*((Main!G$102+$D$2*(Main!G$106-Main!G$102)/8)-(Main!G$100+$D$2*(Main!G$104-Main!G$100)/8))/16-((Main!G$99+$D$2*(Main!G$103-Main!G$99)/8)+(Sumo3!$E$2+1)*((Main!G$101+$D$2*(Main!G$105-Main!G$101)/8)-(Main!G$99+$D$2*(Main!G$103-Main!G$99)/8))/16))/16</f>
        <v>-70.866875000000007</v>
      </c>
      <c r="I5" s="17">
        <f>((Main!H$99+$D$2*(Main!H$103-Main!H$99)/8)+(Sumo3!$E$2+1)*((Main!H$101+$D$2*(Main!H$105-Main!H$101)/8)-(Main!H$99+$D$2*(Main!H$103-Main!H$99)/8))/16)+Sumo3!$F$2*((Main!H$100+$D$2*(Main!H$104-Main!H$100)/8)+(Sumo3!$E$2+1)*((Main!H$102+$D$2*(Main!H$106-Main!H$102)/8)-(Main!H$100+$D$2*(Main!H$104-Main!H$100)/8))/16-((Main!H$99+$D$2*(Main!H$103-Main!H$99)/8)+(Sumo3!$E$2+1)*((Main!H$101+$D$2*(Main!H$105-Main!H$101)/8)-(Main!H$99+$D$2*(Main!H$103-Main!H$99)/8))/16))/16</f>
        <v>334.5</v>
      </c>
      <c r="J5" s="18"/>
      <c r="K5" s="21" t="s">
        <v>22</v>
      </c>
      <c r="L5" s="22">
        <f>(Main!$M$99-Main!$H$76)/SQRT((Main!$K$99-Main!$F$76)^2+(Main!$L$99-Main!$G$76)^2+(Main!$M$99-Main!$H$76)^2)</f>
        <v>-0.98553690645538317</v>
      </c>
      <c r="M5" s="17">
        <f>(Main!$M$100-Main!$H$76)/SQRT((Main!$K$100-Main!$F$76)^2+(Main!$L$100-Main!$G$76)^2+(Main!$M$100-Main!$H$76)^2)</f>
        <v>2.200430226168559E-2</v>
      </c>
      <c r="N5" s="23">
        <f>(Main!$M$101-Main!$H$76)/SQRT((Main!$K$101-Main!$F$76)^2+(Main!$L$101-Main!$G$76)^2+(Main!$M$101-Main!$H$76)^2)</f>
        <v>-0.16800806458065579</v>
      </c>
      <c r="O5" s="30" t="s">
        <v>36</v>
      </c>
    </row>
    <row r="6" spans="1:17" ht="16" thickBot="1">
      <c r="D6" s="9" t="s">
        <v>70</v>
      </c>
      <c r="E6" s="9" t="s">
        <v>69</v>
      </c>
      <c r="F6" s="14" t="s">
        <v>61</v>
      </c>
      <c r="G6" s="17">
        <f>((Main!F$99+$D$2*(Main!F$103-Main!F$99)/8)+(Sumo3!$E$2+1)*((Main!F$101+$D$2*(Main!F$105-Main!F$101)/8)-(Main!F$99+$D$2*(Main!F$103-Main!F$99)/8))/16)+(Sumo3!$F$2+1)*((Main!F$100+$D$2*(Main!F$104-Main!F$100)/8)+(Sumo3!$E$2+1)*((Main!F$102+$D$2*(Main!F$106-Main!F$102)/8)-(Main!F$100+$D$2*(Main!F$104-Main!F$100)/8))/16-((Main!F$99+$D$2*(Main!F$103-Main!F$99)/8)+(Sumo3!$E$2+1)*((Main!F$101+$D$2*(Main!F$105-Main!F$101)/8)-(Main!F$99+$D$2*(Main!F$103-Main!F$99)/8))/16))/16</f>
        <v>-30.7952890625</v>
      </c>
      <c r="H6" s="17">
        <f>((Main!G$99+$D$2*(Main!G$103-Main!G$99)/8)+(Sumo3!$E$2+1)*((Main!G$101+$D$2*(Main!G$105-Main!G$101)/8)-(Main!G$99+$D$2*(Main!G$103-Main!G$99)/8))/16)+(Sumo3!$F$2+1)*((Main!G$100+$D$2*(Main!G$104-Main!G$100)/8)+(Sumo3!$E$2+1)*((Main!G$102+$D$2*(Main!G$106-Main!G$102)/8)-(Main!G$100+$D$2*(Main!G$104-Main!G$100)/8))/16-((Main!G$99+$D$2*(Main!G$103-Main!G$99)/8)+(Sumo3!$E$2+1)*((Main!G$101+$D$2*(Main!G$105-Main!G$101)/8)-(Main!G$99+$D$2*(Main!G$103-Main!G$99)/8))/16))/16</f>
        <v>-71.586871093750005</v>
      </c>
      <c r="I6" s="17">
        <f>((Main!H$99+$D$2*(Main!H$103-Main!H$99)/8)+(Sumo3!$E$2+1)*((Main!H$101+$D$2*(Main!H$105-Main!H$101)/8)-(Main!H$99+$D$2*(Main!H$103-Main!H$99)/8))/16)+(Sumo3!$F$2+1)*((Main!H$100+$D$2*(Main!H$104-Main!H$100)/8)+(Sumo3!$E$2+1)*((Main!H$102+$D$2*(Main!H$106-Main!H$102)/8)-(Main!H$100+$D$2*(Main!H$104-Main!H$100)/8))/16-((Main!H$99+$D$2*(Main!H$103-Main!H$99)/8)+(Sumo3!$E$2+1)*((Main!H$101+$D$2*(Main!H$105-Main!H$101)/8)-(Main!H$99+$D$2*(Main!H$103-Main!H$99)/8))/16))/16</f>
        <v>316.125</v>
      </c>
      <c r="J6" s="18"/>
      <c r="K6" s="19"/>
      <c r="L6" s="19">
        <f>L3^2+L4^2+L5^2</f>
        <v>0.99999999999999978</v>
      </c>
      <c r="M6" s="19">
        <f>M3^2+M4^2+M5^2</f>
        <v>1</v>
      </c>
      <c r="N6" s="19">
        <f>N3^2+N4^2+N5^2</f>
        <v>1</v>
      </c>
      <c r="O6" s="19"/>
    </row>
    <row r="7" spans="1:17" ht="16" thickBot="1">
      <c r="D7" s="9" t="s">
        <v>70</v>
      </c>
      <c r="E7" s="9" t="s">
        <v>69</v>
      </c>
      <c r="F7" s="14" t="s">
        <v>62</v>
      </c>
      <c r="G7" s="17">
        <f>((Main!F$99+($D$2+1)*(Main!F$103-Main!F$99)/8)+Sumo3!$E$2*((Main!F$101+($D$2+1)*(Main!F$105-Main!F$101)/8)-(Main!F$99+($D$2+1)*(Main!F$103-Main!F$99)/8))/16)+Sumo3!$F$2*((Main!F$100+($D$2+1)*(Main!F$104-Main!F$100)/8)+Sumo3!$E$2*((Main!F$102+($D$2+1)*(Main!F$106-Main!F$102)/8)-(Main!F$100+($D$2+1)*(Main!F$104-Main!F$100)/8))/16-((Main!F$99+($D$2+1)*(Main!F$103-Main!F$99)/8)+Sumo3!$E$2*((Main!F$101+($D$2+1)*(Main!F$105-Main!F$101)/8)-(Main!F$99+($D$2+1)*(Main!F$103-Main!F$99)/8))/16))/16</f>
        <v>-22.074750000000002</v>
      </c>
      <c r="H7" s="17">
        <f>((Main!G$99+($D$2+1)*(Main!G$103-Main!G$99)/8)+Sumo3!$E$2*((Main!G$101+($D$2+1)*(Main!G$105-Main!G$101)/8)-(Main!G$99+($D$2+1)*(Main!G$103-Main!G$99)/8))/16)+Sumo3!$F$2*((Main!G$100+($D$2+1)*(Main!G$104-Main!G$100)/8)+Sumo3!$E$2*((Main!G$102+($D$2+1)*(Main!G$106-Main!G$102)/8)-(Main!G$100+($D$2+1)*(Main!G$104-Main!G$100)/8))/16-((Main!G$99+($D$2+1)*(Main!G$103-Main!G$99)/8)+Sumo3!$E$2*((Main!G$101+($D$2+1)*(Main!G$105-Main!G$101)/8)-(Main!G$99+($D$2+1)*(Main!G$103-Main!G$99)/8))/16))/16</f>
        <v>-80.55725000000001</v>
      </c>
      <c r="I7" s="17">
        <f>((Main!H$99+($D$2+1)*(Main!H$103-Main!H$99)/8)+Sumo3!$E$2*((Main!H$101+($D$2+1)*(Main!H$105-Main!H$101)/8)-(Main!H$99+($D$2+1)*(Main!H$103-Main!H$99)/8))/16)+Sumo3!$F$2*((Main!H$100+($D$2+1)*(Main!H$104-Main!H$100)/8)+Sumo3!$E$2*((Main!H$102+($D$2+1)*(Main!H$106-Main!H$102)/8)-(Main!H$100+($D$2+1)*(Main!H$104-Main!H$100)/8))/16-((Main!H$99+($D$2+1)*(Main!H$103-Main!H$99)/8)+Sumo3!$E$2*((Main!H$101+($D$2+1)*(Main!H$105-Main!H$101)/8)-(Main!H$99+($D$2+1)*(Main!H$103-Main!H$99)/8))/16))/16</f>
        <v>334.5</v>
      </c>
      <c r="J7" s="18"/>
      <c r="K7" s="19"/>
      <c r="L7" s="19"/>
      <c r="M7" s="19"/>
      <c r="N7" s="19"/>
      <c r="O7" s="19"/>
    </row>
    <row r="8" spans="1:17" ht="16" thickBot="1">
      <c r="D8" s="9" t="s">
        <v>70</v>
      </c>
      <c r="E8" s="9" t="s">
        <v>69</v>
      </c>
      <c r="F8" s="14" t="s">
        <v>63</v>
      </c>
      <c r="G8" s="17">
        <f>((Main!F$99+($D$2+1)*(Main!F$103-Main!F$99)/8)+Sumo3!$E$2*((Main!F$101+($D$2+1)*(Main!F$105-Main!F$101)/8)-(Main!F$99+($D$2+1)*(Main!F$103-Main!F$99)/8))/16)+(Sumo3!$F$2+1)*((Main!F$100+($D$2+1)*(Main!F$104-Main!F$100)/8)+Sumo3!$E$2*((Main!F$102+($D$2+1)*(Main!F$106-Main!F$102)/8)-(Main!F$100+($D$2+1)*(Main!F$104-Main!F$100)/8))/16-((Main!F$99+($D$2+1)*(Main!F$103-Main!F$99)/8)+Sumo3!$E$2*((Main!F$101+($D$2+1)*(Main!F$105-Main!F$101)/8)-(Main!F$99+($D$2+1)*(Main!F$103-Main!F$99)/8))/16))/16</f>
        <v>-22.258078125000001</v>
      </c>
      <c r="H8" s="17">
        <f>((Main!G$99+($D$2+1)*(Main!G$103-Main!G$99)/8)+Sumo3!$E$2*((Main!G$101+($D$2+1)*(Main!G$105-Main!G$101)/8)-(Main!G$99+($D$2+1)*(Main!G$103-Main!G$99)/8))/16)+(Sumo3!$F$2+1)*((Main!G$100+($D$2+1)*(Main!G$104-Main!G$100)/8)+Sumo3!$E$2*((Main!G$102+($D$2+1)*(Main!G$106-Main!G$102)/8)-(Main!G$100+($D$2+1)*(Main!G$104-Main!G$100)/8))/16-((Main!G$99+($D$2+1)*(Main!G$103-Main!G$99)/8)+Sumo3!$E$2*((Main!G$101+($D$2+1)*(Main!G$105-Main!G$101)/8)-(Main!G$99+($D$2+1)*(Main!G$103-Main!G$99)/8))/16))/16</f>
        <v>-81.376312500000012</v>
      </c>
      <c r="I8" s="17">
        <f>((Main!H$99+($D$2+1)*(Main!H$103-Main!H$99)/8)+Sumo3!$E$2*((Main!H$101+($D$2+1)*(Main!H$105-Main!H$101)/8)-(Main!H$99+($D$2+1)*(Main!H$103-Main!H$99)/8))/16)+(Sumo3!$F$2+1)*((Main!H$100+($D$2+1)*(Main!H$104-Main!H$100)/8)+Sumo3!$E$2*((Main!H$102+($D$2+1)*(Main!H$106-Main!H$102)/8)-(Main!H$100+($D$2+1)*(Main!H$104-Main!H$100)/8))/16-((Main!H$99+($D$2+1)*(Main!H$103-Main!H$99)/8)+Sumo3!$E$2*((Main!H$101+($D$2+1)*(Main!H$105-Main!H$101)/8)-(Main!H$99+($D$2+1)*(Main!H$103-Main!H$99)/8))/16))/16</f>
        <v>316.125</v>
      </c>
      <c r="J8" s="18"/>
      <c r="K8" s="19"/>
      <c r="L8" s="19"/>
      <c r="M8" s="19"/>
      <c r="N8" s="19"/>
      <c r="O8" s="19"/>
    </row>
    <row r="9" spans="1:17" ht="16" thickBot="1">
      <c r="D9" s="9" t="s">
        <v>70</v>
      </c>
      <c r="E9" s="9" t="s">
        <v>69</v>
      </c>
      <c r="F9" s="14" t="s">
        <v>64</v>
      </c>
      <c r="G9" s="17">
        <f>((Main!F$99+($D$2+1)*(Main!F$103-Main!F$99)/8)+(Sumo3!$E$2+1)*((Main!F$101+($D$2+1)*(Main!F$105-Main!F$101)/8)-(Main!F$99+($D$2+1)*(Main!F$103-Main!F$99)/8))/16)+Sumo3!$F$2*((Main!F$100+($D$2+1)*(Main!F$104-Main!F$100)/8)+(Sumo3!$E$2+1)*((Main!F$102+($D$2+1)*(Main!F$106-Main!F$102)/8)-(Main!F$100+($D$2+1)*(Main!F$104-Main!F$100)/8))/16-((Main!F$99+($D$2+1)*(Main!F$103-Main!F$99)/8)+(Sumo3!$E$2+1)*((Main!F$101+($D$2+1)*(Main!F$105-Main!F$101)/8)-(Main!F$99+($D$2+1)*(Main!F$103-Main!F$99)/8))/16))/16</f>
        <v>-22.849875000000001</v>
      </c>
      <c r="H9" s="17">
        <f>((Main!G$99+($D$2+1)*(Main!G$103-Main!G$99)/8)+(Sumo3!$E$2+1)*((Main!G$101+($D$2+1)*(Main!G$105-Main!G$101)/8)-(Main!G$99+($D$2+1)*(Main!G$103-Main!G$99)/8))/16)+Sumo3!$F$2*((Main!G$100+($D$2+1)*(Main!G$104-Main!G$100)/8)+(Sumo3!$E$2+1)*((Main!G$102+($D$2+1)*(Main!G$106-Main!G$102)/8)-(Main!G$100+($D$2+1)*(Main!G$104-Main!G$100)/8))/16-((Main!G$99+($D$2+1)*(Main!G$103-Main!G$99)/8)+(Sumo3!$E$2+1)*((Main!G$101+($D$2+1)*(Main!G$105-Main!G$101)/8)-(Main!G$99+($D$2+1)*(Main!G$103-Main!G$99)/8))/16))/16</f>
        <v>-70.678039062500005</v>
      </c>
      <c r="I9" s="17">
        <f>((Main!H$99+($D$2+1)*(Main!H$103-Main!H$99)/8)+(Sumo3!$E$2+1)*((Main!H$101+($D$2+1)*(Main!H$105-Main!H$101)/8)-(Main!H$99+($D$2+1)*(Main!H$103-Main!H$99)/8))/16)+Sumo3!$F$2*((Main!H$100+($D$2+1)*(Main!H$104-Main!H$100)/8)+(Sumo3!$E$2+1)*((Main!H$102+($D$2+1)*(Main!H$106-Main!H$102)/8)-(Main!H$100+($D$2+1)*(Main!H$104-Main!H$100)/8))/16-((Main!H$99+($D$2+1)*(Main!H$103-Main!H$99)/8)+(Sumo3!$E$2+1)*((Main!H$101+($D$2+1)*(Main!H$105-Main!H$101)/8)-(Main!H$99+($D$2+1)*(Main!H$103-Main!H$99)/8))/16))/16</f>
        <v>334.5</v>
      </c>
      <c r="J9" s="18"/>
      <c r="K9" s="19"/>
      <c r="L9" s="19"/>
      <c r="M9" s="19"/>
      <c r="N9" s="19"/>
      <c r="O9" s="19"/>
    </row>
    <row r="10" spans="1:17" ht="16" thickBot="1">
      <c r="D10" s="9" t="s">
        <v>70</v>
      </c>
      <c r="E10" s="9" t="s">
        <v>69</v>
      </c>
      <c r="F10" s="14" t="s">
        <v>65</v>
      </c>
      <c r="G10" s="17">
        <f>((Main!F$99+($D$2+1)*(Main!F$103-Main!F$99)/8)+(Sumo3!$E$2+1)*((Main!F$101+($D$2+1)*(Main!F$105-Main!F$101)/8)-(Main!F$99+($D$2+1)*(Main!F$103-Main!F$99)/8))/16)+(Sumo3!$F$2+1)*((Main!F$100+($D$2+1)*(Main!F$104-Main!F$100)/8)+(Sumo3!$E$2+1)*((Main!F$102+($D$2+1)*(Main!F$106-Main!F$102)/8)-(Main!F$100+($D$2+1)*(Main!F$104-Main!F$100)/8))/16-((Main!F$99+($D$2+1)*(Main!F$103-Main!F$99)/8)+(Sumo3!$E$2+1)*((Main!F$101+($D$2+1)*(Main!F$105-Main!F$101)/8)-(Main!F$99+($D$2+1)*(Main!F$103-Main!F$99)/8))/16))/16</f>
        <v>-23.041098632812499</v>
      </c>
      <c r="H10" s="17">
        <f>((Main!G$99+($D$2+1)*(Main!G$103-Main!G$99)/8)+(Sumo3!$E$2+1)*((Main!G$101+($D$2+1)*(Main!G$105-Main!G$101)/8)-(Main!G$99+($D$2+1)*(Main!G$103-Main!G$99)/8))/16)+(Sumo3!$F$2+1)*((Main!G$100+($D$2+1)*(Main!G$104-Main!G$100)/8)+(Sumo3!$E$2+1)*((Main!G$102+($D$2+1)*(Main!G$106-Main!G$102)/8)-(Main!G$100+($D$2+1)*(Main!G$104-Main!G$100)/8))/16-((Main!G$99+($D$2+1)*(Main!G$103-Main!G$99)/8)+(Sumo3!$E$2+1)*((Main!G$101+($D$2+1)*(Main!G$105-Main!G$101)/8)-(Main!G$99+($D$2+1)*(Main!G$103-Main!G$99)/8))/16))/16</f>
        <v>-71.396445800781251</v>
      </c>
      <c r="I10" s="17">
        <f>((Main!H$99+($D$2+1)*(Main!H$103-Main!H$99)/8)+(Sumo3!$E$2+1)*((Main!H$101+($D$2+1)*(Main!H$105-Main!H$101)/8)-(Main!H$99+($D$2+1)*(Main!H$103-Main!H$99)/8))/16)+(Sumo3!$F$2+1)*((Main!H$100+($D$2+1)*(Main!H$104-Main!H$100)/8)+(Sumo3!$E$2+1)*((Main!H$102+($D$2+1)*(Main!H$106-Main!H$102)/8)-(Main!H$100+($D$2+1)*(Main!H$104-Main!H$100)/8))/16-((Main!H$99+($D$2+1)*(Main!H$103-Main!H$99)/8)+(Sumo3!$E$2+1)*((Main!H$101+($D$2+1)*(Main!H$105-Main!H$101)/8)-(Main!H$99+($D$2+1)*(Main!H$103-Main!H$99)/8))/16))/16</f>
        <v>316.125</v>
      </c>
      <c r="J10" s="18"/>
      <c r="K10" s="19"/>
      <c r="L10" s="19"/>
      <c r="M10" s="19"/>
      <c r="N10" s="19"/>
      <c r="O10" s="19"/>
    </row>
    <row r="11" spans="1:17">
      <c r="G11" s="19"/>
      <c r="H11" s="19"/>
      <c r="I11" s="19"/>
      <c r="J11" s="19"/>
      <c r="K11" s="19"/>
      <c r="L11" s="19"/>
      <c r="M11" s="19"/>
      <c r="N11" s="19"/>
      <c r="O11" s="19"/>
    </row>
    <row r="12" spans="1:17">
      <c r="G12" s="19"/>
      <c r="H12" s="19"/>
      <c r="I12" s="19"/>
      <c r="J12" s="19"/>
      <c r="K12" s="19"/>
      <c r="L12" s="24" t="s">
        <v>47</v>
      </c>
      <c r="M12" s="24" t="s">
        <v>48</v>
      </c>
      <c r="N12" s="24"/>
      <c r="O12" s="24"/>
      <c r="P12" s="8"/>
      <c r="Q12" s="8"/>
    </row>
    <row r="13" spans="1:17" ht="14" thickBot="1">
      <c r="G13" s="31" t="s">
        <v>20</v>
      </c>
      <c r="H13" s="31" t="s">
        <v>21</v>
      </c>
      <c r="I13" s="31" t="s">
        <v>22</v>
      </c>
      <c r="J13" s="24" t="s">
        <v>49</v>
      </c>
      <c r="K13" s="19"/>
      <c r="L13" s="24" t="s">
        <v>20</v>
      </c>
      <c r="M13" s="24" t="s">
        <v>21</v>
      </c>
      <c r="N13" s="24" t="s">
        <v>22</v>
      </c>
      <c r="O13" s="24"/>
      <c r="P13" s="8"/>
      <c r="Q13" s="8"/>
    </row>
    <row r="14" spans="1:17" ht="29" thickBot="1">
      <c r="A14" t="s">
        <v>50</v>
      </c>
      <c r="D14" s="241" t="s">
        <v>96</v>
      </c>
      <c r="E14" s="242"/>
      <c r="F14" s="16" t="s">
        <v>68</v>
      </c>
      <c r="G14" s="25">
        <f>($L$3*$G2+$M$3*$H2+$N$3*$I2)+$L$14</f>
        <v>-1158.9631551284999</v>
      </c>
      <c r="H14" s="25">
        <f>($L$4*$G2+$M$4*$H2+$N$4*$I2)+$M$14</f>
        <v>305.84309374667555</v>
      </c>
      <c r="I14" s="26">
        <f t="shared" ref="I14:I22" si="1">($L$5*$G2+$M$5*$H2+$N$5*$I2)+$N$14</f>
        <v>11.643596382888195</v>
      </c>
      <c r="J14" s="19"/>
      <c r="K14" s="19"/>
      <c r="L14" s="27">
        <f>Main!F76</f>
        <v>-1466.511</v>
      </c>
      <c r="M14" s="27">
        <f>Main!G76</f>
        <v>435.48</v>
      </c>
      <c r="N14" s="27">
        <f>Main!H76</f>
        <v>42.000999999999998</v>
      </c>
      <c r="O14" s="19"/>
    </row>
    <row r="15" spans="1:17" ht="15">
      <c r="F15" s="15" t="s">
        <v>58</v>
      </c>
      <c r="G15" s="28">
        <f t="shared" ref="G15:G22" si="2">($L$3*$G3+$M$3*$H3+$N$3*$I3)+$L$14</f>
        <v>-1150.309639677537</v>
      </c>
      <c r="H15" s="28">
        <f t="shared" ref="H15:H22" si="3">($L$4*$G3+$M$4*$H3+$N$4*$I3)+$M$14</f>
        <v>299.60990911172388</v>
      </c>
      <c r="I15" s="28">
        <f t="shared" si="1"/>
        <v>13.110074722589573</v>
      </c>
      <c r="J15" s="19"/>
      <c r="K15" s="19"/>
      <c r="L15" s="19"/>
      <c r="M15" s="19"/>
      <c r="N15" s="19"/>
      <c r="O15" s="19"/>
    </row>
    <row r="16" spans="1:17" ht="16" thickBot="1">
      <c r="A16" s="9" t="s">
        <v>72</v>
      </c>
      <c r="B16" s="9"/>
      <c r="C16" s="9"/>
      <c r="F16" s="12" t="s">
        <v>59</v>
      </c>
      <c r="G16" s="29">
        <f t="shared" si="2"/>
        <v>-1168.2708076010097</v>
      </c>
      <c r="H16" s="29">
        <f t="shared" si="3"/>
        <v>301.8029496050047</v>
      </c>
      <c r="I16" s="29">
        <f t="shared" si="1"/>
        <v>16.42080970950494</v>
      </c>
      <c r="J16" s="19"/>
      <c r="K16" s="19"/>
      <c r="L16" s="19"/>
      <c r="M16" s="19"/>
      <c r="N16" s="19"/>
      <c r="O16" s="19"/>
      <c r="Q16" s="9"/>
    </row>
    <row r="17" spans="1:27" ht="16" thickBot="1">
      <c r="A17" s="9" t="s">
        <v>71</v>
      </c>
      <c r="B17" s="9"/>
      <c r="C17" s="9"/>
      <c r="F17" s="12" t="s">
        <v>60</v>
      </c>
      <c r="G17" s="29">
        <f t="shared" si="2"/>
        <v>-1148.4660215447532</v>
      </c>
      <c r="H17" s="29">
        <f t="shared" si="3"/>
        <v>309.2755800168627</v>
      </c>
      <c r="I17" s="29">
        <f t="shared" si="1"/>
        <v>14.34085380673703</v>
      </c>
      <c r="J17" s="19"/>
      <c r="K17" s="19"/>
      <c r="L17" s="83">
        <f>L14</f>
        <v>-1466.511</v>
      </c>
      <c r="M17" s="84">
        <f>M14*COS($G$40)+N14*SIN($G$40)</f>
        <v>437.08135229308169</v>
      </c>
      <c r="N17" s="85">
        <f>-M14*SIN($G$40)+N14*COS($G$40)</f>
        <v>19.152176864549677</v>
      </c>
      <c r="O17" s="86" t="s">
        <v>110</v>
      </c>
      <c r="P17" s="82"/>
      <c r="Q17" s="81"/>
    </row>
    <row r="18" spans="1:27" ht="15">
      <c r="F18" s="12" t="s">
        <v>61</v>
      </c>
      <c r="G18" s="29">
        <f t="shared" si="2"/>
        <v>-1166.4084040569348</v>
      </c>
      <c r="H18" s="29">
        <f t="shared" si="3"/>
        <v>311.56711263516388</v>
      </c>
      <c r="I18" s="29">
        <f t="shared" si="1"/>
        <v>17.664125350980537</v>
      </c>
      <c r="J18" s="19"/>
      <c r="K18" s="19"/>
      <c r="L18" s="19"/>
      <c r="M18" s="19"/>
      <c r="N18" s="19"/>
      <c r="O18" s="19"/>
      <c r="Q18" s="9"/>
    </row>
    <row r="19" spans="1:27" ht="15">
      <c r="F19" s="12" t="s">
        <v>62</v>
      </c>
      <c r="G19" s="29">
        <f t="shared" si="2"/>
        <v>-1151.4843731372875</v>
      </c>
      <c r="H19" s="29">
        <f t="shared" si="3"/>
        <v>300.15173900874629</v>
      </c>
      <c r="I19" s="29">
        <f t="shared" si="1"/>
        <v>5.7851771451764407</v>
      </c>
      <c r="J19" s="19"/>
      <c r="K19" s="19"/>
      <c r="L19" s="18"/>
      <c r="M19" s="19"/>
      <c r="N19" s="19"/>
      <c r="O19" s="19"/>
    </row>
    <row r="20" spans="1:27" ht="15">
      <c r="F20" s="12" t="s">
        <v>63</v>
      </c>
      <c r="G20" s="29">
        <f t="shared" si="2"/>
        <v>-1169.4553131500661</v>
      </c>
      <c r="H20" s="29">
        <f t="shared" si="3"/>
        <v>302.34928723250277</v>
      </c>
      <c r="I20" s="29">
        <f t="shared" si="1"/>
        <v>9.0349790662035403</v>
      </c>
      <c r="J20" s="19"/>
      <c r="K20" s="19"/>
      <c r="L20" s="19"/>
      <c r="M20" s="19"/>
      <c r="N20" s="19"/>
      <c r="T20" s="19"/>
      <c r="U20" s="19"/>
      <c r="V20" s="19"/>
      <c r="W20" s="18"/>
    </row>
    <row r="21" spans="1:27" ht="15">
      <c r="F21" s="12" t="s">
        <v>64</v>
      </c>
      <c r="G21" s="29">
        <f t="shared" si="2"/>
        <v>-1149.6790675724628</v>
      </c>
      <c r="H21" s="29">
        <f t="shared" si="3"/>
        <v>309.8459267078066</v>
      </c>
      <c r="I21" s="29">
        <f t="shared" si="1"/>
        <v>6.766476583368366</v>
      </c>
      <c r="J21" s="19"/>
      <c r="K21" s="19"/>
      <c r="L21" s="19"/>
      <c r="M21" s="19"/>
      <c r="N21" s="19"/>
      <c r="S21" s="9"/>
      <c r="T21" s="19"/>
      <c r="U21" s="19"/>
      <c r="V21" s="19"/>
      <c r="W21" s="9"/>
    </row>
    <row r="22" spans="1:27" ht="15">
      <c r="F22" s="12" t="s">
        <v>65</v>
      </c>
      <c r="G22" s="29">
        <f t="shared" si="2"/>
        <v>-1167.6316142879484</v>
      </c>
      <c r="H22" s="29">
        <f t="shared" si="3"/>
        <v>312.14224565559346</v>
      </c>
      <c r="I22" s="29">
        <f t="shared" si="1"/>
        <v>10.026274678545136</v>
      </c>
      <c r="J22" s="19"/>
      <c r="K22" s="19"/>
      <c r="L22" s="19"/>
      <c r="M22" s="19"/>
      <c r="N22" s="19"/>
      <c r="S22" s="9"/>
      <c r="T22" s="19"/>
      <c r="U22" s="19"/>
      <c r="V22" s="19"/>
      <c r="W22" s="18"/>
    </row>
    <row r="23" spans="1:27" ht="14" thickBot="1">
      <c r="S23" s="9"/>
      <c r="T23" s="19"/>
      <c r="U23" s="19"/>
      <c r="V23" s="19"/>
      <c r="W23" s="9"/>
    </row>
    <row r="24" spans="1:27" ht="15">
      <c r="D24" s="42" t="s">
        <v>93</v>
      </c>
      <c r="E24" s="58" t="s">
        <v>98</v>
      </c>
      <c r="F24" s="67"/>
      <c r="G24" s="60">
        <v>-1150.309639677537</v>
      </c>
      <c r="H24" s="61">
        <v>299.60990911172388</v>
      </c>
      <c r="I24" s="62">
        <v>13.110074722589573</v>
      </c>
      <c r="J24" s="32" t="s">
        <v>85</v>
      </c>
      <c r="K24" s="163" t="s">
        <v>145</v>
      </c>
      <c r="L24" s="156">
        <f>SQRT((G24-G26)^2+(H26-H24)^2+(I26-I24)^2)</f>
        <v>158.66558665667631</v>
      </c>
      <c r="M24" s="19"/>
      <c r="N24" s="19"/>
      <c r="S24" s="9"/>
      <c r="T24" s="19"/>
      <c r="U24" s="19"/>
      <c r="V24" s="19"/>
      <c r="W24" s="18"/>
    </row>
    <row r="25" spans="1:27" ht="16" thickBot="1">
      <c r="D25" s="43" t="s">
        <v>78</v>
      </c>
      <c r="E25" s="59" t="s">
        <v>99</v>
      </c>
      <c r="F25" s="68"/>
      <c r="G25" s="63">
        <v>-1159.7075073555418</v>
      </c>
      <c r="H25" s="45">
        <v>303.94454828790288</v>
      </c>
      <c r="I25" s="64">
        <v>-45.489105896715508</v>
      </c>
      <c r="J25" s="32" t="s">
        <v>86</v>
      </c>
      <c r="K25" s="163" t="s">
        <v>146</v>
      </c>
      <c r="L25" s="19">
        <f>SQRT((G30-G28)^2+(H30-H28)^2+(I30-I28)^2)</f>
        <v>184.53394725623048</v>
      </c>
      <c r="M25" s="19"/>
      <c r="N25" s="19"/>
      <c r="S25" s="9"/>
      <c r="T25" s="19"/>
      <c r="U25" s="19"/>
      <c r="V25" s="19"/>
      <c r="W25" s="9"/>
    </row>
    <row r="26" spans="1:27" ht="15">
      <c r="D26" s="9" t="s">
        <v>97</v>
      </c>
      <c r="E26" s="59" t="s">
        <v>101</v>
      </c>
      <c r="F26" s="68"/>
      <c r="G26" s="63">
        <v>-1120.811749552998</v>
      </c>
      <c r="H26" s="45">
        <v>454.26064359394456</v>
      </c>
      <c r="I26" s="64">
        <v>32.802540068948872</v>
      </c>
      <c r="J26" s="44" t="s">
        <v>87</v>
      </c>
      <c r="K26" s="163" t="s">
        <v>147</v>
      </c>
      <c r="L26" s="19">
        <f>SQRT((G30-G26)^2+(H30-H26)^2+(I30-I26)^2)</f>
        <v>294.34387452798859</v>
      </c>
      <c r="M26" s="19"/>
      <c r="S26" s="9"/>
      <c r="T26" s="19"/>
      <c r="U26" s="19"/>
      <c r="V26" s="19"/>
      <c r="W26" s="9"/>
    </row>
    <row r="27" spans="1:27" ht="15">
      <c r="E27" s="59" t="s">
        <v>100</v>
      </c>
      <c r="F27" s="68"/>
      <c r="G27" s="157">
        <v>-1135.1136259297482</v>
      </c>
      <c r="H27" s="158">
        <v>462.24543239207651</v>
      </c>
      <c r="I27" s="159">
        <v>-57.730035232663688</v>
      </c>
      <c r="J27" s="44" t="s">
        <v>88</v>
      </c>
      <c r="K27" s="163" t="s">
        <v>149</v>
      </c>
      <c r="L27" s="19">
        <f>SQRT((G27-G26)^2+(H27-H26)^2+(I27-I26)^2)</f>
        <v>92.002433178632657</v>
      </c>
      <c r="M27" s="19">
        <f>L27/8</f>
        <v>11.500304147329082</v>
      </c>
      <c r="S27" s="9"/>
      <c r="T27" s="19"/>
      <c r="U27" s="19"/>
      <c r="V27" s="19"/>
      <c r="W27" s="9"/>
    </row>
    <row r="28" spans="1:27" ht="28">
      <c r="D28" s="155" t="s">
        <v>144</v>
      </c>
      <c r="E28" s="59" t="s">
        <v>102</v>
      </c>
      <c r="F28" s="68"/>
      <c r="G28" s="63">
        <v>-1437.6883264531014</v>
      </c>
      <c r="H28" s="45">
        <v>334.69855700421692</v>
      </c>
      <c r="I28" s="64">
        <v>66.081834513235435</v>
      </c>
      <c r="J28" s="32" t="s">
        <v>89</v>
      </c>
      <c r="K28" s="163" t="s">
        <v>148</v>
      </c>
      <c r="L28" s="19">
        <f>SQRT((G24-G25)^2+(H24-H25)^2+(I24-I25)^2)</f>
        <v>59.506075176698495</v>
      </c>
      <c r="M28" s="19">
        <f t="shared" ref="M28:M30" si="4">L28/8</f>
        <v>7.4382593970873119</v>
      </c>
    </row>
    <row r="29" spans="1:27" ht="15">
      <c r="E29" s="59" t="s">
        <v>103</v>
      </c>
      <c r="F29" s="68"/>
      <c r="G29" s="157">
        <v>-1448.3370215622479</v>
      </c>
      <c r="H29" s="158">
        <v>339.61018568128827</v>
      </c>
      <c r="I29" s="159">
        <v>-0.31677853976722048</v>
      </c>
      <c r="J29" s="32" t="s">
        <v>90</v>
      </c>
      <c r="K29" s="163" t="s">
        <v>150</v>
      </c>
      <c r="L29" s="18">
        <f>SQRT((G31-G30)^2+(H31-H30)^2+(I31-I30)^2)</f>
        <v>105.21571723899255</v>
      </c>
      <c r="M29" s="19">
        <f t="shared" si="4"/>
        <v>13.151964654874069</v>
      </c>
      <c r="P29" s="9"/>
      <c r="T29" s="9"/>
      <c r="X29" s="9"/>
      <c r="AA29" s="9"/>
    </row>
    <row r="30" spans="1:27" ht="15">
      <c r="E30" s="79" t="s">
        <v>107</v>
      </c>
      <c r="F30" s="68"/>
      <c r="G30" s="63">
        <v>-1403.3813710380309</v>
      </c>
      <c r="H30" s="45">
        <v>514.56327549164655</v>
      </c>
      <c r="I30" s="64">
        <v>88.983658535598977</v>
      </c>
      <c r="J30" s="44" t="s">
        <v>91</v>
      </c>
      <c r="K30" s="163" t="s">
        <v>151</v>
      </c>
      <c r="L30" s="19">
        <f>SQRT((G28-G29)^2+(H29-H28)^2+(I29-I28)^2)</f>
        <v>67.426216111771879</v>
      </c>
      <c r="M30" s="19">
        <f t="shared" si="4"/>
        <v>8.4282770139714849</v>
      </c>
      <c r="N30" s="19"/>
      <c r="O30" s="9"/>
      <c r="X30" s="19"/>
      <c r="Y30" s="19"/>
      <c r="Z30" s="19"/>
    </row>
    <row r="31" spans="1:27" ht="16" thickBot="1">
      <c r="E31" s="80" t="s">
        <v>104</v>
      </c>
      <c r="F31" s="69"/>
      <c r="G31" s="160">
        <v>-1419.7371243142893</v>
      </c>
      <c r="H31" s="161">
        <v>523.69562456323843</v>
      </c>
      <c r="I31" s="162">
        <v>-14.551053949230919</v>
      </c>
      <c r="J31" s="44" t="s">
        <v>92</v>
      </c>
      <c r="K31" s="19"/>
      <c r="L31" s="19"/>
      <c r="M31" s="19"/>
      <c r="N31" s="19"/>
      <c r="O31" s="9"/>
      <c r="X31" s="19"/>
      <c r="Y31" s="19"/>
      <c r="Z31" s="19"/>
    </row>
    <row r="32" spans="1:27">
      <c r="L32" s="19"/>
      <c r="M32" s="19"/>
      <c r="N32" s="19"/>
      <c r="O32" s="9"/>
      <c r="X32" s="19"/>
      <c r="Y32" s="19"/>
      <c r="Z32" s="19"/>
    </row>
    <row r="33" spans="1:26">
      <c r="L33" s="19"/>
      <c r="M33" s="19"/>
      <c r="N33" s="19"/>
      <c r="O33" s="9"/>
      <c r="X33" s="19"/>
      <c r="Y33" s="19"/>
      <c r="Z33" s="19"/>
    </row>
    <row r="34" spans="1:26">
      <c r="L34" s="19"/>
      <c r="M34" s="19"/>
      <c r="N34" s="19"/>
      <c r="O34" s="9"/>
      <c r="X34" s="19"/>
      <c r="Y34" s="19"/>
      <c r="Z34" s="19"/>
    </row>
    <row r="35" spans="1:26">
      <c r="L35" s="19"/>
      <c r="M35" s="19"/>
      <c r="N35" s="19"/>
      <c r="O35" s="9"/>
      <c r="X35" s="19"/>
      <c r="Y35" s="19"/>
      <c r="Z35" s="19"/>
    </row>
    <row r="36" spans="1:26">
      <c r="L36" s="19"/>
      <c r="M36" s="19"/>
      <c r="N36" s="19"/>
      <c r="O36" s="9"/>
      <c r="X36" s="19"/>
      <c r="Y36" s="19"/>
      <c r="Z36" s="19"/>
    </row>
    <row r="37" spans="1:26">
      <c r="L37" s="19"/>
      <c r="M37" s="19"/>
      <c r="N37" s="19"/>
      <c r="O37" s="9"/>
      <c r="X37" s="19"/>
      <c r="Y37" s="19"/>
      <c r="Z37" s="19"/>
    </row>
    <row r="39" spans="1:26">
      <c r="F39" s="81" t="s">
        <v>111</v>
      </c>
      <c r="G39" s="82">
        <f>Main!$J$73</f>
        <v>-3</v>
      </c>
    </row>
    <row r="40" spans="1:26" ht="14" thickBot="1">
      <c r="F40" s="81" t="s">
        <v>108</v>
      </c>
      <c r="G40" s="81">
        <f>(18-$C$2)*PI()/15-(G39*PI()/180)</f>
        <v>5.2359877559829883E-2</v>
      </c>
      <c r="H40" s="9"/>
    </row>
    <row r="41" spans="1:26" ht="29" thickBot="1">
      <c r="A41" s="9"/>
      <c r="B41" s="9"/>
      <c r="D41" s="243" t="s">
        <v>105</v>
      </c>
      <c r="E41" s="244"/>
      <c r="F41" s="34" t="s">
        <v>68</v>
      </c>
      <c r="G41" s="35">
        <f>(($L$3*$G2+$M$3*$H2+$N$3*$I2)+$L$14)*(-1)^($B$2)</f>
        <v>-1158.9631551284999</v>
      </c>
      <c r="H41" s="35">
        <f t="shared" ref="H41:H49" si="5">((($L$4*$G2+$M$4*$H2+$N$4*$I2)+$M$14)*COS($G$40) + (($L$5*$G2+$M$5*$H2+$N$5*$I2)+$N$14)*SIN($G$40))</f>
        <v>306.03332516694741</v>
      </c>
      <c r="I41" s="36">
        <f t="shared" ref="I41:I49" si="6" xml:space="preserve"> - (($L$4*$G2+$M$4*$H2+$N$4*$I2)+$M$14)*SIN($G$40) + (($L$5*$G2+$M$5*$H2+$N$5*$I2)+$N$14)*COS($G$40)*(-1)^($B$2)</f>
        <v>-4.3789515328189026</v>
      </c>
    </row>
    <row r="42" spans="1:26" ht="16" thickBot="1">
      <c r="A42" s="9"/>
      <c r="D42" s="245"/>
      <c r="E42" s="246"/>
      <c r="F42" s="37" t="s">
        <v>58</v>
      </c>
      <c r="G42" s="35">
        <f t="shared" ref="G42:G49" si="7">(($L$3*$G3+$M$3*$H3+$N$3*$I3)+$L$14)*(-1)^($B$2)</f>
        <v>-1150.309639677537</v>
      </c>
      <c r="H42" s="35">
        <f t="shared" si="5"/>
        <v>299.88543244112412</v>
      </c>
      <c r="I42" s="36">
        <f t="shared" si="6"/>
        <v>-2.588263272406234</v>
      </c>
    </row>
    <row r="43" spans="1:26" ht="16" thickBot="1">
      <c r="D43" s="247"/>
      <c r="E43" s="248"/>
      <c r="F43" s="38" t="s">
        <v>59</v>
      </c>
      <c r="G43" s="35">
        <f t="shared" si="7"/>
        <v>-1168.2708076010097</v>
      </c>
      <c r="H43" s="35">
        <f t="shared" si="5"/>
        <v>302.24873793003434</v>
      </c>
      <c r="I43" s="36">
        <f t="shared" si="6"/>
        <v>0.60315959597740054</v>
      </c>
    </row>
    <row r="44" spans="1:26" ht="16" thickBot="1">
      <c r="F44" s="38" t="s">
        <v>60</v>
      </c>
      <c r="G44" s="35">
        <f t="shared" si="7"/>
        <v>-1148.4660215447532</v>
      </c>
      <c r="H44" s="35">
        <f t="shared" si="5"/>
        <v>309.60227088050641</v>
      </c>
      <c r="I44" s="36">
        <f t="shared" si="6"/>
        <v>-1.8650330577684393</v>
      </c>
    </row>
    <row r="45" spans="1:26" ht="16" thickBot="1">
      <c r="D45" s="249" t="s">
        <v>106</v>
      </c>
      <c r="E45" s="250"/>
      <c r="F45" s="38" t="s">
        <v>61</v>
      </c>
      <c r="G45" s="35">
        <f t="shared" si="7"/>
        <v>-1166.4084040569348</v>
      </c>
      <c r="H45" s="35">
        <f t="shared" si="5"/>
        <v>312.06458962711838</v>
      </c>
      <c r="I45" s="36">
        <f t="shared" si="6"/>
        <v>1.3337545074818777</v>
      </c>
    </row>
    <row r="46" spans="1:26" ht="16" thickBot="1">
      <c r="D46" s="251"/>
      <c r="E46" s="250"/>
      <c r="F46" s="38" t="s">
        <v>62</v>
      </c>
      <c r="G46" s="35">
        <f t="shared" si="7"/>
        <v>-1151.4843731372875</v>
      </c>
      <c r="H46" s="35">
        <f t="shared" si="5"/>
        <v>300.04316426000821</v>
      </c>
      <c r="I46" s="36">
        <f t="shared" si="6"/>
        <v>-9.9314795180448989</v>
      </c>
    </row>
    <row r="47" spans="1:26" ht="16" thickBot="1">
      <c r="D47" s="251" t="s">
        <v>81</v>
      </c>
      <c r="E47" s="250"/>
      <c r="F47" s="38" t="s">
        <v>63</v>
      </c>
      <c r="G47" s="35">
        <f t="shared" si="7"/>
        <v>-1169.4553131500661</v>
      </c>
      <c r="H47" s="35">
        <f t="shared" si="5"/>
        <v>302.40778231143599</v>
      </c>
      <c r="I47" s="36">
        <f t="shared" si="6"/>
        <v>-6.8011421252853648</v>
      </c>
    </row>
    <row r="48" spans="1:26" ht="16" thickBot="1">
      <c r="D48" s="251"/>
      <c r="E48" s="250"/>
      <c r="F48" s="38" t="s">
        <v>64</v>
      </c>
      <c r="G48" s="35">
        <f t="shared" si="7"/>
        <v>-1149.6790675724628</v>
      </c>
      <c r="H48" s="35">
        <f t="shared" si="5"/>
        <v>309.77542365620275</v>
      </c>
      <c r="I48" s="36">
        <f t="shared" si="6"/>
        <v>-9.4588794998572752</v>
      </c>
    </row>
    <row r="49" spans="6:9" ht="16" thickBot="1">
      <c r="F49" s="38" t="s">
        <v>65</v>
      </c>
      <c r="G49" s="35">
        <f t="shared" si="7"/>
        <v>-1167.6316142879484</v>
      </c>
      <c r="H49" s="35">
        <f t="shared" si="5"/>
        <v>312.23920022914928</v>
      </c>
      <c r="I49" s="36">
        <f t="shared" si="6"/>
        <v>-6.3237288926482709</v>
      </c>
    </row>
  </sheetData>
  <mergeCells count="4">
    <mergeCell ref="D14:E14"/>
    <mergeCell ref="D41:E43"/>
    <mergeCell ref="D45:E46"/>
    <mergeCell ref="D47:E48"/>
  </mergeCells>
  <pageMargins left="0.7" right="0.7" top="0.78749999999999998" bottom="0.78749999999999998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9"/>
  <sheetViews>
    <sheetView workbookViewId="0">
      <selection activeCell="F14" sqref="F14"/>
    </sheetView>
  </sheetViews>
  <sheetFormatPr baseColWidth="10" defaultColWidth="9" defaultRowHeight="13"/>
  <cols>
    <col min="1" max="1" width="22" customWidth="1"/>
    <col min="2" max="2" width="23.83203125" customWidth="1"/>
    <col min="3" max="3" width="14" customWidth="1"/>
    <col min="4" max="4" width="18.83203125" customWidth="1"/>
    <col min="5" max="5" width="14.83203125" customWidth="1"/>
    <col min="6" max="6" width="19.1640625" customWidth="1"/>
    <col min="7" max="9" width="10"/>
    <col min="10" max="10" width="36.5" customWidth="1"/>
    <col min="11" max="258" width="10" customWidth="1"/>
  </cols>
  <sheetData>
    <row r="1" spans="1:17" ht="28">
      <c r="A1" s="1" t="s">
        <v>27</v>
      </c>
      <c r="B1" s="10" t="s">
        <v>80</v>
      </c>
      <c r="C1" s="10" t="s">
        <v>79</v>
      </c>
      <c r="D1" s="10" t="s">
        <v>83</v>
      </c>
      <c r="E1" s="10" t="s">
        <v>66</v>
      </c>
      <c r="F1" s="10" t="s">
        <v>67</v>
      </c>
      <c r="G1" s="1" t="s">
        <v>51</v>
      </c>
      <c r="H1" s="1" t="s">
        <v>52</v>
      </c>
      <c r="I1" s="1" t="s">
        <v>53</v>
      </c>
      <c r="J1" s="2" t="s">
        <v>41</v>
      </c>
      <c r="L1" s="3" t="s">
        <v>42</v>
      </c>
      <c r="M1" s="4"/>
      <c r="N1" s="4"/>
      <c r="O1" s="8"/>
      <c r="P1" s="8"/>
    </row>
    <row r="2" spans="1:17" ht="14" thickBot="1">
      <c r="A2" s="5" t="s">
        <v>55</v>
      </c>
      <c r="B2" s="33">
        <v>0</v>
      </c>
      <c r="C2" s="33">
        <v>18</v>
      </c>
      <c r="D2" s="6">
        <v>0</v>
      </c>
      <c r="E2" s="6">
        <v>0</v>
      </c>
      <c r="F2" s="6">
        <v>0</v>
      </c>
      <c r="G2" s="17">
        <f>SUM(G3:G10)/8</f>
        <v>-43.572894083658852</v>
      </c>
      <c r="H2" s="17">
        <f t="shared" ref="H2:I2" si="0">SUM(H3:H10)/8</f>
        <v>-78.214603068033853</v>
      </c>
      <c r="I2" s="17">
        <f t="shared" si="0"/>
        <v>344.6875</v>
      </c>
      <c r="J2" s="18" t="s">
        <v>73</v>
      </c>
      <c r="K2" s="19"/>
      <c r="L2" s="20" t="s">
        <v>43</v>
      </c>
      <c r="M2" s="20" t="s">
        <v>44</v>
      </c>
      <c r="N2" s="20" t="s">
        <v>45</v>
      </c>
    </row>
    <row r="3" spans="1:17" ht="16" thickBot="1">
      <c r="A3" t="s">
        <v>46</v>
      </c>
      <c r="D3" s="9" t="s">
        <v>70</v>
      </c>
      <c r="E3" s="9" t="s">
        <v>69</v>
      </c>
      <c r="F3" s="13" t="s">
        <v>58</v>
      </c>
      <c r="G3" s="17">
        <f>((Main!F$108+$D$2*(Main!F$112-Main!F$108)/12)+Sumo4!$E$2*((Main!F$110+$D$2*(Main!F$114-Main!F$110)/12)-(Main!F$108+$D$2*(Main!F$112-Main!F$108)/12))/16)+Sumo4!$F$2*((Main!F$109+$D$2*(Main!F$113-Main!F$109)/12)+Sumo4!$E$2*((Main!F$111+$D$2*(Main!F$115-Main!F$111)/12)-(Main!F$109+$D$2*(Main!F$113-Main!F$109)/12))/16-((Main!F$108+$D$2*(Main!F$112-Main!F$108)/12)+Sumo4!$E$2*((Main!F$110+$D$2*(Main!F$114-Main!F$110)/12)-(Main!F$108+$D$2*(Main!F$112-Main!F$108)/12))/16))/16</f>
        <v>-46.851999999999997</v>
      </c>
      <c r="H3" s="17">
        <f>((Main!G$108+$D$2*(Main!G$112-Main!G$108)/12)+Sumo4!$E$2*((Main!G$110+$D$2*(Main!G$114-Main!G$110)/12)-(Main!G$108+$D$2*(Main!G$112-Main!G$108)/12))/16)+Sumo4!$F$2*((Main!G$109+$D$2*(Main!G$113-Main!G$109)/12)+Sumo4!$E$2*((Main!G$111+$D$2*(Main!G$115-Main!G$111)/12)-(Main!G$109+$D$2*(Main!G$113-Main!G$109)/12))/16-((Main!G$108+$D$2*(Main!G$112-Main!G$108)/12)+Sumo4!$E$2*((Main!G$110+$D$2*(Main!G$114-Main!G$110)/12)-(Main!G$108+$D$2*(Main!G$112-Main!G$108)/12))/16))/16</f>
        <v>-82.626000000000005</v>
      </c>
      <c r="I3" s="17">
        <f>((Main!H$108+$D$2*(Main!H$112-Main!H$108)/12)+Sumo4!$E$2*((Main!H$110+$D$2*(Main!H$114-Main!H$110)/12)-(Main!H$108+$D$2*(Main!H$112-Main!H$108)/12))/16)+Sumo4!$F$2*((Main!H$109+$D$2*(Main!H$113-Main!H$109)/12)+Sumo4!$E$2*((Main!H$111+$D$2*(Main!H$115-Main!H$111)/12)-(Main!H$109+$D$2*(Main!H$113-Main!H$109)/12))/16-((Main!H$108+$D$2*(Main!H$112-Main!H$108)/12)+Sumo4!$E$2*((Main!H$110+$D$2*(Main!H$114-Main!H$110)/12)-(Main!H$108+$D$2*(Main!H$112-Main!H$108)/12))/16))/16</f>
        <v>354.5</v>
      </c>
      <c r="J3" s="18"/>
      <c r="K3" s="21" t="s">
        <v>20</v>
      </c>
      <c r="L3" s="22">
        <f>(Main!$K$108-Main!$F$77)/SQRT((Main!$K$108-Main!$F$77)^2+(Main!$L$108-Main!$G$77)^2+(Main!$M$108-Main!$H$77)^2)</f>
        <v>-0.16308131630933603</v>
      </c>
      <c r="M3" s="17">
        <f>(Main!$K$109-Main!$F$77)/SQRT((Main!$K$109-Main!$F$77)^2+(Main!$L$109-Main!$G$77)^2+(Main!$M$109-Main!$H$77)^2)</f>
        <v>0.27696538149090244</v>
      </c>
      <c r="N3" s="23">
        <f>(Main!$K$110-Main!$F$77)/SQRT((Main!$K$110-Main!$F$77)^2+(Main!$L$110-Main!$G$77)^2+(Main!$M$110-Main!$H$77)^2)</f>
        <v>0.94688732711169366</v>
      </c>
      <c r="O3" s="7" t="s">
        <v>34</v>
      </c>
    </row>
    <row r="4" spans="1:17" ht="16" thickBot="1">
      <c r="D4" s="9" t="s">
        <v>70</v>
      </c>
      <c r="E4" s="9" t="s">
        <v>69</v>
      </c>
      <c r="F4" s="14" t="s">
        <v>59</v>
      </c>
      <c r="G4" s="17">
        <f>((Main!F$108+$D$2*(Main!F$112-Main!F$108)/12)+Sumo4!$E$2*((Main!F$110+$D$2*(Main!F$114-Main!F$110)/12)-(Main!F$108+$D$2*(Main!F$112-Main!F$108)/12))/16)+(Sumo4!$F$2+1)*((Main!F$109+$D$2*(Main!F$113-Main!F$109)/12)+Sumo4!$E$2*((Main!F$111+$D$2*(Main!F$115-Main!F$111)/12)-(Main!F$109+$D$2*(Main!F$113-Main!F$109)/12))/16-((Main!F$108+$D$2*(Main!F$112-Main!F$108)/12)+Sumo4!$E$2*((Main!F$110+$D$2*(Main!F$114-Main!F$110)/12)-(Main!F$108+$D$2*(Main!F$112-Main!F$108)/12))/16))/16</f>
        <v>-47.285312499999996</v>
      </c>
      <c r="H4" s="17">
        <f>((Main!G$108+$D$2*(Main!G$112-Main!G$108)/12)+Sumo4!$E$2*((Main!G$110+$D$2*(Main!G$114-Main!G$110)/12)-(Main!G$108+$D$2*(Main!G$112-Main!G$108)/12))/16)+(Sumo4!$F$2+1)*((Main!G$109+$D$2*(Main!G$113-Main!G$109)/12)+Sumo4!$E$2*((Main!G$111+$D$2*(Main!G$115-Main!G$111)/12)-(Main!G$109+$D$2*(Main!G$113-Main!G$109)/12))/16-((Main!G$108+$D$2*(Main!G$112-Main!G$108)/12)+Sumo4!$E$2*((Main!G$110+$D$2*(Main!G$114-Main!G$110)/12)-(Main!G$108+$D$2*(Main!G$112-Main!G$108)/12))/16))/16</f>
        <v>-83.984999999999999</v>
      </c>
      <c r="I4" s="17">
        <f>((Main!H$108+$D$2*(Main!H$112-Main!H$108)/12)+Sumo4!$E$2*((Main!H$110+$D$2*(Main!H$114-Main!H$110)/12)-(Main!H$108+$D$2*(Main!H$112-Main!H$108)/12))/16)+(Sumo4!$F$2+1)*((Main!H$109+$D$2*(Main!H$113-Main!H$109)/12)+Sumo4!$E$2*((Main!H$111+$D$2*(Main!H$115-Main!H$111)/12)-(Main!H$109+$D$2*(Main!H$113-Main!H$109)/12))/16-((Main!H$108+$D$2*(Main!H$112-Main!H$108)/12)+Sumo4!$E$2*((Main!H$110+$D$2*(Main!H$114-Main!H$110)/12)-(Main!H$108+$D$2*(Main!H$112-Main!H$108)/12))/16))/16</f>
        <v>334.875</v>
      </c>
      <c r="J4" s="18"/>
      <c r="K4" s="21" t="s">
        <v>21</v>
      </c>
      <c r="L4" s="22">
        <f>(Main!$L$108-Main!$G$77)/SQRT((Main!$K$108-Main!$F$77)^2+(Main!$L$108-Main!$G$77)^2+(Main!$M$108-Main!$H$77)^2)</f>
        <v>4.7023447033888915E-2</v>
      </c>
      <c r="M4" s="17">
        <f>(Main!$L$109-Main!$G$77)/SQRT((Main!$K$109-Main!$F$77)^2+(Main!$L$109-Main!$G$77)^2+(Main!$M$109-Main!$H$77)^2)</f>
        <v>0.96087989751872682</v>
      </c>
      <c r="N4" s="23">
        <f>(Main!$L$110-Main!$G$77)/SQRT((Main!$K$110-Main!$F$77)^2+(Main!$L$110-Main!$G$77)^2+(Main!$M$110-Main!$H$77)^2)</f>
        <v>-0.27296751879783093</v>
      </c>
      <c r="O4" s="7" t="s">
        <v>35</v>
      </c>
    </row>
    <row r="5" spans="1:17" ht="16" thickBot="1">
      <c r="D5" s="9" t="s">
        <v>70</v>
      </c>
      <c r="E5" s="9" t="s">
        <v>69</v>
      </c>
      <c r="F5" s="14" t="s">
        <v>60</v>
      </c>
      <c r="G5" s="17">
        <f>((Main!F$108+$D$2*(Main!F$112-Main!F$108)/12)+(Sumo4!$E$2+1)*((Main!F$110+$D$2*(Main!F$114-Main!F$110)/12)-(Main!F$108+$D$2*(Main!F$112-Main!F$108)/12))/16)+Sumo4!$F$2*((Main!F$109+$D$2*(Main!F$113-Main!F$109)/12)+(Sumo4!$E$2+1)*((Main!F$111+$D$2*(Main!F$115-Main!F$111)/12)-(Main!F$109+$D$2*(Main!F$113-Main!F$109)/12))/16-((Main!F$108+$D$2*(Main!F$112-Main!F$108)/12)+(Sumo4!$E$2+1)*((Main!F$110+$D$2*(Main!F$114-Main!F$110)/12)-(Main!F$108+$D$2*(Main!F$112-Main!F$108)/12))/16))/16</f>
        <v>-47.869937499999999</v>
      </c>
      <c r="H5" s="17">
        <f>((Main!G$108+$D$2*(Main!G$112-Main!G$108)/12)+(Sumo4!$E$2+1)*((Main!G$110+$D$2*(Main!G$114-Main!G$110)/12)-(Main!G$108+$D$2*(Main!G$112-Main!G$108)/12))/16)+Sumo4!$F$2*((Main!G$109+$D$2*(Main!G$113-Main!G$109)/12)+(Sumo4!$E$2+1)*((Main!G$111+$D$2*(Main!G$115-Main!G$111)/12)-(Main!G$109+$D$2*(Main!G$113-Main!G$109)/12))/16-((Main!G$108+$D$2*(Main!G$112-Main!G$108)/12)+(Sumo4!$E$2+1)*((Main!G$110+$D$2*(Main!G$114-Main!G$110)/12)-(Main!G$108+$D$2*(Main!G$112-Main!G$108)/12))/16))/16</f>
        <v>-72.853187500000004</v>
      </c>
      <c r="I5" s="17">
        <f>((Main!H$108+$D$2*(Main!H$112-Main!H$108)/12)+(Sumo4!$E$2+1)*((Main!H$110+$D$2*(Main!H$114-Main!H$110)/12)-(Main!H$108+$D$2*(Main!H$112-Main!H$108)/12))/16)+Sumo4!$F$2*((Main!H$109+$D$2*(Main!H$113-Main!H$109)/12)+(Sumo4!$E$2+1)*((Main!H$111+$D$2*(Main!H$115-Main!H$111)/12)-(Main!H$109+$D$2*(Main!H$113-Main!H$109)/12))/16-((Main!H$108+$D$2*(Main!H$112-Main!H$108)/12)+(Sumo4!$E$2+1)*((Main!H$110+$D$2*(Main!H$114-Main!H$110)/12)-(Main!H$108+$D$2*(Main!H$112-Main!H$108)/12))/16))/16</f>
        <v>354.5</v>
      </c>
      <c r="J5" s="18"/>
      <c r="K5" s="21" t="s">
        <v>22</v>
      </c>
      <c r="L5" s="22">
        <f>(Main!$M$108-Main!$H$77)/SQRT((Main!$K$108-Main!$F$77)^2+(Main!$L$108-Main!$G$77)^2+(Main!$M$108-Main!$H$77)^2)</f>
        <v>-0.98549138996739349</v>
      </c>
      <c r="M5" s="17">
        <f>(Main!$M$109-Main!$H$77)/SQRT((Main!$K$109-Main!$F$77)^2+(Main!$L$109-Main!$G$77)^2+(Main!$M$109-Main!$H$77)^2)</f>
        <v>0</v>
      </c>
      <c r="N5" s="23">
        <f>(Main!$M$110-Main!$H$77)/SQRT((Main!$K$110-Main!$F$77)^2+(Main!$L$110-Main!$G$77)^2+(Main!$M$110-Main!$H$77)^2)</f>
        <v>-0.16997977361035735</v>
      </c>
      <c r="O5" s="7" t="s">
        <v>36</v>
      </c>
    </row>
    <row r="6" spans="1:17" ht="16" thickBot="1">
      <c r="D6" s="9" t="s">
        <v>70</v>
      </c>
      <c r="E6" s="9" t="s">
        <v>69</v>
      </c>
      <c r="F6" s="14" t="s">
        <v>61</v>
      </c>
      <c r="G6" s="17">
        <f>((Main!F$108+$D$2*(Main!F$112-Main!F$108)/12)+(Sumo4!$E$2+1)*((Main!F$110+$D$2*(Main!F$114-Main!F$110)/12)-(Main!F$108+$D$2*(Main!F$112-Main!F$108)/12))/16)+(Sumo4!$F$2+1)*((Main!F$109+$D$2*(Main!F$113-Main!F$109)/12)+(Sumo4!$E$2+1)*((Main!F$111+$D$2*(Main!F$115-Main!F$111)/12)-(Main!F$109+$D$2*(Main!F$113-Main!F$109)/12))/16-((Main!F$108+$D$2*(Main!F$112-Main!F$108)/12)+(Sumo4!$E$2+1)*((Main!F$110+$D$2*(Main!F$114-Main!F$110)/12)-(Main!F$108+$D$2*(Main!F$112-Main!F$108)/12))/16))/16</f>
        <v>-48.320226562499997</v>
      </c>
      <c r="H6" s="17">
        <f>((Main!G$108+$D$2*(Main!G$112-Main!G$108)/12)+(Sumo4!$E$2+1)*((Main!G$110+$D$2*(Main!G$114-Main!G$110)/12)-(Main!G$108+$D$2*(Main!G$112-Main!G$108)/12))/16)+(Sumo4!$F$2+1)*((Main!G$109+$D$2*(Main!G$113-Main!G$109)/12)+(Sumo4!$E$2+1)*((Main!G$111+$D$2*(Main!G$115-Main!G$111)/12)-(Main!G$109+$D$2*(Main!G$113-Main!G$109)/12))/16-((Main!G$108+$D$2*(Main!G$112-Main!G$108)/12)+(Sumo4!$E$2+1)*((Main!G$110+$D$2*(Main!G$114-Main!G$110)/12)-(Main!G$108+$D$2*(Main!G$112-Main!G$108)/12))/16))/16</f>
        <v>-74.049210937500007</v>
      </c>
      <c r="I6" s="17">
        <f>((Main!H$108+$D$2*(Main!H$112-Main!H$108)/12)+(Sumo4!$E$2+1)*((Main!H$110+$D$2*(Main!H$114-Main!H$110)/12)-(Main!H$108+$D$2*(Main!H$112-Main!H$108)/12))/16)+(Sumo4!$F$2+1)*((Main!H$109+$D$2*(Main!H$113-Main!H$109)/12)+(Sumo4!$E$2+1)*((Main!H$111+$D$2*(Main!H$115-Main!H$111)/12)-(Main!H$109+$D$2*(Main!H$113-Main!H$109)/12))/16-((Main!H$108+$D$2*(Main!H$112-Main!H$108)/12)+(Sumo4!$E$2+1)*((Main!H$110+$D$2*(Main!H$114-Main!H$110)/12)-(Main!H$108+$D$2*(Main!H$112-Main!H$108)/12))/16))/16</f>
        <v>334.875</v>
      </c>
      <c r="J6" s="18"/>
      <c r="K6" s="19"/>
      <c r="L6" s="19">
        <f>L3^2+L4^2+L5^2</f>
        <v>0.99999999999999989</v>
      </c>
      <c r="M6" s="19">
        <f>M3^2+M4^2+M5^2</f>
        <v>1</v>
      </c>
      <c r="N6" s="19">
        <f>N3^2+N4^2+N5^2</f>
        <v>1</v>
      </c>
    </row>
    <row r="7" spans="1:17" ht="16" thickBot="1">
      <c r="D7" s="9" t="s">
        <v>70</v>
      </c>
      <c r="E7" s="9" t="s">
        <v>69</v>
      </c>
      <c r="F7" s="14" t="s">
        <v>62</v>
      </c>
      <c r="G7" s="17">
        <f>((Main!F$108+($D$2+1)*(Main!F$112-Main!F$108)/12)+Sumo4!$E$2*((Main!F$110+($D$2+1)*(Main!F$114-Main!F$110)/12)-(Main!F$108+($D$2+1)*(Main!F$112-Main!F$108)/12))/16)+Sumo4!$F$2*((Main!F$109+($D$2+1)*(Main!F$113-Main!F$109)/12)+Sumo4!$E$2*((Main!F$111+($D$2+1)*(Main!F$115-Main!F$111)/12)-(Main!F$109+($D$2+1)*(Main!F$113-Main!F$109)/12))/16-((Main!F$108+($D$2+1)*(Main!F$112-Main!F$108)/12)+Sumo4!$E$2*((Main!F$110+($D$2+1)*(Main!F$114-Main!F$110)/12)-(Main!F$108+($D$2+1)*(Main!F$112-Main!F$108)/12))/16))/16</f>
        <v>-38.953499999999998</v>
      </c>
      <c r="H7" s="17">
        <f>((Main!G$108+($D$2+1)*(Main!G$112-Main!G$108)/12)+Sumo4!$E$2*((Main!G$110+($D$2+1)*(Main!G$114-Main!G$110)/12)-(Main!G$108+($D$2+1)*(Main!G$112-Main!G$108)/12))/16)+Sumo4!$F$2*((Main!G$109+($D$2+1)*(Main!G$113-Main!G$109)/12)+Sumo4!$E$2*((Main!G$111+($D$2+1)*(Main!G$115-Main!G$111)/12)-(Main!G$109+($D$2+1)*(Main!G$113-Main!G$109)/12))/16-((Main!G$108+($D$2+1)*(Main!G$112-Main!G$108)/12)+Sumo4!$E$2*((Main!G$110+($D$2+1)*(Main!G$114-Main!G$110)/12)-(Main!G$108+($D$2+1)*(Main!G$112-Main!G$108)/12))/16))/16</f>
        <v>-82.310250000000011</v>
      </c>
      <c r="I7" s="17">
        <f>((Main!H$108+($D$2+1)*(Main!H$112-Main!H$108)/12)+Sumo4!$E$2*((Main!H$110+($D$2+1)*(Main!H$114-Main!H$110)/12)-(Main!H$108+($D$2+1)*(Main!H$112-Main!H$108)/12))/16)+Sumo4!$F$2*((Main!H$109+($D$2+1)*(Main!H$113-Main!H$109)/12)+Sumo4!$E$2*((Main!H$111+($D$2+1)*(Main!H$115-Main!H$111)/12)-(Main!H$109+($D$2+1)*(Main!H$113-Main!H$109)/12))/16-((Main!H$108+($D$2+1)*(Main!H$112-Main!H$108)/12)+Sumo4!$E$2*((Main!H$110+($D$2+1)*(Main!H$114-Main!H$110)/12)-(Main!H$108+($D$2+1)*(Main!H$112-Main!H$108)/12))/16))/16</f>
        <v>354.5</v>
      </c>
      <c r="J7" s="18"/>
      <c r="K7" s="19"/>
      <c r="L7" s="19"/>
      <c r="M7" s="19"/>
      <c r="N7" s="19"/>
    </row>
    <row r="8" spans="1:17" ht="16" thickBot="1">
      <c r="D8" s="9" t="s">
        <v>70</v>
      </c>
      <c r="E8" s="9" t="s">
        <v>69</v>
      </c>
      <c r="F8" s="14" t="s">
        <v>63</v>
      </c>
      <c r="G8" s="17">
        <f>((Main!F$108+($D$2+1)*(Main!F$112-Main!F$108)/12)+Sumo4!$E$2*((Main!F$110+($D$2+1)*(Main!F$114-Main!F$110)/12)-(Main!F$108+($D$2+1)*(Main!F$112-Main!F$108)/12))/16)+(Sumo4!$F$2+1)*((Main!F$109+($D$2+1)*(Main!F$113-Main!F$109)/12)+Sumo4!$E$2*((Main!F$111+($D$2+1)*(Main!F$115-Main!F$111)/12)-(Main!F$109+($D$2+1)*(Main!F$113-Main!F$109)/12))/16-((Main!F$108+($D$2+1)*(Main!F$112-Main!F$108)/12)+Sumo4!$E$2*((Main!F$110+($D$2+1)*(Main!F$114-Main!F$110)/12)-(Main!F$108+($D$2+1)*(Main!F$112-Main!F$108)/12))/16))/16</f>
        <v>-39.313296874999999</v>
      </c>
      <c r="H8" s="17">
        <f>((Main!G$108+($D$2+1)*(Main!G$112-Main!G$108)/12)+Sumo4!$E$2*((Main!G$110+($D$2+1)*(Main!G$114-Main!G$110)/12)-(Main!G$108+($D$2+1)*(Main!G$112-Main!G$108)/12))/16)+(Sumo4!$F$2+1)*((Main!G$109+($D$2+1)*(Main!G$113-Main!G$109)/12)+Sumo4!$E$2*((Main!G$111+($D$2+1)*(Main!G$115-Main!G$111)/12)-(Main!G$109+($D$2+1)*(Main!G$113-Main!G$109)/12))/16-((Main!G$108+($D$2+1)*(Main!G$112-Main!G$108)/12)+Sumo4!$E$2*((Main!G$110+($D$2+1)*(Main!G$114-Main!G$110)/12)-(Main!G$108+($D$2+1)*(Main!G$112-Main!G$108)/12))/16))/16</f>
        <v>-83.666312500000004</v>
      </c>
      <c r="I8" s="17">
        <f>((Main!H$108+($D$2+1)*(Main!H$112-Main!H$108)/12)+Sumo4!$E$2*((Main!H$110+($D$2+1)*(Main!H$114-Main!H$110)/12)-(Main!H$108+($D$2+1)*(Main!H$112-Main!H$108)/12))/16)+(Sumo4!$F$2+1)*((Main!H$109+($D$2+1)*(Main!H$113-Main!H$109)/12)+Sumo4!$E$2*((Main!H$111+($D$2+1)*(Main!H$115-Main!H$111)/12)-(Main!H$109+($D$2+1)*(Main!H$113-Main!H$109)/12))/16-((Main!H$108+($D$2+1)*(Main!H$112-Main!H$108)/12)+Sumo4!$E$2*((Main!H$110+($D$2+1)*(Main!H$114-Main!H$110)/12)-(Main!H$108+($D$2+1)*(Main!H$112-Main!H$108)/12))/16))/16</f>
        <v>334.875</v>
      </c>
      <c r="J8" s="18"/>
      <c r="K8" s="19"/>
      <c r="L8" s="19"/>
      <c r="M8" s="19"/>
      <c r="N8" s="19"/>
    </row>
    <row r="9" spans="1:17" ht="16" thickBot="1">
      <c r="D9" s="9" t="s">
        <v>70</v>
      </c>
      <c r="E9" s="9" t="s">
        <v>69</v>
      </c>
      <c r="F9" s="14" t="s">
        <v>64</v>
      </c>
      <c r="G9" s="17">
        <f>((Main!F$108+($D$2+1)*(Main!F$112-Main!F$108)/12)+(Sumo4!$E$2+1)*((Main!F$110+($D$2+1)*(Main!F$114-Main!F$110)/12)-(Main!F$108+($D$2+1)*(Main!F$112-Main!F$108)/12))/16)+Sumo4!$F$2*((Main!F$109+($D$2+1)*(Main!F$113-Main!F$109)/12)+(Sumo4!$E$2+1)*((Main!F$111+($D$2+1)*(Main!F$115-Main!F$111)/12)-(Main!F$109+($D$2+1)*(Main!F$113-Main!F$109)/12))/16-((Main!F$108+($D$2+1)*(Main!F$112-Main!F$108)/12)+(Sumo4!$E$2+1)*((Main!F$110+($D$2+1)*(Main!F$114-Main!F$110)/12)-(Main!F$108+($D$2+1)*(Main!F$112-Main!F$108)/12))/16))/16</f>
        <v>-39.807416666666668</v>
      </c>
      <c r="H9" s="17">
        <f>((Main!G$108+($D$2+1)*(Main!G$112-Main!G$108)/12)+(Sumo4!$E$2+1)*((Main!G$110+($D$2+1)*(Main!G$114-Main!G$110)/12)-(Main!G$108+($D$2+1)*(Main!G$112-Main!G$108)/12))/16)+Sumo4!$F$2*((Main!G$109+($D$2+1)*(Main!G$113-Main!G$109)/12)+(Sumo4!$E$2+1)*((Main!G$111+($D$2+1)*(Main!G$115-Main!G$111)/12)-(Main!G$109+($D$2+1)*(Main!G$113-Main!G$109)/12))/16-((Main!G$108+($D$2+1)*(Main!G$112-Main!G$108)/12)+(Sumo4!$E$2+1)*((Main!G$110+($D$2+1)*(Main!G$114-Main!G$110)/12)-(Main!G$108+($D$2+1)*(Main!G$112-Main!G$108)/12))/16))/16</f>
        <v>-72.517020833333348</v>
      </c>
      <c r="I9" s="17">
        <f>((Main!H$108+($D$2+1)*(Main!H$112-Main!H$108)/12)+(Sumo4!$E$2+1)*((Main!H$110+($D$2+1)*(Main!H$114-Main!H$110)/12)-(Main!H$108+($D$2+1)*(Main!H$112-Main!H$108)/12))/16)+Sumo4!$F$2*((Main!H$109+($D$2+1)*(Main!H$113-Main!H$109)/12)+(Sumo4!$E$2+1)*((Main!H$111+($D$2+1)*(Main!H$115-Main!H$111)/12)-(Main!H$109+($D$2+1)*(Main!H$113-Main!H$109)/12))/16-((Main!H$108+($D$2+1)*(Main!H$112-Main!H$108)/12)+(Sumo4!$E$2+1)*((Main!H$110+($D$2+1)*(Main!H$114-Main!H$110)/12)-(Main!H$108+($D$2+1)*(Main!H$112-Main!H$108)/12))/16))/16</f>
        <v>354.5</v>
      </c>
      <c r="J9" s="18"/>
      <c r="K9" s="19"/>
      <c r="L9" s="19"/>
      <c r="M9" s="19"/>
      <c r="N9" s="19"/>
    </row>
    <row r="10" spans="1:17" ht="16" thickBot="1">
      <c r="D10" s="9" t="s">
        <v>70</v>
      </c>
      <c r="E10" s="9" t="s">
        <v>69</v>
      </c>
      <c r="F10" s="14" t="s">
        <v>65</v>
      </c>
      <c r="G10" s="17">
        <f>((Main!F$108+($D$2+1)*(Main!F$112-Main!F$108)/12)+(Sumo4!$E$2+1)*((Main!F$110+($D$2+1)*(Main!F$114-Main!F$110)/12)-(Main!F$108+($D$2+1)*(Main!F$112-Main!F$108)/12))/16)+(Sumo4!$F$2+1)*((Main!F$109+($D$2+1)*(Main!F$113-Main!F$109)/12)+(Sumo4!$E$2+1)*((Main!F$111+($D$2+1)*(Main!F$115-Main!F$111)/12)-(Main!F$109+($D$2+1)*(Main!F$113-Main!F$109)/12))/16-((Main!F$108+($D$2+1)*(Main!F$112-Main!F$108)/12)+(Sumo4!$E$2+1)*((Main!F$110+($D$2+1)*(Main!F$114-Main!F$110)/12)-(Main!F$108+($D$2+1)*(Main!F$112-Main!F$108)/12))/16))/16</f>
        <v>-40.181462565104169</v>
      </c>
      <c r="H10" s="17">
        <f>((Main!G$108+($D$2+1)*(Main!G$112-Main!G$108)/12)+(Sumo4!$E$2+1)*((Main!G$110+($D$2+1)*(Main!G$114-Main!G$110)/12)-(Main!G$108+($D$2+1)*(Main!G$112-Main!G$108)/12))/16)+(Sumo4!$F$2+1)*((Main!G$109+($D$2+1)*(Main!G$113-Main!G$109)/12)+(Sumo4!$E$2+1)*((Main!G$111+($D$2+1)*(Main!G$115-Main!G$111)/12)-(Main!G$109+($D$2+1)*(Main!G$113-Main!G$109)/12))/16-((Main!G$108+($D$2+1)*(Main!G$112-Main!G$108)/12)+(Sumo4!$E$2+1)*((Main!G$110+($D$2+1)*(Main!G$114-Main!G$110)/12)-(Main!G$108+($D$2+1)*(Main!G$112-Main!G$108)/12))/16))/16</f>
        <v>-73.709842773437515</v>
      </c>
      <c r="I10" s="17">
        <f>((Main!H$108+($D$2+1)*(Main!H$112-Main!H$108)/12)+(Sumo4!$E$2+1)*((Main!H$110+($D$2+1)*(Main!H$114-Main!H$110)/12)-(Main!H$108+($D$2+1)*(Main!H$112-Main!H$108)/12))/16)+(Sumo4!$F$2+1)*((Main!H$109+($D$2+1)*(Main!H$113-Main!H$109)/12)+(Sumo4!$E$2+1)*((Main!H$111+($D$2+1)*(Main!H$115-Main!H$111)/12)-(Main!H$109+($D$2+1)*(Main!H$113-Main!H$109)/12))/16-((Main!H$108+($D$2+1)*(Main!H$112-Main!H$108)/12)+(Sumo4!$E$2+1)*((Main!H$110+($D$2+1)*(Main!H$114-Main!H$110)/12)-(Main!H$108+($D$2+1)*(Main!H$112-Main!H$108)/12))/16))/16</f>
        <v>334.875</v>
      </c>
      <c r="J10" s="18"/>
      <c r="K10" s="19"/>
      <c r="L10" s="19"/>
      <c r="M10" s="19"/>
      <c r="N10" s="19"/>
    </row>
    <row r="11" spans="1:17">
      <c r="G11" s="19"/>
      <c r="H11" s="19"/>
      <c r="I11" s="19"/>
      <c r="J11" s="19"/>
      <c r="K11" s="19"/>
      <c r="L11" s="19"/>
      <c r="M11" s="19"/>
      <c r="N11" s="19"/>
    </row>
    <row r="12" spans="1:17">
      <c r="G12" s="19"/>
      <c r="H12" s="19"/>
      <c r="I12" s="19"/>
      <c r="J12" s="19"/>
      <c r="K12" s="19"/>
      <c r="L12" s="24" t="s">
        <v>47</v>
      </c>
      <c r="M12" s="24" t="s">
        <v>48</v>
      </c>
      <c r="N12" s="24"/>
      <c r="O12" s="8"/>
      <c r="P12" s="8"/>
      <c r="Q12" s="8"/>
    </row>
    <row r="13" spans="1:17" ht="14" thickBot="1">
      <c r="G13" s="31" t="s">
        <v>20</v>
      </c>
      <c r="H13" s="31" t="s">
        <v>21</v>
      </c>
      <c r="I13" s="31" t="s">
        <v>22</v>
      </c>
      <c r="J13" s="24" t="s">
        <v>49</v>
      </c>
      <c r="K13" s="19"/>
      <c r="L13" s="24" t="s">
        <v>20</v>
      </c>
      <c r="M13" s="24" t="s">
        <v>21</v>
      </c>
      <c r="N13" s="24" t="s">
        <v>22</v>
      </c>
      <c r="O13" s="8"/>
      <c r="P13" s="8"/>
      <c r="Q13" s="8"/>
    </row>
    <row r="14" spans="1:17" ht="29" thickBot="1">
      <c r="A14" t="s">
        <v>50</v>
      </c>
      <c r="D14" s="241" t="s">
        <v>96</v>
      </c>
      <c r="E14" s="242"/>
      <c r="F14" s="16" t="s">
        <v>68</v>
      </c>
      <c r="G14" s="25">
        <f>($L$3*$G2+$M$3*$H2+$N$3*$I2)+$L$14</f>
        <v>-1177.0915868905151</v>
      </c>
      <c r="H14" s="25">
        <f>($L$4*$G2+$M$4*$H2+$N$4*$I2)+$M$14</f>
        <v>474.5467209068363</v>
      </c>
      <c r="I14" s="26">
        <f t="shared" ref="I14:I22" si="1">($L$5*$G2+$M$5*$H2+$N$5*$I2)+$N$14</f>
        <v>41.05180873908693</v>
      </c>
      <c r="J14" s="19"/>
      <c r="K14" s="19"/>
      <c r="L14" s="27">
        <f>Main!F77</f>
        <v>-1488.915</v>
      </c>
      <c r="M14" s="27">
        <f>Main!G77</f>
        <v>645.83900000000006</v>
      </c>
      <c r="N14" s="27">
        <f>Main!H77</f>
        <v>56.701000000000001</v>
      </c>
    </row>
    <row r="15" spans="1:17" ht="15">
      <c r="F15" s="15" t="s">
        <v>58</v>
      </c>
      <c r="G15" s="28">
        <f t="shared" ref="G15:G22" si="2">($L$3*$G3+$M$3*$H3+$N$3*$I3)+$L$14</f>
        <v>-1168.4872983182468</v>
      </c>
      <c r="H15" s="28">
        <f t="shared" ref="H15:H22" si="3">($L$4*$G3+$M$4*$H3+$N$4*$I3)+$M$14</f>
        <v>467.47520963335489</v>
      </c>
      <c r="I15" s="28">
        <f t="shared" si="1"/>
        <v>42.615412857880642</v>
      </c>
      <c r="J15" s="19"/>
      <c r="K15" s="19"/>
      <c r="L15" s="19"/>
      <c r="M15" s="19"/>
      <c r="N15" s="19"/>
    </row>
    <row r="16" spans="1:17" ht="16" thickBot="1">
      <c r="A16" s="9" t="s">
        <v>72</v>
      </c>
      <c r="B16" s="9"/>
      <c r="C16" s="9"/>
      <c r="F16" s="12" t="s">
        <v>59</v>
      </c>
      <c r="G16" s="29">
        <f t="shared" si="2"/>
        <v>-1187.3756928933867</v>
      </c>
      <c r="H16" s="29">
        <f t="shared" si="3"/>
        <v>471.50598556164152</v>
      </c>
      <c r="I16" s="29">
        <f t="shared" si="1"/>
        <v>46.378291652899151</v>
      </c>
      <c r="J16" s="19"/>
      <c r="K16" s="19"/>
      <c r="L16" s="19"/>
      <c r="M16" s="19"/>
      <c r="N16" s="19"/>
    </row>
    <row r="17" spans="1:18" ht="16" thickBot="1">
      <c r="A17" s="9" t="s">
        <v>71</v>
      </c>
      <c r="B17" s="9"/>
      <c r="C17" s="9"/>
      <c r="F17" s="12" t="s">
        <v>60</v>
      </c>
      <c r="G17" s="29">
        <f t="shared" si="2"/>
        <v>-1165.6145609885248</v>
      </c>
      <c r="H17" s="29">
        <f t="shared" si="3"/>
        <v>476.81784177670954</v>
      </c>
      <c r="I17" s="29">
        <f t="shared" si="1"/>
        <v>43.618581499655576</v>
      </c>
      <c r="J17" s="19"/>
      <c r="K17" s="19"/>
      <c r="L17" s="83">
        <f>L14</f>
        <v>-1488.915</v>
      </c>
      <c r="M17" s="84">
        <f>M14*COS($G$40)+N14*SIN($G$40)</f>
        <v>647.92140115129041</v>
      </c>
      <c r="N17" s="85">
        <f>-M14*SIN($G$40)+N14*COS($G$40)</f>
        <v>22.822691606132487</v>
      </c>
      <c r="O17" s="86" t="s">
        <v>110</v>
      </c>
      <c r="P17" s="82"/>
      <c r="Q17" s="81"/>
    </row>
    <row r="18" spans="1:18" ht="15">
      <c r="F18" s="12" t="s">
        <v>61</v>
      </c>
      <c r="G18" s="29">
        <f t="shared" si="2"/>
        <v>-1184.4550481376987</v>
      </c>
      <c r="H18" s="29">
        <f t="shared" si="3"/>
        <v>481.0044203111816</v>
      </c>
      <c r="I18" s="29">
        <f t="shared" si="1"/>
        <v>47.39819055084908</v>
      </c>
      <c r="J18" s="19"/>
      <c r="K18" s="19"/>
      <c r="L18" s="19"/>
      <c r="M18" s="19"/>
      <c r="N18" s="19"/>
    </row>
    <row r="19" spans="1:18" ht="15">
      <c r="F19" s="12" t="s">
        <v>62</v>
      </c>
      <c r="G19" s="29">
        <f t="shared" si="2"/>
        <v>-1169.6879442759105</v>
      </c>
      <c r="H19" s="29">
        <f t="shared" si="3"/>
        <v>468.15002215739361</v>
      </c>
      <c r="I19" s="29">
        <f t="shared" si="1"/>
        <v>34.831509114223181</v>
      </c>
      <c r="J19" s="19"/>
      <c r="K19" s="19"/>
      <c r="L19" s="19"/>
      <c r="M19" s="19"/>
      <c r="N19" s="19"/>
    </row>
    <row r="20" spans="1:18" ht="15">
      <c r="F20" s="12" t="s">
        <v>63</v>
      </c>
      <c r="G20" s="29">
        <f t="shared" si="2"/>
        <v>-1188.5875142901364</v>
      </c>
      <c r="H20" s="29">
        <f t="shared" si="3"/>
        <v>472.18707762847754</v>
      </c>
      <c r="I20" s="29">
        <f t="shared" si="1"/>
        <v>38.521938893776124</v>
      </c>
      <c r="J20" s="19"/>
      <c r="K20" s="19"/>
      <c r="L20" s="19"/>
      <c r="M20" s="19"/>
      <c r="N20" s="19"/>
    </row>
    <row r="21" spans="1:18" ht="15">
      <c r="F21" s="12" t="s">
        <v>64</v>
      </c>
      <c r="G21" s="29">
        <f t="shared" si="2"/>
        <v>-1166.8363009697182</v>
      </c>
      <c r="H21" s="29">
        <f t="shared" si="3"/>
        <v>477.5199850902913</v>
      </c>
      <c r="I21" s="29">
        <f t="shared" si="1"/>
        <v>35.673036636972846</v>
      </c>
      <c r="J21" s="19"/>
      <c r="K21" s="19"/>
      <c r="L21" s="19"/>
      <c r="M21" s="19"/>
      <c r="N21" s="19"/>
    </row>
    <row r="22" spans="1:18" ht="15">
      <c r="F22" s="12" t="s">
        <v>65</v>
      </c>
      <c r="G22" s="29">
        <f t="shared" si="2"/>
        <v>-1185.6883352504997</v>
      </c>
      <c r="H22" s="29">
        <f t="shared" si="3"/>
        <v>481.71322509563993</v>
      </c>
      <c r="I22" s="29">
        <f t="shared" si="1"/>
        <v>39.377508706438881</v>
      </c>
      <c r="J22" s="19"/>
      <c r="K22" s="19"/>
      <c r="L22" s="19"/>
      <c r="M22" s="19"/>
      <c r="N22" s="19"/>
    </row>
    <row r="23" spans="1:18" ht="14" thickBot="1">
      <c r="K23" s="9"/>
      <c r="O23" s="9"/>
      <c r="R23" s="9"/>
    </row>
    <row r="24" spans="1:18" ht="15">
      <c r="D24" s="42" t="s">
        <v>94</v>
      </c>
      <c r="E24" s="56" t="s">
        <v>98</v>
      </c>
      <c r="F24" s="73"/>
      <c r="G24" s="76">
        <v>-1168.4872983182468</v>
      </c>
      <c r="H24" s="77">
        <v>467.47520963335489</v>
      </c>
      <c r="I24" s="78">
        <v>42.615412857880642</v>
      </c>
      <c r="J24" s="32" t="s">
        <v>85</v>
      </c>
      <c r="K24" s="163" t="s">
        <v>145</v>
      </c>
      <c r="L24" s="156">
        <f>SQRT((G24-G26)^2+(H26-H24)^2+(I26-I24)^2)</f>
        <v>157.21068051693797</v>
      </c>
      <c r="M24" s="32"/>
      <c r="O24" s="19"/>
      <c r="P24" s="19"/>
      <c r="Q24" s="19"/>
    </row>
    <row r="25" spans="1:18" ht="16" thickBot="1">
      <c r="D25" s="43" t="s">
        <v>78</v>
      </c>
      <c r="E25" s="57" t="s">
        <v>99</v>
      </c>
      <c r="F25" s="74"/>
      <c r="G25" s="71">
        <v>-1182.8950498102092</v>
      </c>
      <c r="H25" s="70">
        <v>475.5729599218194</v>
      </c>
      <c r="I25" s="72">
        <v>-50.791432066008845</v>
      </c>
      <c r="J25" s="32" t="s">
        <v>86</v>
      </c>
      <c r="K25" s="163" t="s">
        <v>146</v>
      </c>
      <c r="L25" s="19">
        <f>SQRT((G30-G28)^2+(H30-H28)^2+(I30-I28)^2)</f>
        <v>199.15835262669117</v>
      </c>
      <c r="M25" s="32"/>
      <c r="O25" s="19"/>
      <c r="P25" s="19"/>
      <c r="Q25" s="19"/>
    </row>
    <row r="26" spans="1:18" ht="15">
      <c r="D26" s="9" t="s">
        <v>97</v>
      </c>
      <c r="E26" s="57" t="s">
        <v>101</v>
      </c>
      <c r="F26" s="74"/>
      <c r="G26" s="71">
        <v>-1122.5235010426918</v>
      </c>
      <c r="H26" s="70">
        <v>616.95732392702962</v>
      </c>
      <c r="I26" s="72">
        <v>58.666111126279581</v>
      </c>
      <c r="J26" s="32" t="s">
        <v>87</v>
      </c>
      <c r="K26" s="163" t="s">
        <v>147</v>
      </c>
      <c r="L26" s="19">
        <f>SQRT((G30-G26)^2+(H30-H26)^2+(I30-I26)^2)</f>
        <v>314.84056876570992</v>
      </c>
      <c r="M26" s="32"/>
      <c r="O26" s="19"/>
      <c r="P26" s="19"/>
      <c r="Q26" s="19"/>
    </row>
    <row r="27" spans="1:18" ht="15">
      <c r="E27" s="57" t="s">
        <v>100</v>
      </c>
      <c r="F27" s="74"/>
      <c r="G27" s="71">
        <v>-1140.9813050524235</v>
      </c>
      <c r="H27" s="70">
        <v>630.30258580775876</v>
      </c>
      <c r="I27" s="72">
        <v>-65.775828650463069</v>
      </c>
      <c r="J27" s="32" t="s">
        <v>88</v>
      </c>
      <c r="K27" s="163" t="s">
        <v>149</v>
      </c>
      <c r="L27" s="19">
        <f>SQRT((G27-G26)^2+(H27-H26)^2+(I27-I26)^2)</f>
        <v>126.5092206873687</v>
      </c>
      <c r="M27" s="32"/>
      <c r="O27" s="19"/>
      <c r="P27" s="19"/>
      <c r="Q27" s="19"/>
    </row>
    <row r="28" spans="1:18" ht="15">
      <c r="E28" s="57" t="s">
        <v>102</v>
      </c>
      <c r="F28" s="74"/>
      <c r="G28" s="71">
        <v>-1470.7016115204842</v>
      </c>
      <c r="H28" s="70">
        <v>531.96762448594063</v>
      </c>
      <c r="I28" s="72">
        <v>102.82147357817678</v>
      </c>
      <c r="J28" s="32" t="s">
        <v>89</v>
      </c>
      <c r="K28" s="163" t="s">
        <v>148</v>
      </c>
      <c r="L28" s="19">
        <f>SQRT((G24-G25)^2+(H24-H25)^2+(I24-I25)^2)</f>
        <v>94.857764792472381</v>
      </c>
      <c r="M28" s="32"/>
      <c r="O28" s="19"/>
      <c r="P28" s="19"/>
      <c r="Q28" s="19"/>
    </row>
    <row r="29" spans="1:18" ht="15">
      <c r="E29" s="57" t="s">
        <v>103</v>
      </c>
      <c r="F29" s="74"/>
      <c r="G29" s="71">
        <v>-1487.2550473169922</v>
      </c>
      <c r="H29" s="70">
        <v>541.27104699148913</v>
      </c>
      <c r="I29" s="72">
        <v>-4.4955823151024603</v>
      </c>
      <c r="J29" s="32" t="s">
        <v>90</v>
      </c>
      <c r="K29" s="163" t="s">
        <v>150</v>
      </c>
      <c r="L29" s="18">
        <f>SQRT((G31-G30)^2+(H31-H30)^2+(I31-I30)^2)</f>
        <v>149.04522850879388</v>
      </c>
      <c r="M29" s="32"/>
      <c r="O29" s="19"/>
      <c r="P29" s="19"/>
      <c r="Q29" s="19"/>
    </row>
    <row r="30" spans="1:18">
      <c r="E30" s="40" t="s">
        <v>107</v>
      </c>
      <c r="F30" s="74"/>
      <c r="G30" s="71">
        <v>-1412.4735131976854</v>
      </c>
      <c r="H30" s="70">
        <v>721.33520596308244</v>
      </c>
      <c r="I30" s="72">
        <v>123.15511742737402</v>
      </c>
      <c r="J30" s="32" t="s">
        <v>91</v>
      </c>
      <c r="K30" s="163" t="s">
        <v>151</v>
      </c>
      <c r="L30" s="19">
        <f>SQRT((G28-G29)^2+(H29-H28)^2+(I29-I28)^2)</f>
        <v>108.98403732926707</v>
      </c>
      <c r="M30" s="32"/>
      <c r="O30" s="19"/>
      <c r="P30" s="19"/>
      <c r="Q30" s="19"/>
    </row>
    <row r="31" spans="1:18" ht="14" thickBot="1">
      <c r="E31" s="41" t="s">
        <v>104</v>
      </c>
      <c r="F31" s="75"/>
      <c r="G31" s="65">
        <v>-1434.2188409369292</v>
      </c>
      <c r="H31" s="39">
        <v>737.05942312048023</v>
      </c>
      <c r="I31" s="66">
        <v>-23.454465675295161</v>
      </c>
      <c r="J31" s="32" t="s">
        <v>92</v>
      </c>
      <c r="K31" s="32"/>
      <c r="L31" s="32"/>
      <c r="M31" s="32"/>
      <c r="O31" s="19"/>
      <c r="P31" s="19"/>
      <c r="Q31" s="19"/>
    </row>
    <row r="39" spans="1:9">
      <c r="F39" s="81" t="s">
        <v>111</v>
      </c>
      <c r="G39" s="82">
        <f>Main!$J$73</f>
        <v>-3</v>
      </c>
    </row>
    <row r="40" spans="1:9" ht="14" thickBot="1">
      <c r="F40" s="81" t="s">
        <v>108</v>
      </c>
      <c r="G40" s="81">
        <f>(18-$C$2)*PI()/15-(G39*PI()/180)</f>
        <v>5.2359877559829883E-2</v>
      </c>
      <c r="H40" s="9"/>
    </row>
    <row r="41" spans="1:9" ht="29" thickBot="1">
      <c r="A41" s="9"/>
      <c r="B41" s="9"/>
      <c r="D41" s="243" t="s">
        <v>105</v>
      </c>
      <c r="E41" s="244"/>
      <c r="F41" s="34" t="s">
        <v>68</v>
      </c>
      <c r="G41" s="35">
        <f>(($L$3*$G2+$M$3*$H2+$N$3*$I2)+$L$14)*(-1)^($B$2)</f>
        <v>-1177.0915868905151</v>
      </c>
      <c r="H41" s="35">
        <f t="shared" ref="H41:H49" si="4">((($L$4*$G2+$M$4*$H2+$N$4*$I2)+$M$14)*COS($G$40) + (($L$5*$G2+$M$5*$H2+$N$5*$I2)+$N$14)*SIN($G$40))</f>
        <v>476.04485678436509</v>
      </c>
      <c r="I41" s="36">
        <f t="shared" ref="I41:I49" si="5" xml:space="preserve"> - (($L$4*$G2+$M$4*$H2+$N$4*$I2)+$M$14)*SIN($G$40) + (($L$5*$G2+$M$5*$H2+$N$5*$I2)+$N$14)*COS($G$40)*(-1)^($B$2)</f>
        <v>16.159692241335467</v>
      </c>
    </row>
    <row r="42" spans="1:9" ht="16" thickBot="1">
      <c r="A42" s="9"/>
      <c r="D42" s="245"/>
      <c r="E42" s="246"/>
      <c r="F42" s="37" t="s">
        <v>58</v>
      </c>
      <c r="G42" s="35">
        <f t="shared" ref="G42:G49" si="6">(($L$3*$G3+$M$3*$H3+$N$3*$I3)+$L$14)*(-1)^($B$2)</f>
        <v>-1168.4872983182468</v>
      </c>
      <c r="H42" s="35">
        <f t="shared" si="4"/>
        <v>469.06486948805912</v>
      </c>
      <c r="I42" s="36">
        <f t="shared" si="5"/>
        <v>18.091247799607171</v>
      </c>
    </row>
    <row r="43" spans="1:9" ht="16" thickBot="1">
      <c r="D43" s="247"/>
      <c r="E43" s="248"/>
      <c r="F43" s="38" t="s">
        <v>59</v>
      </c>
      <c r="G43" s="35">
        <f t="shared" si="6"/>
        <v>-1187.3756928933867</v>
      </c>
      <c r="H43" s="35">
        <f t="shared" si="4"/>
        <v>473.28705523798749</v>
      </c>
      <c r="I43" s="36">
        <f t="shared" si="5"/>
        <v>21.638015187406442</v>
      </c>
    </row>
    <row r="44" spans="1:9" ht="16" thickBot="1">
      <c r="F44" s="38" t="s">
        <v>60</v>
      </c>
      <c r="G44" s="35">
        <f t="shared" si="6"/>
        <v>-1165.6145609885248</v>
      </c>
      <c r="H44" s="35">
        <f t="shared" si="4"/>
        <v>478.44719966890068</v>
      </c>
      <c r="I44" s="36">
        <f t="shared" si="5"/>
        <v>18.604086046574725</v>
      </c>
    </row>
    <row r="45" spans="1:9" ht="16" thickBot="1">
      <c r="D45" s="249" t="s">
        <v>106</v>
      </c>
      <c r="E45" s="250"/>
      <c r="F45" s="38" t="s">
        <v>61</v>
      </c>
      <c r="G45" s="35">
        <f t="shared" si="6"/>
        <v>-1184.4550481376987</v>
      </c>
      <c r="H45" s="35">
        <f t="shared" si="4"/>
        <v>482.82585009691269</v>
      </c>
      <c r="I45" s="36">
        <f t="shared" si="5"/>
        <v>22.159406683934492</v>
      </c>
    </row>
    <row r="46" spans="1:9" ht="16" thickBot="1">
      <c r="D46" s="251"/>
      <c r="E46" s="250"/>
      <c r="F46" s="38" t="s">
        <v>62</v>
      </c>
      <c r="G46" s="35">
        <f t="shared" si="6"/>
        <v>-1169.6879442759105</v>
      </c>
      <c r="H46" s="35">
        <f t="shared" si="4"/>
        <v>469.33137915925914</v>
      </c>
      <c r="I46" s="36">
        <f t="shared" si="5"/>
        <v>10.282694666773857</v>
      </c>
    </row>
    <row r="47" spans="1:9" ht="16" thickBot="1">
      <c r="D47" s="251" t="s">
        <v>81</v>
      </c>
      <c r="E47" s="250"/>
      <c r="F47" s="38" t="s">
        <v>63</v>
      </c>
      <c r="G47" s="35">
        <f t="shared" si="6"/>
        <v>-1188.5875142901364</v>
      </c>
      <c r="H47" s="35">
        <f t="shared" si="4"/>
        <v>473.55604415758637</v>
      </c>
      <c r="I47" s="36">
        <f t="shared" si="5"/>
        <v>13.756783682088251</v>
      </c>
    </row>
    <row r="48" spans="1:9" ht="16" thickBot="1">
      <c r="D48" s="251"/>
      <c r="E48" s="250"/>
      <c r="F48" s="38" t="s">
        <v>64</v>
      </c>
      <c r="G48" s="35">
        <f t="shared" si="6"/>
        <v>-1166.8363009697182</v>
      </c>
      <c r="H48" s="35">
        <f t="shared" si="4"/>
        <v>478.73254303121422</v>
      </c>
      <c r="I48" s="36">
        <f t="shared" si="5"/>
        <v>10.632682935246383</v>
      </c>
    </row>
    <row r="49" spans="6:9" ht="16" thickBot="1">
      <c r="F49" s="38" t="s">
        <v>65</v>
      </c>
      <c r="G49" s="35">
        <f t="shared" si="6"/>
        <v>-1185.6883352504997</v>
      </c>
      <c r="H49" s="35">
        <f t="shared" si="4"/>
        <v>483.11391343500054</v>
      </c>
      <c r="I49" s="36">
        <f t="shared" si="5"/>
        <v>14.112620929052479</v>
      </c>
    </row>
  </sheetData>
  <mergeCells count="4">
    <mergeCell ref="D14:E14"/>
    <mergeCell ref="D41:E43"/>
    <mergeCell ref="D45:E46"/>
    <mergeCell ref="D47:E48"/>
  </mergeCells>
  <pageMargins left="0.7" right="0.7" top="0.78749999999999998" bottom="0.78749999999999998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"/>
  <sheetViews>
    <sheetView topLeftCell="C1" workbookViewId="0">
      <selection activeCell="G29" sqref="G29:H29"/>
    </sheetView>
  </sheetViews>
  <sheetFormatPr baseColWidth="10" defaultColWidth="9" defaultRowHeight="13"/>
  <cols>
    <col min="1" max="1" width="21.83203125" customWidth="1"/>
    <col min="2" max="3" width="23.83203125" customWidth="1"/>
    <col min="4" max="4" width="20.5" customWidth="1"/>
    <col min="5" max="5" width="15.83203125" customWidth="1"/>
    <col min="6" max="6" width="17.1640625" customWidth="1"/>
    <col min="7" max="9" width="10"/>
    <col min="10" max="10" width="48.5" customWidth="1"/>
    <col min="11" max="258" width="10" customWidth="1"/>
  </cols>
  <sheetData>
    <row r="1" spans="1:17" ht="28">
      <c r="A1" s="1" t="s">
        <v>28</v>
      </c>
      <c r="B1" s="10" t="s">
        <v>80</v>
      </c>
      <c r="C1" s="10" t="s">
        <v>79</v>
      </c>
      <c r="D1" s="10" t="s">
        <v>84</v>
      </c>
      <c r="E1" s="10" t="s">
        <v>66</v>
      </c>
      <c r="F1" s="10" t="s">
        <v>67</v>
      </c>
      <c r="G1" s="1" t="s">
        <v>51</v>
      </c>
      <c r="H1" s="1" t="s">
        <v>52</v>
      </c>
      <c r="I1" s="1" t="s">
        <v>53</v>
      </c>
      <c r="J1" s="2" t="s">
        <v>41</v>
      </c>
      <c r="L1" s="3" t="s">
        <v>42</v>
      </c>
      <c r="M1" s="4"/>
      <c r="N1" s="4"/>
      <c r="O1" s="8"/>
      <c r="P1" s="8"/>
    </row>
    <row r="2" spans="1:17" ht="14" thickBot="1">
      <c r="A2" s="5" t="s">
        <v>56</v>
      </c>
      <c r="B2" s="33">
        <v>0</v>
      </c>
      <c r="C2" s="33">
        <v>18</v>
      </c>
      <c r="D2" s="6">
        <v>0</v>
      </c>
      <c r="E2" s="6">
        <v>0</v>
      </c>
      <c r="F2" s="6">
        <v>0</v>
      </c>
      <c r="G2" s="17">
        <f>SUM(G3:G10)/8</f>
        <v>-61.591511718749999</v>
      </c>
      <c r="H2" s="17">
        <f t="shared" ref="H2:I2" si="0">SUM(H3:H10)/8</f>
        <v>-82.343545227050782</v>
      </c>
      <c r="I2" s="17">
        <f t="shared" si="0"/>
        <v>359.21875</v>
      </c>
      <c r="J2" s="18" t="s">
        <v>73</v>
      </c>
      <c r="K2" s="19"/>
      <c r="L2" s="20" t="s">
        <v>43</v>
      </c>
      <c r="M2" s="20" t="s">
        <v>44</v>
      </c>
      <c r="N2" s="20" t="s">
        <v>45</v>
      </c>
    </row>
    <row r="3" spans="1:17" ht="16" thickBot="1">
      <c r="A3" t="s">
        <v>46</v>
      </c>
      <c r="D3" s="9" t="s">
        <v>70</v>
      </c>
      <c r="E3" s="9" t="s">
        <v>69</v>
      </c>
      <c r="F3" s="13" t="s">
        <v>58</v>
      </c>
      <c r="G3" s="17">
        <f>((Main!F$117+$D$2*(Main!F$121-Main!F$117)/16)+Sumo5!$E$2*((Main!F$119+$D$2*(Main!F$123-Main!F$119)/16)-(Main!F$117+$D$2*(Main!F$121-Main!F$117)/16))/16)+Sumo5!$F$2*((Main!F$118+$D$2*(Main!F$122-Main!F$118)/16)+Sumo5!$E$2*((Main!F$120+$D$2*(Main!F$124-Main!F$120)/16)-(Main!F$118+$D$2*(Main!F$122-Main!F$118)/16))/16-((Main!F$117+$D$2*(Main!F$121-Main!F$117)/16)+Sumo5!$E$2*((Main!F$119+$D$2*(Main!F$123-Main!F$119)/16)-(Main!F$117+$D$2*(Main!F$121-Main!F$117)/16))/16))/16</f>
        <v>-64.906000000000006</v>
      </c>
      <c r="H3" s="17">
        <f>((Main!G$117+$D$2*(Main!G$121-Main!G$117)/16)+Sumo5!$E$2*((Main!G$119+$D$2*(Main!G$123-Main!G$119)/16)-(Main!G$117+$D$2*(Main!G$121-Main!G$117)/16))/16)+Sumo5!$F$2*((Main!G$118+$D$2*(Main!G$122-Main!G$118)/16)+Sumo5!$E$2*((Main!G$120+$D$2*(Main!G$124-Main!G$120)/16)-(Main!G$118+$D$2*(Main!G$122-Main!G$118)/16))/16-((Main!G$117+$D$2*(Main!G$121-Main!G$117)/16)+Sumo5!$E$2*((Main!G$119+$D$2*(Main!G$123-Main!G$119)/16)-(Main!G$117+$D$2*(Main!G$121-Main!G$117)/16))/16))/16</f>
        <v>-87.114999999999995</v>
      </c>
      <c r="I3" s="17">
        <f>((Main!H$117+$D$2*(Main!H$121-Main!H$117)/16)+Sumo5!$E$2*((Main!H$119+$D$2*(Main!H$123-Main!H$119)/16)-(Main!H$117+$D$2*(Main!H$121-Main!H$117)/16))/16)+Sumo5!$F$2*((Main!H$118+$D$2*(Main!H$122-Main!H$118)/16)+Sumo5!$E$2*((Main!H$120+$D$2*(Main!H$124-Main!H$120)/16)-(Main!H$118+$D$2*(Main!H$122-Main!H$118)/16))/16-((Main!H$117+$D$2*(Main!H$121-Main!H$117)/16)+Sumo5!$E$2*((Main!H$119+$D$2*(Main!H$123-Main!H$119)/16)-(Main!H$117+$D$2*(Main!H$121-Main!H$117)/16))/16))/16</f>
        <v>369.5</v>
      </c>
      <c r="J3" s="18"/>
      <c r="K3" s="21" t="s">
        <v>20</v>
      </c>
      <c r="L3" s="22">
        <f>(Main!$K$117-Main!$F$78)/SQRT((Main!$K$117-Main!$F$78)^2+(Main!$L$117-Main!$G$78)^2+(Main!$M$117-Main!$H$78)^2)</f>
        <v>-0.16504332956172571</v>
      </c>
      <c r="M3" s="17">
        <f>(Main!$K$118-Main!$F$78)/SQRT((Main!$K$118-Main!$F$78)^2+(Main!$L$118-Main!$G$78)^2+(Main!$M$118-Main!$H$78)^2)</f>
        <v>0.39717419908795309</v>
      </c>
      <c r="N3" s="23">
        <f>(Main!$K$119-Main!$F$78)/SQRT((Main!$K$119-Main!$F$78)^2+(Main!$L$119-Main!$G$78)^2+(Main!$M$119-Main!$H$78)^2)</f>
        <v>0.90264533006425707</v>
      </c>
      <c r="O3" s="7" t="s">
        <v>34</v>
      </c>
    </row>
    <row r="4" spans="1:17" ht="16" thickBot="1">
      <c r="D4" s="9" t="s">
        <v>70</v>
      </c>
      <c r="E4" s="9" t="s">
        <v>69</v>
      </c>
      <c r="F4" s="14" t="s">
        <v>59</v>
      </c>
      <c r="G4" s="17">
        <f>((Main!F$117+$D$2*(Main!F$121-Main!F$117)/16)+Sumo5!$E$2*((Main!F$119+$D$2*(Main!F$123-Main!F$119)/16)-(Main!F$117+$D$2*(Main!F$121-Main!F$117)/16))/16)+(Sumo5!$F$2+1)*((Main!F$118+$D$2*(Main!F$122-Main!F$118)/16)+Sumo5!$E$2*((Main!F$120+$D$2*(Main!F$124-Main!F$120)/16)-(Main!F$118+$D$2*(Main!F$122-Main!F$118)/16))/16-((Main!F$117+$D$2*(Main!F$121-Main!F$117)/16)+Sumo5!$E$2*((Main!F$119+$D$2*(Main!F$123-Main!F$119)/16)-(Main!F$117+$D$2*(Main!F$121-Main!F$117)/16))/16))/16</f>
        <v>-65.627812500000005</v>
      </c>
      <c r="H4" s="17">
        <f>((Main!G$117+$D$2*(Main!G$121-Main!G$117)/16)+Sumo5!$E$2*((Main!G$119+$D$2*(Main!G$123-Main!G$119)/16)-(Main!G$117+$D$2*(Main!G$121-Main!G$117)/16))/16)+(Sumo5!$F$2+1)*((Main!G$118+$D$2*(Main!G$122-Main!G$118)/16)+Sumo5!$E$2*((Main!G$120+$D$2*(Main!G$124-Main!G$120)/16)-(Main!G$118+$D$2*(Main!G$122-Main!G$118)/16))/16-((Main!G$117+$D$2*(Main!G$121-Main!G$117)/16)+Sumo5!$E$2*((Main!G$119+$D$2*(Main!G$123-Main!G$119)/16)-(Main!G$117+$D$2*(Main!G$121-Main!G$117)/16))/16))/16</f>
        <v>-88.5048125</v>
      </c>
      <c r="I4" s="17">
        <f>((Main!H$117+$D$2*(Main!H$121-Main!H$117)/16)+Sumo5!$E$2*((Main!H$119+$D$2*(Main!H$123-Main!H$119)/16)-(Main!H$117+$D$2*(Main!H$121-Main!H$117)/16))/16)+(Sumo5!$F$2+1)*((Main!H$118+$D$2*(Main!H$122-Main!H$118)/16)+Sumo5!$E$2*((Main!H$120+$D$2*(Main!H$124-Main!H$120)/16)-(Main!H$118+$D$2*(Main!H$122-Main!H$118)/16))/16-((Main!H$117+$D$2*(Main!H$121-Main!H$117)/16)+Sumo5!$E$2*((Main!H$119+$D$2*(Main!H$123-Main!H$119)/16)-(Main!H$117+$D$2*(Main!H$121-Main!H$117)/16))/16))/16</f>
        <v>348.9375</v>
      </c>
      <c r="J4" s="18"/>
      <c r="K4" s="21" t="s">
        <v>21</v>
      </c>
      <c r="L4" s="22">
        <f>(Main!$L$117-Main!$G$78)/SQRT((Main!$K$117-Main!$F$78)^2+(Main!$L$117-Main!$G$78)^2+(Main!$M$117-Main!$H$78)^2)</f>
        <v>4.501181715328062E-2</v>
      </c>
      <c r="M4" s="17">
        <f>(Main!$L$118-Main!$G$78)/SQRT((Main!$K$118-Main!$F$78)^2+(Main!$L$118-Main!$G$78)^2+(Main!$M$118-Main!$H$78)^2)</f>
        <v>0.91740236917762319</v>
      </c>
      <c r="N4" s="23">
        <f>(Main!$L$119-Main!$G$78)/SQRT((Main!$K$119-Main!$F$78)^2+(Main!$L$119-Main!$G$78)^2+(Main!$M$119-Main!$H$78)^2)</f>
        <v>-0.39584446368261367</v>
      </c>
      <c r="O4" s="7" t="s">
        <v>35</v>
      </c>
    </row>
    <row r="5" spans="1:17" ht="16" thickBot="1">
      <c r="D5" s="9" t="s">
        <v>70</v>
      </c>
      <c r="E5" s="9" t="s">
        <v>69</v>
      </c>
      <c r="F5" s="14" t="s">
        <v>60</v>
      </c>
      <c r="G5" s="17">
        <f>((Main!F$117+$D$2*(Main!F$121-Main!F$117)/16)+(Sumo5!$E$2+1)*((Main!F$119+$D$2*(Main!F$123-Main!F$119)/16)-(Main!F$117+$D$2*(Main!F$121-Main!F$117)/16))/16)+Sumo5!$F$2*((Main!F$118+$D$2*(Main!F$122-Main!F$118)/16)+(Sumo5!$E$2+1)*((Main!F$120+$D$2*(Main!F$124-Main!F$120)/16)-(Main!F$118+$D$2*(Main!F$122-Main!F$118)/16))/16-((Main!F$117+$D$2*(Main!F$121-Main!F$117)/16)+(Sumo5!$E$2+1)*((Main!F$119+$D$2*(Main!F$123-Main!F$119)/16)-(Main!F$117+$D$2*(Main!F$121-Main!F$117)/16))/16))/16</f>
        <v>-65.921875</v>
      </c>
      <c r="H5" s="17">
        <f>((Main!G$117+$D$2*(Main!G$121-Main!G$117)/16)+(Sumo5!$E$2+1)*((Main!G$119+$D$2*(Main!G$123-Main!G$119)/16)-(Main!G$117+$D$2*(Main!G$121-Main!G$117)/16))/16)+Sumo5!$F$2*((Main!G$118+$D$2*(Main!G$122-Main!G$118)/16)+(Sumo5!$E$2+1)*((Main!G$120+$D$2*(Main!G$124-Main!G$120)/16)-(Main!G$118+$D$2*(Main!G$122-Main!G$118)/16))/16-((Main!G$117+$D$2*(Main!G$121-Main!G$117)/16)+(Sumo5!$E$2+1)*((Main!G$119+$D$2*(Main!G$123-Main!G$119)/16)-(Main!G$117+$D$2*(Main!G$121-Main!G$117)/16))/16))/16</f>
        <v>-77.192187499999989</v>
      </c>
      <c r="I5" s="17">
        <f>((Main!H$117+$D$2*(Main!H$121-Main!H$117)/16)+(Sumo5!$E$2+1)*((Main!H$119+$D$2*(Main!H$123-Main!H$119)/16)-(Main!H$117+$D$2*(Main!H$121-Main!H$117)/16))/16)+Sumo5!$F$2*((Main!H$118+$D$2*(Main!H$122-Main!H$118)/16)+(Sumo5!$E$2+1)*((Main!H$120+$D$2*(Main!H$124-Main!H$120)/16)-(Main!H$118+$D$2*(Main!H$122-Main!H$118)/16))/16-((Main!H$117+$D$2*(Main!H$121-Main!H$117)/16)+(Sumo5!$E$2+1)*((Main!H$119+$D$2*(Main!H$123-Main!H$119)/16)-(Main!H$117+$D$2*(Main!H$121-Main!H$117)/16))/16))/16</f>
        <v>369.5</v>
      </c>
      <c r="J5" s="18"/>
      <c r="K5" s="21" t="s">
        <v>22</v>
      </c>
      <c r="L5" s="22">
        <f>(Main!$M$117-Main!$H$78)/SQRT((Main!$K$117-Main!$F$78)^2+(Main!$L$117-Main!$G$78)^2+(Main!$M$117-Main!$H$78)^2)</f>
        <v>-0.98525866435354892</v>
      </c>
      <c r="M5" s="17">
        <f>(Main!$M$118-Main!$H$78)/SQRT((Main!$K$118-Main!$F$78)^2+(Main!$L$118-Main!$G$78)^2+(Main!$M$118-Main!$H$78)^2)</f>
        <v>-2.5010969715847334E-2</v>
      </c>
      <c r="N5" s="23">
        <f>(Main!$M$119-Main!$H$78)/SQRT((Main!$K$119-Main!$F$78)^2+(Main!$L$119-Main!$G$78)^2+(Main!$M$119-Main!$H$78)^2)</f>
        <v>-0.16893362212719079</v>
      </c>
      <c r="O5" s="7" t="s">
        <v>36</v>
      </c>
    </row>
    <row r="6" spans="1:17" ht="16" thickBot="1">
      <c r="D6" s="9" t="s">
        <v>70</v>
      </c>
      <c r="E6" s="9" t="s">
        <v>69</v>
      </c>
      <c r="F6" s="14" t="s">
        <v>61</v>
      </c>
      <c r="G6" s="17">
        <f>((Main!F$117+$D$2*(Main!F$121-Main!F$117)/16)+(Sumo5!$E$2+1)*((Main!F$119+$D$2*(Main!F$123-Main!F$119)/16)-(Main!F$117+$D$2*(Main!F$121-Main!F$117)/16))/16)+(Sumo5!$F$2+1)*((Main!F$118+$D$2*(Main!F$122-Main!F$118)/16)+(Sumo5!$E$2+1)*((Main!F$120+$D$2*(Main!F$124-Main!F$120)/16)-(Main!F$118+$D$2*(Main!F$122-Main!F$118)/16))/16-((Main!F$117+$D$2*(Main!F$121-Main!F$117)/16)+(Sumo5!$E$2+1)*((Main!F$119+$D$2*(Main!F$123-Main!F$119)/16)-(Main!F$117+$D$2*(Main!F$121-Main!F$117)/16))/16))/16</f>
        <v>-66.660195312499994</v>
      </c>
      <c r="H6" s="17">
        <f>((Main!G$117+$D$2*(Main!G$121-Main!G$117)/16)+(Sumo5!$E$2+1)*((Main!G$119+$D$2*(Main!G$123-Main!G$119)/16)-(Main!G$117+$D$2*(Main!G$121-Main!G$117)/16))/16)+(Sumo5!$F$2+1)*((Main!G$118+$D$2*(Main!G$122-Main!G$118)/16)+(Sumo5!$E$2+1)*((Main!G$120+$D$2*(Main!G$124-Main!G$120)/16)-(Main!G$118+$D$2*(Main!G$122-Main!G$118)/16))/16-((Main!G$117+$D$2*(Main!G$121-Main!G$117)/16)+(Sumo5!$E$2+1)*((Main!G$119+$D$2*(Main!G$123-Main!G$119)/16)-(Main!G$117+$D$2*(Main!G$121-Main!G$117)/16))/16))/16</f>
        <v>-78.42071093749999</v>
      </c>
      <c r="I6" s="17">
        <f>((Main!H$117+$D$2*(Main!H$121-Main!H$117)/16)+(Sumo5!$E$2+1)*((Main!H$119+$D$2*(Main!H$123-Main!H$119)/16)-(Main!H$117+$D$2*(Main!H$121-Main!H$117)/16))/16)+(Sumo5!$F$2+1)*((Main!H$118+$D$2*(Main!H$122-Main!H$118)/16)+(Sumo5!$E$2+1)*((Main!H$120+$D$2*(Main!H$124-Main!H$120)/16)-(Main!H$118+$D$2*(Main!H$122-Main!H$118)/16))/16-((Main!H$117+$D$2*(Main!H$121-Main!H$117)/16)+(Sumo5!$E$2+1)*((Main!H$119+$D$2*(Main!H$123-Main!H$119)/16)-(Main!H$117+$D$2*(Main!H$121-Main!H$117)/16))/16))/16</f>
        <v>348.9375</v>
      </c>
      <c r="J6" s="18"/>
      <c r="K6" s="19"/>
      <c r="L6" s="19">
        <f>L3^2+L4^2+L5^2</f>
        <v>1</v>
      </c>
      <c r="M6" s="19">
        <f>M3^2+M4^2+M5^2</f>
        <v>1</v>
      </c>
      <c r="N6" s="19">
        <f>N3^2+N4^2+N5^2</f>
        <v>1.0000000000000002</v>
      </c>
    </row>
    <row r="7" spans="1:17" ht="16" thickBot="1">
      <c r="D7" s="9" t="s">
        <v>70</v>
      </c>
      <c r="E7" s="9" t="s">
        <v>69</v>
      </c>
      <c r="F7" s="14" t="s">
        <v>62</v>
      </c>
      <c r="G7" s="17">
        <f>((Main!F$117+($D$2+1)*(Main!F$121-Main!F$117)/16)+Sumo5!$E$2*((Main!F$119+($D$2+1)*(Main!F$123-Main!F$119)/16)-(Main!F$117+($D$2+1)*(Main!F$121-Main!F$117)/16))/16)+Sumo5!$F$2*((Main!F$118+($D$2+1)*(Main!F$122-Main!F$118)/16)+Sumo5!$E$2*((Main!F$120+($D$2+1)*(Main!F$124-Main!F$120)/16)-(Main!F$118+($D$2+1)*(Main!F$122-Main!F$118)/16))/16-((Main!F$117+($D$2+1)*(Main!F$121-Main!F$117)/16)+Sumo5!$E$2*((Main!F$119+($D$2+1)*(Main!F$123-Main!F$119)/16)-(Main!F$117+($D$2+1)*(Main!F$121-Main!F$117)/16))/16))/16</f>
        <v>-56.671312500000006</v>
      </c>
      <c r="H7" s="17">
        <f>((Main!G$117+($D$2+1)*(Main!G$121-Main!G$117)/16)+Sumo5!$E$2*((Main!G$119+($D$2+1)*(Main!G$123-Main!G$119)/16)-(Main!G$117+($D$2+1)*(Main!G$121-Main!G$117)/16))/16)+Sumo5!$F$2*((Main!G$118+($D$2+1)*(Main!G$122-Main!G$118)/16)+Sumo5!$E$2*((Main!G$120+($D$2+1)*(Main!G$124-Main!G$120)/16)-(Main!G$118+($D$2+1)*(Main!G$122-Main!G$118)/16))/16-((Main!G$117+($D$2+1)*(Main!G$121-Main!G$117)/16)+Sumo5!$E$2*((Main!G$119+($D$2+1)*(Main!G$123-Main!G$119)/16)-(Main!G$117+($D$2+1)*(Main!G$121-Main!G$117)/16))/16))/16</f>
        <v>-86.58874999999999</v>
      </c>
      <c r="I7" s="17">
        <f>((Main!H$117+($D$2+1)*(Main!H$121-Main!H$117)/16)+Sumo5!$E$2*((Main!H$119+($D$2+1)*(Main!H$123-Main!H$119)/16)-(Main!H$117+($D$2+1)*(Main!H$121-Main!H$117)/16))/16)+Sumo5!$F$2*((Main!H$118+($D$2+1)*(Main!H$122-Main!H$118)/16)+Sumo5!$E$2*((Main!H$120+($D$2+1)*(Main!H$124-Main!H$120)/16)-(Main!H$118+($D$2+1)*(Main!H$122-Main!H$118)/16))/16-((Main!H$117+($D$2+1)*(Main!H$121-Main!H$117)/16)+Sumo5!$E$2*((Main!H$119+($D$2+1)*(Main!H$123-Main!H$119)/16)-(Main!H$117+($D$2+1)*(Main!H$121-Main!H$117)/16))/16))/16</f>
        <v>369.5</v>
      </c>
      <c r="J7" s="18"/>
      <c r="K7" s="19"/>
      <c r="L7" s="19"/>
      <c r="M7" s="19"/>
      <c r="N7" s="19"/>
    </row>
    <row r="8" spans="1:17" ht="16" thickBot="1">
      <c r="D8" s="9" t="s">
        <v>70</v>
      </c>
      <c r="E8" s="9" t="s">
        <v>69</v>
      </c>
      <c r="F8" s="14" t="s">
        <v>63</v>
      </c>
      <c r="G8" s="17">
        <f>((Main!F$117+($D$2+1)*(Main!F$121-Main!F$117)/16)+Sumo5!$E$2*((Main!F$119+($D$2+1)*(Main!F$123-Main!F$119)/16)-(Main!F$117+($D$2+1)*(Main!F$121-Main!F$117)/16))/16)+(Sumo5!$F$2+1)*((Main!F$118+($D$2+1)*(Main!F$122-Main!F$118)/16)+Sumo5!$E$2*((Main!F$120+($D$2+1)*(Main!F$124-Main!F$120)/16)-(Main!F$118+($D$2+1)*(Main!F$122-Main!F$118)/16))/16-((Main!F$117+($D$2+1)*(Main!F$121-Main!F$117)/16)+Sumo5!$E$2*((Main!F$119+($D$2+1)*(Main!F$123-Main!F$119)/16)-(Main!F$117+($D$2+1)*(Main!F$121-Main!F$117)/16))/16))/16</f>
        <v>-57.230808593750005</v>
      </c>
      <c r="H8" s="17">
        <f>((Main!G$117+($D$2+1)*(Main!G$121-Main!G$117)/16)+Sumo5!$E$2*((Main!G$119+($D$2+1)*(Main!G$123-Main!G$119)/16)-(Main!G$117+($D$2+1)*(Main!G$121-Main!G$117)/16))/16)+(Sumo5!$F$2+1)*((Main!G$118+($D$2+1)*(Main!G$122-Main!G$118)/16)+Sumo5!$E$2*((Main!G$120+($D$2+1)*(Main!G$124-Main!G$120)/16)-(Main!G$118+($D$2+1)*(Main!G$122-Main!G$118)/16))/16-((Main!G$117+($D$2+1)*(Main!G$121-Main!G$117)/16)+Sumo5!$E$2*((Main!G$119+($D$2+1)*(Main!G$123-Main!G$119)/16)-(Main!G$117+($D$2+1)*(Main!G$121-Main!G$117)/16))/16))/16</f>
        <v>-87.167191406249998</v>
      </c>
      <c r="I8" s="17">
        <f>((Main!H$117+($D$2+1)*(Main!H$121-Main!H$117)/16)+Sumo5!$E$2*((Main!H$119+($D$2+1)*(Main!H$123-Main!H$119)/16)-(Main!H$117+($D$2+1)*(Main!H$121-Main!H$117)/16))/16)+(Sumo5!$F$2+1)*((Main!H$118+($D$2+1)*(Main!H$122-Main!H$118)/16)+Sumo5!$E$2*((Main!H$120+($D$2+1)*(Main!H$124-Main!H$120)/16)-(Main!H$118+($D$2+1)*(Main!H$122-Main!H$118)/16))/16-((Main!H$117+($D$2+1)*(Main!H$121-Main!H$117)/16)+Sumo5!$E$2*((Main!H$119+($D$2+1)*(Main!H$123-Main!H$119)/16)-(Main!H$117+($D$2+1)*(Main!H$121-Main!H$117)/16))/16))/16</f>
        <v>348.9375</v>
      </c>
      <c r="J8" s="18"/>
      <c r="K8" s="19"/>
      <c r="L8" s="19"/>
      <c r="M8" s="19"/>
      <c r="N8" s="19"/>
    </row>
    <row r="9" spans="1:17" ht="16" thickBot="1">
      <c r="D9" s="9" t="s">
        <v>70</v>
      </c>
      <c r="E9" s="9" t="s">
        <v>69</v>
      </c>
      <c r="F9" s="14" t="s">
        <v>64</v>
      </c>
      <c r="G9" s="17">
        <f>((Main!F$117+($D$2+1)*(Main!F$121-Main!F$117)/16)+(Sumo5!$E$2+1)*((Main!F$119+($D$2+1)*(Main!F$123-Main!F$119)/16)-(Main!F$117+($D$2+1)*(Main!F$121-Main!F$117)/16))/16)+Sumo5!$F$2*((Main!F$118+($D$2+1)*(Main!F$122-Main!F$118)/16)+(Sumo5!$E$2+1)*((Main!F$120+($D$2+1)*(Main!F$124-Main!F$120)/16)-(Main!F$118+($D$2+1)*(Main!F$122-Main!F$118)/16))/16-((Main!F$117+($D$2+1)*(Main!F$121-Main!F$117)/16)+(Sumo5!$E$2+1)*((Main!F$119+($D$2+1)*(Main!F$123-Main!F$119)/16)-(Main!F$117+($D$2+1)*(Main!F$121-Main!F$117)/16))/16))/16</f>
        <v>-57.567812500000002</v>
      </c>
      <c r="H9" s="17">
        <f>((Main!G$117+($D$2+1)*(Main!G$121-Main!G$117)/16)+(Sumo5!$E$2+1)*((Main!G$119+($D$2+1)*(Main!G$123-Main!G$119)/16)-(Main!G$117+($D$2+1)*(Main!G$121-Main!G$117)/16))/16)+Sumo5!$F$2*((Main!G$118+($D$2+1)*(Main!G$122-Main!G$118)/16)+(Sumo5!$E$2+1)*((Main!G$120+($D$2+1)*(Main!G$124-Main!G$120)/16)-(Main!G$118+($D$2+1)*(Main!G$122-Main!G$118)/16))/16-((Main!G$117+($D$2+1)*(Main!G$121-Main!G$117)/16)+(Sumo5!$E$2+1)*((Main!G$119+($D$2+1)*(Main!G$123-Main!G$119)/16)-(Main!G$117+($D$2+1)*(Main!G$121-Main!G$117)/16))/16))/16</f>
        <v>-76.646242187499993</v>
      </c>
      <c r="I9" s="17">
        <f>((Main!H$117+($D$2+1)*(Main!H$121-Main!H$117)/16)+(Sumo5!$E$2+1)*((Main!H$119+($D$2+1)*(Main!H$123-Main!H$119)/16)-(Main!H$117+($D$2+1)*(Main!H$121-Main!H$117)/16))/16)+Sumo5!$F$2*((Main!H$118+($D$2+1)*(Main!H$122-Main!H$118)/16)+(Sumo5!$E$2+1)*((Main!H$120+($D$2+1)*(Main!H$124-Main!H$120)/16)-(Main!H$118+($D$2+1)*(Main!H$122-Main!H$118)/16))/16-((Main!H$117+($D$2+1)*(Main!H$121-Main!H$117)/16)+(Sumo5!$E$2+1)*((Main!H$119+($D$2+1)*(Main!H$123-Main!H$119)/16)-(Main!H$117+($D$2+1)*(Main!H$121-Main!H$117)/16))/16))/16</f>
        <v>369.5</v>
      </c>
      <c r="J9" s="18"/>
      <c r="K9" s="19"/>
      <c r="L9" s="19"/>
      <c r="M9" s="19"/>
      <c r="N9" s="19"/>
    </row>
    <row r="10" spans="1:17" ht="16" thickBot="1">
      <c r="D10" s="9" t="s">
        <v>70</v>
      </c>
      <c r="E10" s="9" t="s">
        <v>69</v>
      </c>
      <c r="F10" s="14" t="s">
        <v>65</v>
      </c>
      <c r="G10" s="17">
        <f>((Main!F$117+($D$2+1)*(Main!F$121-Main!F$117)/16)+(Sumo5!$E$2+1)*((Main!F$119+($D$2+1)*(Main!F$123-Main!F$119)/16)-(Main!F$117+($D$2+1)*(Main!F$121-Main!F$117)/16))/16)+(Sumo5!$F$2+1)*((Main!F$118+($D$2+1)*(Main!F$122-Main!F$118)/16)+(Sumo5!$E$2+1)*((Main!F$120+($D$2+1)*(Main!F$124-Main!F$120)/16)-(Main!F$118+($D$2+1)*(Main!F$122-Main!F$118)/16))/16-((Main!F$117+($D$2+1)*(Main!F$121-Main!F$117)/16)+(Sumo5!$E$2+1)*((Main!F$119+($D$2+1)*(Main!F$123-Main!F$119)/16)-(Main!F$117+($D$2+1)*(Main!F$121-Main!F$117)/16))/16))/16</f>
        <v>-58.14627734375</v>
      </c>
      <c r="H10" s="17">
        <f>((Main!G$117+($D$2+1)*(Main!G$121-Main!G$117)/16)+(Sumo5!$E$2+1)*((Main!G$119+($D$2+1)*(Main!G$123-Main!G$119)/16)-(Main!G$117+($D$2+1)*(Main!G$121-Main!G$117)/16))/16)+(Sumo5!$F$2+1)*((Main!G$118+($D$2+1)*(Main!G$122-Main!G$118)/16)+(Sumo5!$E$2+1)*((Main!G$120+($D$2+1)*(Main!G$124-Main!G$120)/16)-(Main!G$118+($D$2+1)*(Main!G$122-Main!G$118)/16))/16-((Main!G$117+($D$2+1)*(Main!G$121-Main!G$117)/16)+(Sumo5!$E$2+1)*((Main!G$119+($D$2+1)*(Main!G$123-Main!G$119)/16)-(Main!G$117+($D$2+1)*(Main!G$121-Main!G$117)/16))/16))/16</f>
        <v>-77.113467285156247</v>
      </c>
      <c r="I10" s="17">
        <f>((Main!H$117+($D$2+1)*(Main!H$121-Main!H$117)/16)+(Sumo5!$E$2+1)*((Main!H$119+($D$2+1)*(Main!H$123-Main!H$119)/16)-(Main!H$117+($D$2+1)*(Main!H$121-Main!H$117)/16))/16)+(Sumo5!$F$2+1)*((Main!H$118+($D$2+1)*(Main!H$122-Main!H$118)/16)+(Sumo5!$E$2+1)*((Main!H$120+($D$2+1)*(Main!H$124-Main!H$120)/16)-(Main!H$118+($D$2+1)*(Main!H$122-Main!H$118)/16))/16-((Main!H$117+($D$2+1)*(Main!H$121-Main!H$117)/16)+(Sumo5!$E$2+1)*((Main!H$119+($D$2+1)*(Main!H$123-Main!H$119)/16)-(Main!H$117+($D$2+1)*(Main!H$121-Main!H$117)/16))/16))/16</f>
        <v>348.9375</v>
      </c>
      <c r="J10" s="18"/>
      <c r="K10" s="19"/>
      <c r="L10" s="19"/>
      <c r="M10" s="19"/>
      <c r="N10" s="19"/>
    </row>
    <row r="11" spans="1:17">
      <c r="G11" s="19"/>
      <c r="H11" s="19"/>
      <c r="I11" s="19"/>
      <c r="J11" s="19"/>
      <c r="K11" s="19"/>
      <c r="L11" s="19"/>
      <c r="M11" s="19"/>
      <c r="N11" s="19"/>
    </row>
    <row r="12" spans="1:17">
      <c r="G12" s="19"/>
      <c r="H12" s="19"/>
      <c r="I12" s="19"/>
      <c r="J12" s="19"/>
      <c r="K12" s="19"/>
      <c r="L12" s="24" t="s">
        <v>47</v>
      </c>
      <c r="M12" s="24" t="s">
        <v>48</v>
      </c>
      <c r="N12" s="24"/>
      <c r="O12" s="8"/>
      <c r="P12" s="8"/>
      <c r="Q12" s="8"/>
    </row>
    <row r="13" spans="1:17" ht="14" thickBot="1">
      <c r="G13" s="31" t="s">
        <v>20</v>
      </c>
      <c r="H13" s="31" t="s">
        <v>21</v>
      </c>
      <c r="I13" s="31" t="s">
        <v>22</v>
      </c>
      <c r="J13" s="24" t="s">
        <v>49</v>
      </c>
      <c r="K13" s="19"/>
      <c r="L13" s="24" t="s">
        <v>20</v>
      </c>
      <c r="M13" s="24" t="s">
        <v>21</v>
      </c>
      <c r="N13" s="24" t="s">
        <v>22</v>
      </c>
      <c r="O13" s="8"/>
      <c r="P13" s="8"/>
      <c r="Q13" s="8"/>
    </row>
    <row r="14" spans="1:17" ht="29" thickBot="1">
      <c r="A14" t="s">
        <v>50</v>
      </c>
      <c r="D14" s="241" t="s">
        <v>96</v>
      </c>
      <c r="E14" s="242"/>
      <c r="F14" s="16" t="s">
        <v>68</v>
      </c>
      <c r="G14" s="25">
        <f>($L$3*$G2+$M$3*$H2+$N$3*$I2)+$L$14</f>
        <v>-1193.3083362997943</v>
      </c>
      <c r="H14" s="25">
        <f>($L$4*$G2+$M$4*$H2+$N$4*$I2)+$M$14</f>
        <v>651.28573722005149</v>
      </c>
      <c r="I14" s="26">
        <f t="shared" ref="I14:I22" si="1">($L$5*$G2+$M$5*$H2+$N$5*$I2)+$N$14</f>
        <v>71.602937913999028</v>
      </c>
      <c r="J14" s="19"/>
      <c r="K14" s="19"/>
      <c r="L14" s="27">
        <f>Main!F78</f>
        <v>-1495.0160000000001</v>
      </c>
      <c r="M14" s="27">
        <f>Main!G78</f>
        <v>871.79499999999996</v>
      </c>
      <c r="N14" s="27">
        <f>Main!H78</f>
        <v>69.543999999999997</v>
      </c>
    </row>
    <row r="15" spans="1:17" ht="15">
      <c r="F15" s="15" t="s">
        <v>58</v>
      </c>
      <c r="G15" s="28">
        <f t="shared" ref="G15:G22" si="2">($L$3*$G3+$M$3*$H3+$N$3*$I3)+$L$14</f>
        <v>-1185.3760785462707</v>
      </c>
      <c r="H15" s="28">
        <f t="shared" ref="H15:H22" si="3">($L$4*$G3+$M$4*$H3+$N$4*$I3)+$M$14</f>
        <v>642.68942627421472</v>
      </c>
      <c r="I15" s="28">
        <f t="shared" si="1"/>
        <v>73.251056119330485</v>
      </c>
      <c r="J15" s="19"/>
      <c r="K15" s="19"/>
      <c r="L15" s="19"/>
      <c r="M15" s="19"/>
      <c r="N15" s="19"/>
    </row>
    <row r="16" spans="1:17" ht="16" thickBot="1">
      <c r="A16" s="9" t="s">
        <v>72</v>
      </c>
      <c r="B16" s="9"/>
      <c r="C16" s="9"/>
      <c r="F16" s="12" t="s">
        <v>59</v>
      </c>
      <c r="G16" s="29">
        <f t="shared" si="2"/>
        <v>-1204.3695904739677</v>
      </c>
      <c r="H16" s="29">
        <f t="shared" si="3"/>
        <v>649.52147068620684</v>
      </c>
      <c r="I16" s="29">
        <f t="shared" si="1"/>
        <v>77.470686302332751</v>
      </c>
      <c r="J16" s="19"/>
      <c r="K16" s="19"/>
      <c r="L16" s="19"/>
      <c r="M16" s="19"/>
      <c r="N16" s="19"/>
    </row>
    <row r="17" spans="1:18" ht="16" thickBot="1">
      <c r="A17" s="9" t="s">
        <v>71</v>
      </c>
      <c r="B17" s="9"/>
      <c r="C17" s="9"/>
      <c r="F17" s="12" t="s">
        <v>60</v>
      </c>
      <c r="G17" s="29">
        <f t="shared" si="2"/>
        <v>-1181.2673300464648</v>
      </c>
      <c r="H17" s="29">
        <f t="shared" si="3"/>
        <v>651.74691159086956</v>
      </c>
      <c r="I17" s="29">
        <f t="shared" si="1"/>
        <v>74.003776602047111</v>
      </c>
      <c r="J17" s="19"/>
      <c r="K17" s="19"/>
      <c r="L17" s="83">
        <f>L14</f>
        <v>-1495.0160000000001</v>
      </c>
      <c r="M17" s="84">
        <f>M14*COS($G$40)+N14*SIN($G$40)</f>
        <v>874.23988699232291</v>
      </c>
      <c r="N17" s="85">
        <f>-M14*SIN($G$40)+N14*COS($G$40)</f>
        <v>23.822467392154863</v>
      </c>
      <c r="O17" s="86" t="s">
        <v>110</v>
      </c>
      <c r="P17" s="82"/>
      <c r="Q17" s="81"/>
    </row>
    <row r="18" spans="1:18" ht="15">
      <c r="F18" s="12" t="s">
        <v>61</v>
      </c>
      <c r="G18" s="29">
        <f t="shared" si="2"/>
        <v>-1200.194057615603</v>
      </c>
      <c r="H18" s="29">
        <f t="shared" si="3"/>
        <v>658.72617992428366</v>
      </c>
      <c r="I18" s="29">
        <f t="shared" si="1"/>
        <v>78.235637254486846</v>
      </c>
      <c r="J18" s="19"/>
      <c r="K18" s="19"/>
      <c r="L18" s="19"/>
      <c r="M18" s="19"/>
      <c r="N18" s="19"/>
    </row>
    <row r="19" spans="1:18" ht="15">
      <c r="F19" s="12" t="s">
        <v>62</v>
      </c>
      <c r="G19" s="29">
        <f t="shared" si="2"/>
        <v>-1186.5261458669011</v>
      </c>
      <c r="H19" s="29">
        <f t="shared" si="3"/>
        <v>643.54286751905886</v>
      </c>
      <c r="I19" s="29">
        <f t="shared" si="1"/>
        <v>65.124596888898665</v>
      </c>
    </row>
    <row r="20" spans="1:18" ht="15">
      <c r="F20" s="12" t="s">
        <v>63</v>
      </c>
      <c r="G20" s="29">
        <f t="shared" si="2"/>
        <v>-1205.2241913704047</v>
      </c>
      <c r="H20" s="29">
        <f t="shared" si="3"/>
        <v>651.12657185113858</v>
      </c>
      <c r="I20" s="29">
        <f t="shared" si="1"/>
        <v>69.164010248422287</v>
      </c>
      <c r="J20" s="19"/>
      <c r="K20" s="19"/>
      <c r="L20" s="19"/>
      <c r="M20" s="19"/>
      <c r="N20" s="19"/>
    </row>
    <row r="21" spans="1:18" ht="15">
      <c r="F21" s="12" t="s">
        <v>64</v>
      </c>
      <c r="G21" s="29">
        <f t="shared" si="2"/>
        <v>-1182.4292769445935</v>
      </c>
      <c r="H21" s="29">
        <f t="shared" si="3"/>
        <v>652.62379464773551</v>
      </c>
      <c r="I21" s="29">
        <f t="shared" si="1"/>
        <v>65.759209519693599</v>
      </c>
      <c r="J21" s="19"/>
      <c r="K21" s="19"/>
      <c r="L21" s="19"/>
      <c r="M21" s="19"/>
      <c r="N21" s="19"/>
    </row>
    <row r="22" spans="1:18" ht="15">
      <c r="F22" s="12" t="s">
        <v>65</v>
      </c>
      <c r="G22" s="29">
        <f t="shared" si="2"/>
        <v>-1201.0800195341483</v>
      </c>
      <c r="H22" s="29">
        <f t="shared" si="3"/>
        <v>660.30867526690372</v>
      </c>
      <c r="I22" s="29">
        <f t="shared" si="1"/>
        <v>69.814530376780539</v>
      </c>
      <c r="J22" s="19"/>
      <c r="K22" s="19"/>
      <c r="L22" s="19"/>
      <c r="M22" s="19"/>
      <c r="N22" s="19"/>
    </row>
    <row r="23" spans="1:18" ht="14" thickBot="1">
      <c r="K23" s="9"/>
      <c r="O23" s="9"/>
      <c r="R23" s="9"/>
    </row>
    <row r="24" spans="1:18" ht="15">
      <c r="D24" s="42" t="s">
        <v>95</v>
      </c>
      <c r="E24" s="56" t="s">
        <v>98</v>
      </c>
      <c r="F24" s="73"/>
      <c r="G24" s="76">
        <v>-1185.3760785462707</v>
      </c>
      <c r="H24" s="77">
        <v>642.68942627421472</v>
      </c>
      <c r="I24" s="78">
        <v>73.251056119330485</v>
      </c>
      <c r="J24" s="32" t="s">
        <v>85</v>
      </c>
      <c r="K24" s="163" t="s">
        <v>145</v>
      </c>
      <c r="L24" s="156">
        <f>SQRT((G24-G26)^2+(H26-H24)^2+(I26-I24)^2)</f>
        <v>159.58862525575194</v>
      </c>
      <c r="M24" s="19"/>
      <c r="O24" s="18"/>
      <c r="P24" s="18"/>
      <c r="Q24" s="18"/>
    </row>
    <row r="25" spans="1:18" ht="16" thickBot="1">
      <c r="D25" s="43" t="s">
        <v>78</v>
      </c>
      <c r="E25" s="57" t="s">
        <v>99</v>
      </c>
      <c r="F25" s="74"/>
      <c r="G25" s="71">
        <v>-1203.7771556763555</v>
      </c>
      <c r="H25" s="70">
        <v>656.34448619172076</v>
      </c>
      <c r="I25" s="72">
        <v>-56.772291567578776</v>
      </c>
      <c r="J25" s="32" t="s">
        <v>86</v>
      </c>
      <c r="K25" s="163" t="s">
        <v>146</v>
      </c>
      <c r="L25" s="19">
        <f>SQRT((G30-G28)^2+(H30-H28)^2+(I30-I28)^2)</f>
        <v>201.09270604516064</v>
      </c>
      <c r="M25" s="19"/>
      <c r="O25" s="18"/>
      <c r="P25" s="18"/>
      <c r="Q25" s="18"/>
    </row>
    <row r="26" spans="1:18" ht="15">
      <c r="D26" s="9" t="s">
        <v>97</v>
      </c>
      <c r="E26" s="57" t="s">
        <v>101</v>
      </c>
      <c r="F26" s="74"/>
      <c r="G26" s="71">
        <v>-1119.6361025493757</v>
      </c>
      <c r="H26" s="70">
        <v>787.6091913406907</v>
      </c>
      <c r="I26" s="72">
        <v>85.294583842796555</v>
      </c>
      <c r="J26" s="32" t="s">
        <v>87</v>
      </c>
      <c r="K26" s="163" t="s">
        <v>147</v>
      </c>
      <c r="L26" s="19">
        <f>SQRT((G30-G26)^2+(H30-H26)^2+(I30-I26)^2)</f>
        <v>329.93062741897239</v>
      </c>
      <c r="M26" s="19"/>
      <c r="O26" s="18"/>
      <c r="P26" s="18"/>
      <c r="Q26" s="18"/>
    </row>
    <row r="27" spans="1:18" ht="15">
      <c r="E27" s="57" t="s">
        <v>100</v>
      </c>
      <c r="F27" s="74"/>
      <c r="G27" s="71">
        <v>-1141.0783515190651</v>
      </c>
      <c r="H27" s="70">
        <v>807.26535513579461</v>
      </c>
      <c r="I27" s="72">
        <v>-74.964373936064462</v>
      </c>
      <c r="J27" s="32" t="s">
        <v>88</v>
      </c>
      <c r="K27" s="163" t="s">
        <v>149</v>
      </c>
      <c r="L27" s="19">
        <f>SQRT((G27-G26)^2+(H27-H26)^2+(I27-I26)^2)</f>
        <v>162.87746426189494</v>
      </c>
      <c r="M27" s="19">
        <f>L27/8</f>
        <v>20.359683032736868</v>
      </c>
      <c r="O27" s="18"/>
      <c r="P27" s="18"/>
      <c r="Q27" s="18"/>
    </row>
    <row r="28" spans="1:18" ht="15">
      <c r="E28" s="57" t="s">
        <v>102</v>
      </c>
      <c r="F28" s="74"/>
      <c r="G28" s="71">
        <v>-1489.2722693894218</v>
      </c>
      <c r="H28" s="70">
        <v>752.00213686608856</v>
      </c>
      <c r="I28" s="72">
        <v>140.76513904736669</v>
      </c>
      <c r="J28" s="32" t="s">
        <v>89</v>
      </c>
      <c r="K28" s="163" t="s">
        <v>148</v>
      </c>
      <c r="L28" s="19">
        <f>SQRT((G24-G25)^2+(H24-H25)^2+(I24-I25)^2)</f>
        <v>132.02700952687258</v>
      </c>
      <c r="M28" s="19">
        <f t="shared" ref="M28:M30" si="4">L28/8</f>
        <v>16.503376190859072</v>
      </c>
      <c r="O28" s="18"/>
      <c r="P28" s="18"/>
      <c r="Q28" s="18"/>
    </row>
    <row r="29" spans="1:18" ht="15">
      <c r="E29" s="57" t="s">
        <v>103</v>
      </c>
      <c r="F29" s="74"/>
      <c r="G29" s="71">
        <v>-1432.033941926027</v>
      </c>
      <c r="H29" s="70">
        <v>958.08213632601826</v>
      </c>
      <c r="I29" s="72">
        <v>-35.393715450073969</v>
      </c>
      <c r="J29" s="32" t="s">
        <v>90</v>
      </c>
      <c r="K29" s="163" t="s">
        <v>150</v>
      </c>
      <c r="L29" s="18">
        <f>SQRT((G31-G30)^2+(H31-H30)^2+(I31-I30)^2)</f>
        <v>194.45975139111516</v>
      </c>
      <c r="M29" s="19">
        <f t="shared" si="4"/>
        <v>24.307468923889395</v>
      </c>
      <c r="O29" s="18"/>
      <c r="P29" s="18"/>
      <c r="Q29" s="18"/>
    </row>
    <row r="30" spans="1:18">
      <c r="E30" s="40" t="s">
        <v>107</v>
      </c>
      <c r="F30" s="74"/>
      <c r="G30" s="71">
        <v>-1406.4354976014572</v>
      </c>
      <c r="H30" s="70">
        <v>934.6112258166188</v>
      </c>
      <c r="I30" s="72">
        <v>155.93966694682354</v>
      </c>
      <c r="J30" s="32" t="s">
        <v>91</v>
      </c>
      <c r="K30" s="163" t="s">
        <v>151</v>
      </c>
      <c r="L30" s="19">
        <f>SQRT((G28-G29)^2+(H29-H28)^2+(I29-I28)^2)</f>
        <v>277.08687144298608</v>
      </c>
      <c r="M30" s="19">
        <f t="shared" si="4"/>
        <v>34.63585893037326</v>
      </c>
      <c r="O30" s="18"/>
      <c r="P30" s="18"/>
      <c r="Q30" s="18"/>
    </row>
    <row r="31" spans="1:18" ht="14" thickBot="1">
      <c r="E31" s="41" t="s">
        <v>104</v>
      </c>
      <c r="F31" s="75"/>
      <c r="G31" s="65">
        <v>-1432.0343391002261</v>
      </c>
      <c r="H31" s="39">
        <v>958.08121892364909</v>
      </c>
      <c r="I31" s="66">
        <v>-35.393690439104262</v>
      </c>
      <c r="J31" s="32" t="s">
        <v>92</v>
      </c>
      <c r="K31" s="32"/>
      <c r="L31" s="32"/>
      <c r="M31" s="32"/>
      <c r="O31" s="18"/>
      <c r="P31" s="18"/>
      <c r="Q31" s="18"/>
    </row>
    <row r="34" spans="1:10" ht="15">
      <c r="E34" s="46"/>
      <c r="F34" s="47"/>
      <c r="G34" s="48"/>
      <c r="H34" s="48"/>
      <c r="I34" s="48"/>
      <c r="J34" s="49"/>
    </row>
    <row r="39" spans="1:10">
      <c r="F39" s="81" t="s">
        <v>111</v>
      </c>
      <c r="G39" s="82">
        <f>Main!$J$73</f>
        <v>-3</v>
      </c>
    </row>
    <row r="40" spans="1:10" ht="14" thickBot="1">
      <c r="F40" s="81" t="s">
        <v>108</v>
      </c>
      <c r="G40" s="81">
        <f>(18-$C$2)*PI()/15-(G39*PI()/180)</f>
        <v>5.2359877559829883E-2</v>
      </c>
      <c r="H40" s="9"/>
    </row>
    <row r="41" spans="1:10" ht="29" thickBot="1">
      <c r="A41" s="9"/>
      <c r="B41" s="9"/>
      <c r="D41" s="243" t="s">
        <v>105</v>
      </c>
      <c r="E41" s="244"/>
      <c r="F41" s="34" t="s">
        <v>68</v>
      </c>
      <c r="G41" s="35">
        <f>(($L$3*$G2+$M$3*$H2+$N$3*$I2)+$L$14)*(-1)^($B$2)</f>
        <v>-1193.3083362997943</v>
      </c>
      <c r="H41" s="35">
        <f t="shared" ref="H41:H49" si="5">((($L$4*$G2+$M$4*$H2+$N$4*$I2)+$M$14)*COS($G$40) + (($L$5*$G2+$M$5*$H2+$N$5*$I2)+$N$14)*SIN($G$40))</f>
        <v>654.14058097788291</v>
      </c>
      <c r="I41" s="36">
        <f t="shared" ref="I41:I49" si="6" xml:space="preserve"> - (($L$4*$G2+$M$4*$H2+$N$4*$I2)+$M$14)*SIN($G$40) + (($L$5*$G2+$M$5*$H2+$N$5*$I2)+$N$14)*COS($G$40)*(-1)^($B$2)</f>
        <v>37.419146731315458</v>
      </c>
    </row>
    <row r="42" spans="1:10" ht="16" thickBot="1">
      <c r="A42" s="9"/>
      <c r="D42" s="245"/>
      <c r="E42" s="246"/>
      <c r="F42" s="37" t="s">
        <v>58</v>
      </c>
      <c r="G42" s="35">
        <f t="shared" ref="G42:G49" si="7">(($L$3*$G3+$M$3*$H3+$N$3*$I3)+$L$14)*(-1)^($B$2)</f>
        <v>-1185.3760785462707</v>
      </c>
      <c r="H42" s="35">
        <f t="shared" si="5"/>
        <v>645.64230681971367</v>
      </c>
      <c r="I42" s="36">
        <f t="shared" si="6"/>
        <v>39.514902401438206</v>
      </c>
    </row>
    <row r="43" spans="1:10" ht="16" thickBot="1">
      <c r="D43" s="247"/>
      <c r="E43" s="248"/>
      <c r="F43" s="38" t="s">
        <v>59</v>
      </c>
      <c r="G43" s="35">
        <f t="shared" si="7"/>
        <v>-1204.3695904739677</v>
      </c>
      <c r="H43" s="35">
        <f t="shared" si="5"/>
        <v>652.68582653290298</v>
      </c>
      <c r="I43" s="36">
        <f t="shared" si="6"/>
        <v>43.371188150530244</v>
      </c>
    </row>
    <row r="44" spans="1:10" ht="16" thickBot="1">
      <c r="F44" s="38" t="s">
        <v>60</v>
      </c>
      <c r="G44" s="35">
        <f t="shared" si="7"/>
        <v>-1181.2673300464648</v>
      </c>
      <c r="H44" s="35">
        <f t="shared" si="5"/>
        <v>654.72677351377774</v>
      </c>
      <c r="I44" s="36">
        <f t="shared" si="6"/>
        <v>39.792559151690192</v>
      </c>
    </row>
    <row r="45" spans="1:10" ht="16" thickBot="1">
      <c r="D45" s="249" t="s">
        <v>106</v>
      </c>
      <c r="E45" s="250"/>
      <c r="F45" s="38" t="s">
        <v>61</v>
      </c>
      <c r="G45" s="35">
        <f t="shared" si="7"/>
        <v>-1200.194057615603</v>
      </c>
      <c r="H45" s="35">
        <f t="shared" si="5"/>
        <v>661.91795547643471</v>
      </c>
      <c r="I45" s="36">
        <f t="shared" si="6"/>
        <v>43.653353504076961</v>
      </c>
    </row>
    <row r="46" spans="1:10" ht="16" thickBot="1">
      <c r="D46" s="251"/>
      <c r="E46" s="250"/>
      <c r="F46" s="38" t="s">
        <v>62</v>
      </c>
      <c r="G46" s="35">
        <f t="shared" si="7"/>
        <v>-1186.5261458669011</v>
      </c>
      <c r="H46" s="35">
        <f t="shared" si="5"/>
        <v>646.06927243829887</v>
      </c>
      <c r="I46" s="36">
        <f t="shared" si="6"/>
        <v>31.354914537303983</v>
      </c>
    </row>
    <row r="47" spans="1:10" ht="16" thickBot="1">
      <c r="D47" s="251" t="s">
        <v>81</v>
      </c>
      <c r="E47" s="250"/>
      <c r="F47" s="38" t="s">
        <v>63</v>
      </c>
      <c r="G47" s="35">
        <f t="shared" si="7"/>
        <v>-1205.2241913704047</v>
      </c>
      <c r="H47" s="35">
        <f t="shared" si="5"/>
        <v>653.8539901279911</v>
      </c>
      <c r="I47" s="36">
        <f t="shared" si="6"/>
        <v>34.991891603123321</v>
      </c>
    </row>
    <row r="48" spans="1:10" ht="16" thickBot="1">
      <c r="D48" s="251"/>
      <c r="E48" s="250"/>
      <c r="F48" s="38" t="s">
        <v>64</v>
      </c>
      <c r="G48" s="35">
        <f t="shared" si="7"/>
        <v>-1182.4292769445935</v>
      </c>
      <c r="H48" s="35">
        <f t="shared" si="5"/>
        <v>655.17096753082592</v>
      </c>
      <c r="I48" s="36">
        <f t="shared" si="6"/>
        <v>31.513398448692314</v>
      </c>
    </row>
    <row r="49" spans="6:9" ht="16" thickBot="1">
      <c r="F49" s="38" t="s">
        <v>65</v>
      </c>
      <c r="G49" s="35">
        <f t="shared" si="7"/>
        <v>-1201.0800195341483</v>
      </c>
      <c r="H49" s="35">
        <f t="shared" si="5"/>
        <v>663.05755538311791</v>
      </c>
      <c r="I49" s="36">
        <f t="shared" si="6"/>
        <v>35.160966053668538</v>
      </c>
    </row>
  </sheetData>
  <mergeCells count="4">
    <mergeCell ref="D14:E14"/>
    <mergeCell ref="D41:E43"/>
    <mergeCell ref="D45:E46"/>
    <mergeCell ref="D47:E48"/>
  </mergeCells>
  <pageMargins left="0.7" right="0.7" top="0.78749999999999998" bottom="0.78749999999999998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9"/>
  <sheetViews>
    <sheetView topLeftCell="E1" workbookViewId="0">
      <selection activeCell="G14" sqref="G14:I14"/>
    </sheetView>
  </sheetViews>
  <sheetFormatPr baseColWidth="10" defaultColWidth="9" defaultRowHeight="13"/>
  <cols>
    <col min="1" max="1" width="21.83203125" customWidth="1"/>
    <col min="2" max="3" width="23.83203125" customWidth="1"/>
    <col min="4" max="4" width="20.5" customWidth="1"/>
    <col min="5" max="5" width="15.83203125" customWidth="1"/>
    <col min="6" max="6" width="17.1640625" customWidth="1"/>
    <col min="10" max="10" width="48.5" customWidth="1"/>
    <col min="11" max="258" width="10" customWidth="1"/>
  </cols>
  <sheetData>
    <row r="1" spans="1:19" ht="57" thickBot="1">
      <c r="A1" s="1" t="s">
        <v>109</v>
      </c>
      <c r="B1" s="10" t="s">
        <v>80</v>
      </c>
      <c r="C1" s="10" t="s">
        <v>115</v>
      </c>
      <c r="D1" s="10" t="s">
        <v>116</v>
      </c>
      <c r="E1" s="10" t="s">
        <v>117</v>
      </c>
      <c r="F1" s="10" t="s">
        <v>118</v>
      </c>
      <c r="G1" s="1" t="s">
        <v>51</v>
      </c>
      <c r="H1" s="1" t="s">
        <v>52</v>
      </c>
      <c r="I1" s="1" t="s">
        <v>53</v>
      </c>
      <c r="J1" s="2" t="s">
        <v>119</v>
      </c>
      <c r="L1" s="3" t="s">
        <v>132</v>
      </c>
      <c r="M1" s="4"/>
      <c r="N1" s="4"/>
      <c r="O1" s="8"/>
      <c r="P1" s="8"/>
    </row>
    <row r="2" spans="1:19" ht="14" thickBot="1">
      <c r="A2" s="5" t="s">
        <v>113</v>
      </c>
      <c r="B2" s="33">
        <v>0</v>
      </c>
      <c r="C2" s="33">
        <v>18</v>
      </c>
      <c r="D2" s="6">
        <v>0</v>
      </c>
      <c r="E2" s="6">
        <v>0</v>
      </c>
      <c r="F2" s="6">
        <v>0</v>
      </c>
      <c r="G2" s="17">
        <f>SUM(G3:G10)/8</f>
        <v>-81.324759106445313</v>
      </c>
      <c r="H2" s="17">
        <f t="shared" ref="H2:I2" si="0">SUM(H3:H10)/8</f>
        <v>-90.211022192382814</v>
      </c>
      <c r="I2" s="17">
        <f t="shared" si="0"/>
        <v>379.078125</v>
      </c>
      <c r="J2" s="18" t="s">
        <v>120</v>
      </c>
      <c r="K2" s="19"/>
      <c r="L2" s="20" t="s">
        <v>133</v>
      </c>
      <c r="M2" s="20" t="s">
        <v>134</v>
      </c>
      <c r="N2" s="20" t="s">
        <v>135</v>
      </c>
    </row>
    <row r="3" spans="1:19" ht="16" thickBot="1">
      <c r="A3" s="9" t="s">
        <v>46</v>
      </c>
      <c r="D3" s="9" t="s">
        <v>129</v>
      </c>
      <c r="E3" s="9" t="s">
        <v>69</v>
      </c>
      <c r="F3" s="13" t="s">
        <v>121</v>
      </c>
      <c r="G3" s="54">
        <f>((Main!F$126+$D$2*(Main!F$130-Main!F$126)/20)+Sumo6!$E$2*((Main!F$128+$D$2*(Main!F$132-Main!F$128)/20)-(Main!F$126+$D$2*(Main!F$130-Main!F$126)/20))/16)+Sumo6!$F$2*((Main!F$127+$D$2*(Main!F$131-Main!F$127)/20)+Sumo6!$E$2*((Main!F$129+$D$2*(Main!F$133-Main!F$129)/20)-(Main!F$127+$D$2*(Main!F$131-Main!F$127)/20))/16-((Main!F$126+$D$2*(Main!F$130-Main!F$126)/20)+Sumo6!$E$2*((Main!F$128+$D$2*(Main!F$132-Main!F$128)/20)-(Main!F$126+$D$2*(Main!F$130-Main!F$126)/20))/16))/16</f>
        <v>-84.658000000000001</v>
      </c>
      <c r="H3" s="54">
        <f>((Main!G$126+$D$2*(Main!G$130-Main!G$126)/20)+Sumo6!$E$2*((Main!G$128+$D$2*(Main!G$132-Main!G$128)/20)-(Main!G$126+$D$2*(Main!G$130-Main!G$126)/20))/16)+Sumo6!$F$2*((Main!G$127+$D$2*(Main!G$131-Main!G$127)/20)+Sumo6!$E$2*((Main!G$129+$D$2*(Main!G$133-Main!G$129)/20)-(Main!G$127+$D$2*(Main!G$131-Main!G$127)/20))/16-((Main!G$126+$D$2*(Main!G$130-Main!G$126)/20)+Sumo6!$E$2*((Main!G$128+$D$2*(Main!G$132-Main!G$128)/20)-(Main!G$126+$D$2*(Main!G$130-Main!G$126)/20))/16))/16</f>
        <v>-94.933000000000007</v>
      </c>
      <c r="I3" s="55">
        <f>((Main!H$126+$D$2*(Main!H$130-Main!H$126)/20)+Sumo6!$E$2*((Main!H$128+$D$2*(Main!H$132-Main!H$128)/20)-(Main!H$126+$D$2*(Main!H$130-Main!H$126)/20))/16)+Sumo6!$F$2*((Main!H$127+$D$2*(Main!H$131-Main!H$127)/20)+Sumo6!$E$2*((Main!H$129+$D$2*(Main!H$133-Main!H$129)/20)-(Main!H$127+$D$2*(Main!H$131-Main!H$127)/20))/16-((Main!H$126+$D$2*(Main!H$130-Main!H$126)/20)+Sumo6!$E$2*((Main!H$128+$D$2*(Main!H$132-Main!H$128)/20)-(Main!H$126+$D$2*(Main!H$130-Main!H$126)/20))/16))/16</f>
        <v>390</v>
      </c>
      <c r="J3" s="18"/>
      <c r="K3" s="21" t="s">
        <v>20</v>
      </c>
      <c r="L3" s="50">
        <f>(Main!$K$126-Main!$F$79)/SQRT((Main!$K$126-Main!$F$79)^2+(Main!$L$126-Main!$G$79)^2+(Main!$M$126-Main!$H$79)^2)</f>
        <v>-0.16700308958565577</v>
      </c>
      <c r="M3" s="51">
        <f>(Main!$K$127-Main!$F$79)/SQRT((Main!$K$127-Main!$F$79)^2+(Main!$L$127-Main!$G$79)^2+(Main!$M$127-Main!$H$79)^2)</f>
        <v>0.51414603821531835</v>
      </c>
      <c r="N3" s="52">
        <f>(Main!$K$128-Main!$F$79)/SQRT((Main!$K$128-Main!$F$79)^2+(Main!$L$128-Main!$G$79)^2+(Main!$M$128-Main!$H$79)^2)</f>
        <v>0.84111313732595872</v>
      </c>
      <c r="O3" s="7" t="s">
        <v>34</v>
      </c>
    </row>
    <row r="4" spans="1:19" ht="16" thickBot="1">
      <c r="A4" s="9" t="s">
        <v>114</v>
      </c>
      <c r="D4" s="9" t="s">
        <v>129</v>
      </c>
      <c r="E4" s="9" t="s">
        <v>69</v>
      </c>
      <c r="F4" s="14" t="s">
        <v>122</v>
      </c>
      <c r="G4" s="54">
        <f>((Main!F$126+$D$2*(Main!F$130-Main!F$126)/20)+Sumo6!$E$2*((Main!F$128+$D$2*(Main!F$132-Main!F$128)/20)-(Main!F$126+$D$2*(Main!F$130-Main!F$126)/20))/16)+(Sumo6!$F$2+1)*((Main!F$127+$D$2*(Main!F$131-Main!F$127)/20)+Sumo6!$E$2*((Main!F$129+$D$2*(Main!F$133-Main!F$129)/20)-(Main!F$127+$D$2*(Main!F$131-Main!F$127)/20))/16-((Main!F$126+$D$2*(Main!F$130-Main!F$126)/20)+Sumo6!$E$2*((Main!F$128+$D$2*(Main!F$132-Main!F$128)/20)-(Main!F$126+$D$2*(Main!F$130-Main!F$126)/20))/16))/16</f>
        <v>-85.678375000000003</v>
      </c>
      <c r="H4" s="54">
        <f>((Main!G$126+$D$2*(Main!G$130-Main!G$126)/20)+Sumo6!$E$2*((Main!G$128+$D$2*(Main!G$132-Main!G$128)/20)-(Main!G$126+$D$2*(Main!G$130-Main!G$126)/20))/16)+(Sumo6!$F$2+1)*((Main!G$127+$D$2*(Main!G$131-Main!G$127)/20)+Sumo6!$E$2*((Main!G$129+$D$2*(Main!G$133-Main!G$129)/20)-(Main!G$127+$D$2*(Main!G$131-Main!G$127)/20))/16-((Main!G$126+$D$2*(Main!G$130-Main!G$126)/20)+Sumo6!$E$2*((Main!G$128+$D$2*(Main!G$132-Main!G$128)/20)-(Main!G$126+$D$2*(Main!G$130-Main!G$126)/20))/16))/16</f>
        <v>-96.625937500000006</v>
      </c>
      <c r="I4" s="54">
        <f>((Main!H$126+$D$2*(Main!H$130-Main!H$126)/20)+Sumo6!$E$2*((Main!H$128+$D$2*(Main!H$132-Main!H$128)/20)-(Main!H$126+$D$2*(Main!H$130-Main!H$126)/20))/16)+(Sumo6!$F$2+1)*((Main!H$127+$D$2*(Main!H$131-Main!H$127)/20)+Sumo6!$E$2*((Main!H$129+$D$2*(Main!H$133-Main!H$129)/20)-(Main!H$127+$D$2*(Main!H$131-Main!H$127)/20))/16-((Main!H$126+$D$2*(Main!H$130-Main!H$126)/20)+Sumo6!$E$2*((Main!H$128+$D$2*(Main!H$132-Main!H$128)/20)-(Main!H$126+$D$2*(Main!H$130-Main!H$126)/20))/16))/16</f>
        <v>368.15625</v>
      </c>
      <c r="J4" s="18"/>
      <c r="K4" s="21" t="s">
        <v>21</v>
      </c>
      <c r="L4" s="50">
        <f>(Main!$L$126-Main!$G$79)/SQRT((Main!$K$126-Main!$F$79)^2+(Main!$L$126-Main!$G$79)^2+(Main!$M$126-Main!$H$79)^2)</f>
        <v>4.3000795521969302E-2</v>
      </c>
      <c r="M4" s="51">
        <f>(Main!$L$127-Main!$G$79)/SQRT((Main!$K$127-Main!$F$79)^2+(Main!$L$127-Main!$G$79)^2+(Main!$M$127-Main!$H$79)^2)</f>
        <v>0.85624320761129136</v>
      </c>
      <c r="N4" s="52">
        <f>(Main!$L$128-Main!$G$79)/SQRT((Main!$K$128-Main!$F$79)^2+(Main!$L$128-Main!$G$79)^2+(Main!$M$128-Main!$H$79)^2)</f>
        <v>-0.51506928147787168</v>
      </c>
      <c r="O4" s="7" t="s">
        <v>35</v>
      </c>
    </row>
    <row r="5" spans="1:19" ht="16" thickBot="1">
      <c r="D5" s="9" t="s">
        <v>129</v>
      </c>
      <c r="E5" s="9" t="s">
        <v>69</v>
      </c>
      <c r="F5" s="14" t="s">
        <v>123</v>
      </c>
      <c r="G5" s="54">
        <f>((Main!F$126+$D$2*(Main!F$130-Main!F$126)/20)+(Sumo6!$E$2+1)*((Main!F$128+$D$2*(Main!F$132-Main!F$128)/20)-(Main!F$126+$D$2*(Main!F$130-Main!F$126)/20))/16)+Sumo6!$F$2*((Main!F$127+$D$2*(Main!F$131-Main!F$127)/20)+(Sumo6!$E$2+1)*((Main!F$129+$D$2*(Main!F$133-Main!F$129)/20)-(Main!F$127+$D$2*(Main!F$131-Main!F$127)/20))/16-((Main!F$126+$D$2*(Main!F$130-Main!F$126)/20)+(Sumo6!$E$2+1)*((Main!F$128+$D$2*(Main!F$132-Main!F$128)/20)-(Main!F$126+$D$2*(Main!F$130-Main!F$126)/20))/16))/16</f>
        <v>-85.677250000000001</v>
      </c>
      <c r="H5" s="54">
        <f>((Main!G$126+$D$2*(Main!G$130-Main!G$126)/20)+(Sumo6!$E$2+1)*((Main!G$128+$D$2*(Main!G$132-Main!G$128)/20)-(Main!G$126+$D$2*(Main!G$130-Main!G$126)/20))/16)+Sumo6!$F$2*((Main!G$127+$D$2*(Main!G$131-Main!G$127)/20)+(Sumo6!$E$2+1)*((Main!G$129+$D$2*(Main!G$133-Main!G$129)/20)-(Main!G$127+$D$2*(Main!G$131-Main!G$127)/20))/16-((Main!G$126+$D$2*(Main!G$130-Main!G$126)/20)+(Sumo6!$E$2+1)*((Main!G$128+$D$2*(Main!G$132-Main!G$128)/20)-(Main!G$126+$D$2*(Main!G$130-Main!G$126)/20))/16))/16</f>
        <v>-84.648250000000004</v>
      </c>
      <c r="I5" s="54">
        <f>((Main!H$126+$D$2*(Main!H$130-Main!H$126)/20)+(Sumo6!$E$2+1)*((Main!H$128+$D$2*(Main!H$132-Main!H$128)/20)-(Main!H$126+$D$2*(Main!H$130-Main!H$126)/20))/16)+Sumo6!$F$2*((Main!H$127+$D$2*(Main!H$131-Main!H$127)/20)+(Sumo6!$E$2+1)*((Main!H$129+$D$2*(Main!H$133-Main!H$129)/20)-(Main!H$127+$D$2*(Main!H$131-Main!H$127)/20))/16-((Main!H$126+$D$2*(Main!H$130-Main!H$126)/20)+(Sumo6!$E$2+1)*((Main!H$128+$D$2*(Main!H$132-Main!H$128)/20)-(Main!H$126+$D$2*(Main!H$130-Main!H$126)/20))/16))/16</f>
        <v>390</v>
      </c>
      <c r="J5" s="18"/>
      <c r="K5" s="21" t="s">
        <v>22</v>
      </c>
      <c r="L5" s="50">
        <f>(Main!$M$126-Main!$H$79)/SQRT((Main!$K$126-Main!$F$79)^2+(Main!$L$126-Main!$G$79)^2+(Main!$M$126-Main!$H$79)^2)</f>
        <v>-0.98501822300570818</v>
      </c>
      <c r="M5" s="51">
        <f>(Main!$M$127-Main!$H$79)/SQRT((Main!$K$127-Main!$F$79)^2+(Main!$L$127-Main!$G$79)^2+(Main!$M$127-Main!$H$79)^2)</f>
        <v>-5.0014206052073101E-2</v>
      </c>
      <c r="N5" s="52">
        <f>(Main!$M$128-Main!$H$79)/SQRT((Main!$K$128-Main!$F$79)^2+(Main!$L$128-Main!$G$79)^2+(Main!$M$128-Main!$H$79)^2)</f>
        <v>-0.16502219697832143</v>
      </c>
      <c r="O5" s="7" t="s">
        <v>36</v>
      </c>
    </row>
    <row r="6" spans="1:19" ht="16" thickBot="1">
      <c r="D6" s="9" t="s">
        <v>129</v>
      </c>
      <c r="E6" s="9" t="s">
        <v>69</v>
      </c>
      <c r="F6" s="14" t="s">
        <v>124</v>
      </c>
      <c r="G6" s="54">
        <f>((Main!F$126+$D$2*(Main!F$130-Main!F$126)/20)+(Sumo6!$E$2+1)*((Main!F$128+$D$2*(Main!F$132-Main!F$128)/20)-(Main!F$126+$D$2*(Main!F$130-Main!F$126)/20))/16)+(Sumo6!$F$2+1)*((Main!F$127+$D$2*(Main!F$131-Main!F$127)/20)+(Sumo6!$E$2+1)*((Main!F$129+$D$2*(Main!F$133-Main!F$129)/20)-(Main!F$127+$D$2*(Main!F$131-Main!F$127)/20))/16-((Main!F$126+$D$2*(Main!F$130-Main!F$126)/20)+(Sumo6!$E$2+1)*((Main!F$128+$D$2*(Main!F$132-Main!F$128)/20)-(Main!F$126+$D$2*(Main!F$130-Main!F$126)/20))/16))/16</f>
        <v>-86.716374999999999</v>
      </c>
      <c r="H6" s="54">
        <f>((Main!G$126+$D$2*(Main!G$130-Main!G$126)/20)+(Sumo6!$E$2+1)*((Main!G$128+$D$2*(Main!G$132-Main!G$128)/20)-(Main!G$126+$D$2*(Main!G$130-Main!G$126)/20))/16)+(Sumo6!$F$2+1)*((Main!G$127+$D$2*(Main!G$131-Main!G$127)/20)+(Sumo6!$E$2+1)*((Main!G$129+$D$2*(Main!G$133-Main!G$129)/20)-(Main!G$127+$D$2*(Main!G$131-Main!G$127)/20))/16-((Main!G$126+$D$2*(Main!G$130-Main!G$126)/20)+(Sumo6!$E$2+1)*((Main!G$128+$D$2*(Main!G$132-Main!G$128)/20)-(Main!G$126+$D$2*(Main!G$130-Main!G$126)/20))/16))/16</f>
        <v>-86.15190625000001</v>
      </c>
      <c r="I6" s="54">
        <f>((Main!H$126+$D$2*(Main!H$130-Main!H$126)/20)+(Sumo6!$E$2+1)*((Main!H$128+$D$2*(Main!H$132-Main!H$128)/20)-(Main!H$126+$D$2*(Main!H$130-Main!H$126)/20))/16)+(Sumo6!$F$2+1)*((Main!H$127+$D$2*(Main!H$131-Main!H$127)/20)+(Sumo6!$E$2+1)*((Main!H$129+$D$2*(Main!H$133-Main!H$129)/20)-(Main!H$127+$D$2*(Main!H$131-Main!H$127)/20))/16-((Main!H$126+$D$2*(Main!H$130-Main!H$126)/20)+(Sumo6!$E$2+1)*((Main!H$128+$D$2*(Main!H$132-Main!H$128)/20)-(Main!H$126+$D$2*(Main!H$130-Main!H$126)/20))/16))/16</f>
        <v>368.15625</v>
      </c>
      <c r="J6" s="18"/>
      <c r="K6" s="19"/>
      <c r="L6" s="19">
        <f>L3^2+L4^2+L5^2</f>
        <v>0.99999999999999989</v>
      </c>
      <c r="M6" s="19">
        <f>M3^2+M4^2+M5^2</f>
        <v>0.99999999999999978</v>
      </c>
      <c r="N6" s="19">
        <f>N3^2+N4^2+N5^2</f>
        <v>1</v>
      </c>
    </row>
    <row r="7" spans="1:19" ht="16" thickBot="1">
      <c r="D7" s="9" t="s">
        <v>129</v>
      </c>
      <c r="E7" s="9" t="s">
        <v>69</v>
      </c>
      <c r="F7" s="14" t="s">
        <v>125</v>
      </c>
      <c r="G7" s="54">
        <f>((Main!F$126+($D$2+1)*(Main!F$130-Main!F$126)/20)+Sumo6!$E$2*((Main!F$128+($D$2+1)*(Main!F$132-Main!F$128)/20)-(Main!F$126+($D$2+1)*(Main!F$130-Main!F$126)/20))/16)+Sumo6!$F$2*((Main!F$127+($D$2+1)*(Main!F$131-Main!F$127)/20)+Sumo6!$E$2*((Main!F$129+($D$2+1)*(Main!F$133-Main!F$129)/20)-(Main!F$127+($D$2+1)*(Main!F$131-Main!F$127)/20))/16-((Main!F$126+($D$2+1)*(Main!F$130-Main!F$126)/20)+Sumo6!$E$2*((Main!F$128+($D$2+1)*(Main!F$132-Main!F$128)/20)-(Main!F$126+($D$2+1)*(Main!F$130-Main!F$126)/20))/16))/16</f>
        <v>-76.041399999999996</v>
      </c>
      <c r="H7" s="54">
        <f>((Main!G$126+($D$2+1)*(Main!G$130-Main!G$126)/20)+Sumo6!$E$2*((Main!G$128+($D$2+1)*(Main!G$132-Main!G$128)/20)-(Main!G$126+($D$2+1)*(Main!G$130-Main!G$126)/20))/16)+Sumo6!$F$2*((Main!G$127+($D$2+1)*(Main!G$131-Main!G$127)/20)+Sumo6!$E$2*((Main!G$129+($D$2+1)*(Main!G$133-Main!G$129)/20)-(Main!G$127+($D$2+1)*(Main!G$131-Main!G$127)/20))/16-((Main!G$126+($D$2+1)*(Main!G$130-Main!G$126)/20)+Sumo6!$E$2*((Main!G$128+($D$2+1)*(Main!G$132-Main!G$128)/20)-(Main!G$126+($D$2+1)*(Main!G$130-Main!G$126)/20))/16))/16</f>
        <v>-94.190250000000006</v>
      </c>
      <c r="I7" s="54">
        <f>((Main!H$126+($D$2+1)*(Main!H$130-Main!H$126)/20)+Sumo6!$E$2*((Main!H$128+($D$2+1)*(Main!H$132-Main!H$128)/20)-(Main!H$126+($D$2+1)*(Main!H$130-Main!H$126)/20))/16)+Sumo6!$F$2*((Main!H$127+($D$2+1)*(Main!H$131-Main!H$127)/20)+Sumo6!$E$2*((Main!H$129+($D$2+1)*(Main!H$133-Main!H$129)/20)-(Main!H$127+($D$2+1)*(Main!H$131-Main!H$127)/20))/16-((Main!H$126+($D$2+1)*(Main!H$130-Main!H$126)/20)+Sumo6!$E$2*((Main!H$128+($D$2+1)*(Main!H$132-Main!H$128)/20)-(Main!H$126+($D$2+1)*(Main!H$130-Main!H$126)/20))/16))/16</f>
        <v>390</v>
      </c>
      <c r="J7" s="18"/>
      <c r="K7" s="19"/>
      <c r="L7" s="19"/>
      <c r="M7" s="19"/>
      <c r="N7" s="19"/>
    </row>
    <row r="8" spans="1:19" ht="16" thickBot="1">
      <c r="D8" s="9" t="s">
        <v>129</v>
      </c>
      <c r="E8" s="9" t="s">
        <v>69</v>
      </c>
      <c r="F8" s="14" t="s">
        <v>126</v>
      </c>
      <c r="G8" s="54">
        <f>((Main!F$126+($D$2+1)*(Main!F$130-Main!F$126)/20)+Sumo6!$E$2*((Main!F$128+($D$2+1)*(Main!F$132-Main!F$128)/20)-(Main!F$126+($D$2+1)*(Main!F$130-Main!F$126)/20))/16)+(Sumo6!$F$2+1)*((Main!F$127+($D$2+1)*(Main!F$131-Main!F$127)/20)+Sumo6!$E$2*((Main!F$129+($D$2+1)*(Main!F$133-Main!F$129)/20)-(Main!F$127+($D$2+1)*(Main!F$131-Main!F$127)/20))/16-((Main!F$126+($D$2+1)*(Main!F$130-Main!F$126)/20)+Sumo6!$E$2*((Main!F$128+($D$2+1)*(Main!F$132-Main!F$128)/20)-(Main!F$126+($D$2+1)*(Main!F$130-Main!F$126)/20))/16))/16</f>
        <v>-76.957331249999996</v>
      </c>
      <c r="H8" s="54">
        <f>((Main!G$126+($D$2+1)*(Main!G$130-Main!G$126)/20)+Sumo6!$E$2*((Main!G$128+($D$2+1)*(Main!G$132-Main!G$128)/20)-(Main!G$126+($D$2+1)*(Main!G$130-Main!G$126)/20))/16)+(Sumo6!$F$2+1)*((Main!G$127+($D$2+1)*(Main!G$131-Main!G$127)/20)+Sumo6!$E$2*((Main!G$129+($D$2+1)*(Main!G$133-Main!G$129)/20)-(Main!G$127+($D$2+1)*(Main!G$131-Main!G$127)/20))/16-((Main!G$126+($D$2+1)*(Main!G$130-Main!G$126)/20)+Sumo6!$E$2*((Main!G$128+($D$2+1)*(Main!G$132-Main!G$128)/20)-(Main!G$126+($D$2+1)*(Main!G$130-Main!G$126)/20))/16))/16</f>
        <v>-95.87419687500001</v>
      </c>
      <c r="I8" s="54">
        <f>((Main!H$126+($D$2+1)*(Main!H$130-Main!H$126)/20)+Sumo6!$E$2*((Main!H$128+($D$2+1)*(Main!H$132-Main!H$128)/20)-(Main!H$126+($D$2+1)*(Main!H$130-Main!H$126)/20))/16)+(Sumo6!$F$2+1)*((Main!H$127+($D$2+1)*(Main!H$131-Main!H$127)/20)+Sumo6!$E$2*((Main!H$129+($D$2+1)*(Main!H$133-Main!H$129)/20)-(Main!H$127+($D$2+1)*(Main!H$131-Main!H$127)/20))/16-((Main!H$126+($D$2+1)*(Main!H$130-Main!H$126)/20)+Sumo6!$E$2*((Main!H$128+($D$2+1)*(Main!H$132-Main!H$128)/20)-(Main!H$126+($D$2+1)*(Main!H$130-Main!H$126)/20))/16))/16</f>
        <v>368.15625</v>
      </c>
      <c r="J8" s="18"/>
      <c r="K8" s="19"/>
      <c r="L8" s="19"/>
      <c r="M8" s="19"/>
      <c r="N8" s="19"/>
    </row>
    <row r="9" spans="1:19" ht="16" thickBot="1">
      <c r="D9" s="9" t="s">
        <v>129</v>
      </c>
      <c r="E9" s="9" t="s">
        <v>69</v>
      </c>
      <c r="F9" s="14" t="s">
        <v>127</v>
      </c>
      <c r="G9" s="54">
        <f>((Main!F$126+($D$2+1)*(Main!F$130-Main!F$126)/20)+(Sumo6!$E$2+1)*((Main!F$128+($D$2+1)*(Main!F$132-Main!F$128)/20)-(Main!F$126+($D$2+1)*(Main!F$130-Main!F$126)/20))/16)+Sumo6!$F$2*((Main!F$127+($D$2+1)*(Main!F$131-Main!F$127)/20)+(Sumo6!$E$2+1)*((Main!F$129+($D$2+1)*(Main!F$133-Main!F$129)/20)-(Main!F$127+($D$2+1)*(Main!F$131-Main!F$127)/20))/16-((Main!F$126+($D$2+1)*(Main!F$130-Main!F$126)/20)+(Sumo6!$E$2+1)*((Main!F$128+($D$2+1)*(Main!F$132-Main!F$128)/20)-(Main!F$126+($D$2+1)*(Main!F$130-Main!F$126)/20))/16))/16</f>
        <v>-76.968178124999994</v>
      </c>
      <c r="H9" s="54">
        <f>((Main!G$126+($D$2+1)*(Main!G$130-Main!G$126)/20)+(Sumo6!$E$2+1)*((Main!G$128+($D$2+1)*(Main!G$132-Main!G$128)/20)-(Main!G$126+($D$2+1)*(Main!G$130-Main!G$126)/20))/16)+Sumo6!$F$2*((Main!G$127+($D$2+1)*(Main!G$131-Main!G$127)/20)+(Sumo6!$E$2+1)*((Main!G$129+($D$2+1)*(Main!G$133-Main!G$129)/20)-(Main!G$127+($D$2+1)*(Main!G$131-Main!G$127)/20))/16-((Main!G$126+($D$2+1)*(Main!G$130-Main!G$126)/20)+(Sumo6!$E$2+1)*((Main!G$128+($D$2+1)*(Main!G$132-Main!G$128)/20)-(Main!G$126+($D$2+1)*(Main!G$130-Main!G$126)/20))/16))/16</f>
        <v>-83.885140625000005</v>
      </c>
      <c r="I9" s="54">
        <f>((Main!H$126+($D$2+1)*(Main!H$130-Main!H$126)/20)+(Sumo6!$E$2+1)*((Main!H$128+($D$2+1)*(Main!H$132-Main!H$128)/20)-(Main!H$126+($D$2+1)*(Main!H$130-Main!H$126)/20))/16)+Sumo6!$F$2*((Main!H$127+($D$2+1)*(Main!H$131-Main!H$127)/20)+(Sumo6!$E$2+1)*((Main!H$129+($D$2+1)*(Main!H$133-Main!H$129)/20)-(Main!H$127+($D$2+1)*(Main!H$131-Main!H$127)/20))/16-((Main!H$126+($D$2+1)*(Main!H$130-Main!H$126)/20)+(Sumo6!$E$2+1)*((Main!H$128+($D$2+1)*(Main!H$132-Main!H$128)/20)-(Main!H$126+($D$2+1)*(Main!H$130-Main!H$126)/20))/16))/16</f>
        <v>390</v>
      </c>
      <c r="J9" s="18"/>
      <c r="K9" s="19"/>
      <c r="L9" s="19"/>
      <c r="M9" s="19"/>
      <c r="N9" s="19"/>
    </row>
    <row r="10" spans="1:19" ht="16" thickBot="1">
      <c r="D10" s="9" t="s">
        <v>129</v>
      </c>
      <c r="E10" s="9" t="s">
        <v>69</v>
      </c>
      <c r="F10" s="14" t="s">
        <v>128</v>
      </c>
      <c r="G10" s="54">
        <f>((Main!F$126+($D$2+1)*(Main!F$130-Main!F$126)/20)+(Sumo6!$E$2+1)*((Main!F$128+($D$2+1)*(Main!F$132-Main!F$128)/20)-(Main!F$126+($D$2+1)*(Main!F$130-Main!F$126)/20))/16)+(Sumo6!$F$2+1)*((Main!F$127+($D$2+1)*(Main!F$131-Main!F$127)/20)+(Sumo6!$E$2+1)*((Main!F$129+($D$2+1)*(Main!F$133-Main!F$129)/20)-(Main!F$127+($D$2+1)*(Main!F$131-Main!F$127)/20))/16-((Main!F$126+($D$2+1)*(Main!F$130-Main!F$126)/20)+(Sumo6!$E$2+1)*((Main!F$128+($D$2+1)*(Main!F$132-Main!F$128)/20)-(Main!F$126+($D$2+1)*(Main!F$130-Main!F$126)/20))/16))/16</f>
        <v>-77.901163476562488</v>
      </c>
      <c r="H10" s="54">
        <f>((Main!G$126+($D$2+1)*(Main!G$130-Main!G$126)/20)+(Sumo6!$E$2+1)*((Main!G$128+($D$2+1)*(Main!G$132-Main!G$128)/20)-(Main!G$126+($D$2+1)*(Main!G$130-Main!G$126)/20))/16)+(Sumo6!$F$2+1)*((Main!G$127+($D$2+1)*(Main!G$131-Main!G$127)/20)+(Sumo6!$E$2+1)*((Main!G$129+($D$2+1)*(Main!G$133-Main!G$129)/20)-(Main!G$127+($D$2+1)*(Main!G$131-Main!G$127)/20))/16-((Main!G$126+($D$2+1)*(Main!G$130-Main!G$126)/20)+(Sumo6!$E$2+1)*((Main!G$128+($D$2+1)*(Main!G$132-Main!G$128)/20)-(Main!G$126+($D$2+1)*(Main!G$130-Main!G$126)/20))/16))/16</f>
        <v>-85.379496289062502</v>
      </c>
      <c r="I10" s="54">
        <f>((Main!H$126+($D$2+1)*(Main!H$130-Main!H$126)/20)+(Sumo6!$E$2+1)*((Main!H$128+($D$2+1)*(Main!H$132-Main!H$128)/20)-(Main!H$126+($D$2+1)*(Main!H$130-Main!H$126)/20))/16)+(Sumo6!$F$2+1)*((Main!H$127+($D$2+1)*(Main!H$131-Main!H$127)/20)+(Sumo6!$E$2+1)*((Main!H$129+($D$2+1)*(Main!H$133-Main!H$129)/20)-(Main!H$127+($D$2+1)*(Main!H$131-Main!H$127)/20))/16-((Main!H$126+($D$2+1)*(Main!H$130-Main!H$126)/20)+(Sumo6!$E$2+1)*((Main!H$128+($D$2+1)*(Main!H$132-Main!H$128)/20)-(Main!H$126+($D$2+1)*(Main!H$130-Main!H$126)/20))/16))/16</f>
        <v>368.15625</v>
      </c>
      <c r="J10" s="18"/>
      <c r="K10" s="19"/>
      <c r="L10" s="19"/>
      <c r="M10" s="19"/>
      <c r="N10" s="19"/>
    </row>
    <row r="11" spans="1:19">
      <c r="G11" s="19"/>
      <c r="H11" s="19"/>
      <c r="I11" s="19"/>
      <c r="J11" s="19"/>
      <c r="K11" s="19"/>
      <c r="L11" s="19"/>
      <c r="M11" s="19"/>
      <c r="N11" s="19"/>
    </row>
    <row r="12" spans="1:19">
      <c r="G12" s="19"/>
      <c r="H12" s="19"/>
      <c r="I12" s="19"/>
      <c r="J12" s="19"/>
      <c r="K12" s="19"/>
      <c r="L12" s="24" t="s">
        <v>47</v>
      </c>
      <c r="M12" s="24"/>
      <c r="N12" s="24" t="s">
        <v>136</v>
      </c>
      <c r="O12" s="8"/>
      <c r="P12" s="8"/>
      <c r="Q12" s="8"/>
      <c r="R12" s="89"/>
      <c r="S12" s="89"/>
    </row>
    <row r="13" spans="1:19" ht="14" thickBot="1">
      <c r="G13" s="31" t="s">
        <v>20</v>
      </c>
      <c r="H13" s="31" t="s">
        <v>21</v>
      </c>
      <c r="I13" s="31" t="s">
        <v>22</v>
      </c>
      <c r="J13" s="24" t="s">
        <v>131</v>
      </c>
      <c r="K13" s="19"/>
      <c r="L13" s="24" t="s">
        <v>20</v>
      </c>
      <c r="M13" s="24" t="s">
        <v>21</v>
      </c>
      <c r="N13" s="24" t="s">
        <v>22</v>
      </c>
      <c r="O13" s="8"/>
      <c r="P13" s="8"/>
      <c r="Q13" s="8"/>
      <c r="R13" s="89"/>
      <c r="S13" s="89"/>
    </row>
    <row r="14" spans="1:19" ht="29" thickBot="1">
      <c r="A14" t="s">
        <v>50</v>
      </c>
      <c r="D14" s="241" t="s">
        <v>130</v>
      </c>
      <c r="E14" s="242"/>
      <c r="F14" s="16" t="s">
        <v>68</v>
      </c>
      <c r="G14" s="25">
        <f>($L$3*$G2+$M$3*$H2+$N$3*$I2)+$L$14</f>
        <v>-1213.0645626225903</v>
      </c>
      <c r="H14" s="25">
        <f>($L$4*$G2+$M$4*$H2+$N$4*$I2)+$M$14</f>
        <v>844.91189819116221</v>
      </c>
      <c r="I14" s="26">
        <f t="shared" ref="I14:I22" si="1">($L$5*$G2+$M$5*$H2+$N$5*$I2)+$N$14</f>
        <v>105.33389733957328</v>
      </c>
      <c r="J14" s="19"/>
      <c r="K14" s="19"/>
      <c r="L14" s="53">
        <f>Main!F79</f>
        <v>-1499.1120000000001</v>
      </c>
      <c r="M14" s="53">
        <f>Main!G79</f>
        <v>1120.903</v>
      </c>
      <c r="N14" s="53">
        <f>Main!H79</f>
        <v>83.272000000000006</v>
      </c>
    </row>
    <row r="15" spans="1:19" ht="16" thickBot="1">
      <c r="F15" s="87" t="s">
        <v>121</v>
      </c>
      <c r="G15" s="28">
        <f t="shared" ref="G15:G22" si="2">($L$3*$G3+$M$3*$H3+$N$3*$I3)+$L$14</f>
        <v>-1205.7491547306286</v>
      </c>
      <c r="H15" s="28">
        <f t="shared" ref="H15:H22" si="3">($L$4*$G3+$M$4*$H3+$N$4*$I3)+$M$14</f>
        <v>835.0998824481685</v>
      </c>
      <c r="I15" s="28">
        <f t="shared" si="1"/>
        <v>107.05101452481335</v>
      </c>
      <c r="J15" s="19"/>
      <c r="K15" s="19"/>
      <c r="L15" s="19"/>
      <c r="M15" s="19"/>
      <c r="N15" s="19"/>
    </row>
    <row r="16" spans="1:19" ht="16" thickBot="1">
      <c r="A16" s="9" t="s">
        <v>72</v>
      </c>
      <c r="B16" s="9"/>
      <c r="C16" s="9"/>
      <c r="F16" s="88" t="s">
        <v>122</v>
      </c>
      <c r="G16" s="29">
        <f t="shared" si="2"/>
        <v>-1224.8222311551276</v>
      </c>
      <c r="H16" s="29">
        <f t="shared" si="3"/>
        <v>844.85748389343462</v>
      </c>
      <c r="I16" s="29">
        <f t="shared" si="1"/>
        <v>111.74547703431628</v>
      </c>
      <c r="J16" s="19"/>
      <c r="K16" s="19"/>
      <c r="L16" s="19"/>
      <c r="M16" s="19"/>
      <c r="N16" s="19"/>
    </row>
    <row r="17" spans="1:18" ht="16" thickBot="1">
      <c r="A17" s="9" t="s">
        <v>71</v>
      </c>
      <c r="B17" s="9"/>
      <c r="C17" s="9"/>
      <c r="F17" s="88" t="s">
        <v>123</v>
      </c>
      <c r="G17" s="29">
        <f t="shared" si="2"/>
        <v>-1200.2910733650333</v>
      </c>
      <c r="H17" s="29">
        <f t="shared" si="3"/>
        <v>843.86230121681297</v>
      </c>
      <c r="I17" s="29">
        <f t="shared" si="1"/>
        <v>107.54061074291786</v>
      </c>
      <c r="J17" s="19"/>
      <c r="K17" s="19"/>
      <c r="L17" s="83">
        <f>L14</f>
        <v>-1499.1120000000001</v>
      </c>
      <c r="M17" s="84">
        <f>M14*COS($G$40)+N14*SIN($G$40)</f>
        <v>1123.7249611432685</v>
      </c>
      <c r="N17" s="85">
        <f>-M14*SIN($G$40)+N14*COS($G$40)</f>
        <v>24.494348257498409</v>
      </c>
      <c r="O17" s="86" t="s">
        <v>137</v>
      </c>
      <c r="P17" s="82"/>
      <c r="Q17" s="81"/>
    </row>
    <row r="18" spans="1:18" ht="16" thickBot="1">
      <c r="F18" s="88" t="s">
        <v>124</v>
      </c>
      <c r="G18" s="29">
        <f t="shared" si="2"/>
        <v>-1219.263700276807</v>
      </c>
      <c r="H18" s="29">
        <f t="shared" si="3"/>
        <v>853.78116718180365</v>
      </c>
      <c r="I18" s="29">
        <f t="shared" si="1"/>
        <v>112.24407559266285</v>
      </c>
      <c r="J18" s="19"/>
      <c r="K18" s="19"/>
      <c r="L18" s="19"/>
      <c r="M18" s="19"/>
      <c r="N18" s="19"/>
    </row>
    <row r="19" spans="1:18" ht="16" thickBot="1">
      <c r="F19" s="88" t="s">
        <v>125</v>
      </c>
      <c r="G19" s="29">
        <f t="shared" si="2"/>
        <v>-1206.8062715824678</v>
      </c>
      <c r="H19" s="29">
        <f t="shared" si="3"/>
        <v>836.10637774531631</v>
      </c>
      <c r="I19" s="29">
        <f t="shared" si="1"/>
        <v>98.526358452917194</v>
      </c>
    </row>
    <row r="20" spans="1:18" ht="16" thickBot="1">
      <c r="F20" s="88" t="s">
        <v>126</v>
      </c>
      <c r="G20" s="29">
        <f t="shared" si="2"/>
        <v>-1225.8921679416801</v>
      </c>
      <c r="H20" s="29">
        <f t="shared" si="3"/>
        <v>845.87616851650819</v>
      </c>
      <c r="I20" s="29">
        <f t="shared" si="1"/>
        <v>103.11749230641978</v>
      </c>
      <c r="J20" s="19"/>
      <c r="K20" s="19"/>
      <c r="L20" s="19"/>
      <c r="M20" s="19"/>
      <c r="N20" s="19"/>
    </row>
    <row r="21" spans="1:18" ht="16" thickBot="1">
      <c r="F21" s="88" t="s">
        <v>127</v>
      </c>
      <c r="G21" s="29">
        <f t="shared" si="2"/>
        <v>-1201.3531656137006</v>
      </c>
      <c r="H21" s="29">
        <f t="shared" si="3"/>
        <v>844.89020545470419</v>
      </c>
      <c r="I21" s="29">
        <f t="shared" si="1"/>
        <v>98.923849931054846</v>
      </c>
      <c r="J21" s="19"/>
      <c r="K21" s="19"/>
      <c r="L21" s="19"/>
      <c r="M21" s="19"/>
      <c r="N21" s="19"/>
    </row>
    <row r="22" spans="1:18" ht="16" thickBot="1">
      <c r="F22" s="88" t="s">
        <v>128</v>
      </c>
      <c r="G22" s="29">
        <f t="shared" si="2"/>
        <v>-1220.3387363152779</v>
      </c>
      <c r="H22" s="29">
        <f t="shared" si="3"/>
        <v>854.82159907254993</v>
      </c>
      <c r="I22" s="29">
        <f t="shared" si="1"/>
        <v>103.522300131484</v>
      </c>
      <c r="J22" s="19"/>
      <c r="K22" s="19"/>
      <c r="L22" s="19"/>
      <c r="M22" s="19"/>
      <c r="N22" s="19"/>
    </row>
    <row r="23" spans="1:18" ht="14" thickBot="1">
      <c r="K23" s="9"/>
      <c r="O23" s="9"/>
      <c r="R23" s="9"/>
    </row>
    <row r="24" spans="1:18" ht="15">
      <c r="D24" s="42" t="s">
        <v>138</v>
      </c>
      <c r="E24" s="56" t="s">
        <v>98</v>
      </c>
      <c r="F24" s="73"/>
      <c r="G24" s="76">
        <v>-1205.7491547306286</v>
      </c>
      <c r="H24" s="77">
        <v>835.0998824481685</v>
      </c>
      <c r="I24" s="78">
        <v>107.05101452481335</v>
      </c>
      <c r="J24" s="32" t="s">
        <v>85</v>
      </c>
      <c r="K24" s="163" t="s">
        <v>145</v>
      </c>
      <c r="L24" s="156">
        <f>SQRT((G24-G26)^2+(H26-H24)^2+(I26-I24)^2)</f>
        <v>165.35854035336988</v>
      </c>
      <c r="M24" s="19"/>
      <c r="O24" s="18"/>
      <c r="P24" s="18"/>
      <c r="Q24" s="18"/>
    </row>
    <row r="25" spans="1:18" ht="16" thickBot="1">
      <c r="D25" s="43" t="s">
        <v>139</v>
      </c>
      <c r="E25" s="57" t="s">
        <v>99</v>
      </c>
      <c r="F25" s="74"/>
      <c r="G25" s="71">
        <v>-1226.8914917674151</v>
      </c>
      <c r="H25" s="70">
        <v>855.22978839112625</v>
      </c>
      <c r="I25" s="72">
        <v>-63.442106913109896</v>
      </c>
      <c r="J25" s="32" t="s">
        <v>86</v>
      </c>
      <c r="K25" s="163" t="s">
        <v>146</v>
      </c>
      <c r="L25" s="19">
        <f>SQRT((G30-G28)^2+(H30-H28)^2+(I30-I28)^2)</f>
        <v>214.05065021178407</v>
      </c>
      <c r="M25" s="19"/>
      <c r="O25" s="18"/>
      <c r="P25" s="18"/>
      <c r="Q25" s="18"/>
    </row>
    <row r="26" spans="1:18" ht="15">
      <c r="D26" s="9" t="s">
        <v>97</v>
      </c>
      <c r="E26" s="57" t="s">
        <v>101</v>
      </c>
      <c r="F26" s="74"/>
      <c r="G26" s="71">
        <v>-1118.4198528811057</v>
      </c>
      <c r="H26" s="70">
        <v>975.29858274647984</v>
      </c>
      <c r="I26" s="72">
        <v>114.88455401448549</v>
      </c>
      <c r="J26" s="32" t="s">
        <v>87</v>
      </c>
      <c r="K26" s="163" t="s">
        <v>147</v>
      </c>
      <c r="L26" s="19">
        <f>SQRT((G30-G26)^2+(H30-H26)^2+(I30-I26)^2)</f>
        <v>350.79442105553954</v>
      </c>
      <c r="M26" s="19"/>
      <c r="O26" s="18"/>
      <c r="P26" s="18"/>
      <c r="Q26" s="18"/>
    </row>
    <row r="27" spans="1:18" ht="15">
      <c r="E27" s="57" t="s">
        <v>100</v>
      </c>
      <c r="F27" s="74"/>
      <c r="G27" s="71">
        <v>-1141.1543169028487</v>
      </c>
      <c r="H27" s="70">
        <v>1002.2793497273158</v>
      </c>
      <c r="I27" s="72">
        <v>-85.082084212828917</v>
      </c>
      <c r="J27" s="32" t="s">
        <v>88</v>
      </c>
      <c r="K27" s="163" t="s">
        <v>149</v>
      </c>
      <c r="L27" s="19">
        <f>SQRT((G27-G26)^2+(H27-H26)^2+(I27-I26)^2)</f>
        <v>203.05534724592633</v>
      </c>
      <c r="M27" s="19">
        <f>L27/8</f>
        <v>25.381918405740791</v>
      </c>
      <c r="O27" s="18"/>
      <c r="P27" s="18"/>
      <c r="Q27" s="18"/>
    </row>
    <row r="28" spans="1:18" ht="15">
      <c r="E28" s="57" t="s">
        <v>102</v>
      </c>
      <c r="F28" s="74"/>
      <c r="G28" s="71">
        <v>-1510.918377522614</v>
      </c>
      <c r="H28" s="70">
        <v>991.22150557242594</v>
      </c>
      <c r="I28" s="72">
        <v>182.16241467686038</v>
      </c>
      <c r="J28" s="32" t="s">
        <v>89</v>
      </c>
      <c r="K28" s="163" t="s">
        <v>148</v>
      </c>
      <c r="L28" s="19">
        <f>SQRT((G24-G25)^2+(H24-H25)^2+(I24-I25)^2)</f>
        <v>172.97432175411427</v>
      </c>
      <c r="M28" s="19">
        <f t="shared" ref="M28:M30" si="4">L28/8</f>
        <v>21.621790219264284</v>
      </c>
      <c r="O28" s="18"/>
      <c r="P28" s="18"/>
      <c r="Q28" s="18"/>
    </row>
    <row r="29" spans="1:18" ht="15">
      <c r="E29" s="57" t="s">
        <v>103</v>
      </c>
      <c r="F29" s="74"/>
      <c r="G29" s="71">
        <v>-1536.163093667587</v>
      </c>
      <c r="H29" s="70">
        <v>1015.2519958116166</v>
      </c>
      <c r="I29" s="72">
        <v>-21.395876681171458</v>
      </c>
      <c r="J29" s="32" t="s">
        <v>90</v>
      </c>
      <c r="K29" s="163" t="s">
        <v>150</v>
      </c>
      <c r="L29" s="18">
        <f>SQRT((G31-G30)^2+(H31-H30)^2+(I31-I30)^2)</f>
        <v>245.39730038441232</v>
      </c>
      <c r="M29" s="19">
        <f t="shared" si="4"/>
        <v>30.67466254805154</v>
      </c>
      <c r="O29" s="18"/>
      <c r="P29" s="18"/>
      <c r="Q29" s="18"/>
    </row>
    <row r="30" spans="1:18">
      <c r="E30" s="40" t="s">
        <v>107</v>
      </c>
      <c r="F30" s="74"/>
      <c r="G30" s="71">
        <v>-1397.8740004153187</v>
      </c>
      <c r="H30" s="70">
        <v>1172.7039229202446</v>
      </c>
      <c r="I30" s="72">
        <v>192.30055326850066</v>
      </c>
      <c r="J30" s="32" t="s">
        <v>91</v>
      </c>
      <c r="K30" s="163" t="s">
        <v>151</v>
      </c>
      <c r="L30" s="19">
        <f>SQRT((G28-G29)^2+(H29-H28)^2+(I29-I28)^2)</f>
        <v>206.52055136227355</v>
      </c>
      <c r="M30" s="19">
        <f t="shared" si="4"/>
        <v>25.815068920284194</v>
      </c>
      <c r="O30" s="18"/>
      <c r="P30" s="18"/>
      <c r="Q30" s="18"/>
    </row>
    <row r="31" spans="1:18" ht="14" thickBot="1">
      <c r="E31" s="41" t="s">
        <v>104</v>
      </c>
      <c r="F31" s="75"/>
      <c r="G31" s="65">
        <v>-1425.3449816094726</v>
      </c>
      <c r="H31" s="39">
        <v>1205.3175080753099</v>
      </c>
      <c r="I31" s="66">
        <v>-49.363540654285558</v>
      </c>
      <c r="J31" s="32" t="s">
        <v>92</v>
      </c>
      <c r="K31" s="32"/>
      <c r="L31" s="32"/>
      <c r="M31" s="32"/>
      <c r="O31" s="18"/>
      <c r="P31" s="18"/>
      <c r="Q31" s="18"/>
    </row>
    <row r="32" spans="1:18" ht="15">
      <c r="E32" s="90" t="s">
        <v>140</v>
      </c>
    </row>
    <row r="33" spans="1:10">
      <c r="E33" s="9" t="s">
        <v>141</v>
      </c>
    </row>
    <row r="34" spans="1:10" ht="15">
      <c r="E34" s="46"/>
      <c r="F34" s="47"/>
      <c r="G34" s="48"/>
      <c r="H34" s="48"/>
      <c r="I34" s="48"/>
      <c r="J34" s="49"/>
    </row>
    <row r="39" spans="1:10">
      <c r="F39" s="81" t="s">
        <v>111</v>
      </c>
      <c r="G39" s="82">
        <f>Main!$J$73</f>
        <v>-3</v>
      </c>
    </row>
    <row r="40" spans="1:10" ht="14" thickBot="1">
      <c r="F40" s="81" t="s">
        <v>108</v>
      </c>
      <c r="G40" s="81">
        <f>(18-$C$2)*PI()/15-(G39*PI()/180)</f>
        <v>5.2359877559829883E-2</v>
      </c>
      <c r="H40" s="9"/>
    </row>
    <row r="41" spans="1:10" ht="29" thickBot="1">
      <c r="A41" s="9"/>
      <c r="B41" s="9"/>
      <c r="D41" s="243" t="s">
        <v>142</v>
      </c>
      <c r="E41" s="244"/>
      <c r="F41" s="34" t="s">
        <v>143</v>
      </c>
      <c r="G41" s="35">
        <f>(($L$3*$G2+$M$3*$H2+$N$3*$I2)+$L$14)*(-1)^($B$2)</f>
        <v>-1213.0645626225903</v>
      </c>
      <c r="H41" s="35">
        <f t="shared" ref="H41:H49" si="5">((($L$4*$G2+$M$4*$H2+$N$4*$I2)+$M$14)*COS($G$40) + (($L$5*$G2+$M$5*$H2+$N$5*$I2)+$N$14)*SIN($G$40))</f>
        <v>849.26672604130681</v>
      </c>
      <c r="I41" s="36">
        <f t="shared" ref="I41:I49" si="6" xml:space="preserve"> - (($L$4*$G2+$M$4*$H2+$N$4*$I2)+$M$14)*SIN($G$40) + (($L$5*$G2+$M$5*$H2+$N$5*$I2)+$N$14)*COS($G$40)*(-1)^($B$2)</f>
        <v>60.970268761228837</v>
      </c>
    </row>
    <row r="42" spans="1:10" ht="16" thickBot="1">
      <c r="A42" s="9"/>
      <c r="D42" s="245"/>
      <c r="E42" s="246"/>
      <c r="F42" s="91" t="s">
        <v>121</v>
      </c>
      <c r="G42" s="35">
        <f t="shared" ref="G42:G49" si="7">(($L$3*$G3+$M$3*$H3+$N$3*$I3)+$L$14)*(-1)^($B$2)</f>
        <v>-1205.7491547306286</v>
      </c>
      <c r="H42" s="35">
        <f t="shared" si="5"/>
        <v>839.55802429474727</v>
      </c>
      <c r="I42" s="36">
        <f t="shared" si="6"/>
        <v>63.198553923624601</v>
      </c>
    </row>
    <row r="43" spans="1:10" ht="16" thickBot="1">
      <c r="D43" s="247"/>
      <c r="E43" s="248"/>
      <c r="F43" s="92" t="s">
        <v>122</v>
      </c>
      <c r="G43" s="35">
        <f t="shared" si="7"/>
        <v>-1224.8222311551276</v>
      </c>
      <c r="H43" s="35">
        <f t="shared" si="5"/>
        <v>849.54794247083532</v>
      </c>
      <c r="I43" s="36">
        <f t="shared" si="6"/>
        <v>67.375909433136769</v>
      </c>
    </row>
    <row r="44" spans="1:10" ht="16" thickBot="1">
      <c r="F44" s="92" t="s">
        <v>123</v>
      </c>
      <c r="G44" s="35">
        <f t="shared" si="7"/>
        <v>-1200.2910733650333</v>
      </c>
      <c r="H44" s="35">
        <f t="shared" si="5"/>
        <v>848.3340579592508</v>
      </c>
      <c r="I44" s="36">
        <f t="shared" si="6"/>
        <v>63.228889601869781</v>
      </c>
    </row>
    <row r="45" spans="1:10" ht="16" thickBot="1">
      <c r="D45" s="249" t="s">
        <v>106</v>
      </c>
      <c r="E45" s="250"/>
      <c r="F45" s="92" t="s">
        <v>124</v>
      </c>
      <c r="G45" s="35">
        <f t="shared" si="7"/>
        <v>-1219.263700276807</v>
      </c>
      <c r="H45" s="35">
        <f t="shared" si="5"/>
        <v>858.48549079372879</v>
      </c>
      <c r="I45" s="36">
        <f t="shared" si="6"/>
        <v>67.406795181381739</v>
      </c>
    </row>
    <row r="46" spans="1:10" ht="16" thickBot="1">
      <c r="D46" s="251"/>
      <c r="E46" s="250"/>
      <c r="F46" s="92" t="s">
        <v>125</v>
      </c>
      <c r="G46" s="35">
        <f t="shared" si="7"/>
        <v>-1206.8062715824678</v>
      </c>
      <c r="H46" s="35">
        <f t="shared" si="5"/>
        <v>840.11699419790568</v>
      </c>
      <c r="I46" s="36">
        <f t="shared" si="6"/>
        <v>54.632904702773928</v>
      </c>
    </row>
    <row r="47" spans="1:10" ht="16" thickBot="1">
      <c r="D47" s="251" t="s">
        <v>81</v>
      </c>
      <c r="E47" s="250"/>
      <c r="F47" s="92" t="s">
        <v>126</v>
      </c>
      <c r="G47" s="35">
        <f t="shared" si="7"/>
        <v>-1225.8921679416801</v>
      </c>
      <c r="H47" s="35">
        <f t="shared" si="5"/>
        <v>850.11367719085285</v>
      </c>
      <c r="I47" s="36">
        <f t="shared" si="6"/>
        <v>58.706435224589384</v>
      </c>
    </row>
    <row r="48" spans="1:10" ht="16" thickBot="1">
      <c r="D48" s="251"/>
      <c r="E48" s="250"/>
      <c r="F48" s="92" t="s">
        <v>127</v>
      </c>
      <c r="G48" s="35">
        <f t="shared" si="7"/>
        <v>-1201.3531656137006</v>
      </c>
      <c r="H48" s="35">
        <f t="shared" si="5"/>
        <v>848.90958707330287</v>
      </c>
      <c r="I48" s="36">
        <f t="shared" si="6"/>
        <v>54.570141410011367</v>
      </c>
    </row>
    <row r="49" spans="6:9" ht="16" thickBot="1">
      <c r="F49" s="92" t="s">
        <v>128</v>
      </c>
      <c r="G49" s="35">
        <f t="shared" si="7"/>
        <v>-1220.3387363152779</v>
      </c>
      <c r="H49" s="35">
        <f t="shared" si="5"/>
        <v>859.06803434983158</v>
      </c>
      <c r="I49" s="36">
        <f t="shared" si="6"/>
        <v>58.642520612442979</v>
      </c>
    </row>
  </sheetData>
  <mergeCells count="4">
    <mergeCell ref="D14:E14"/>
    <mergeCell ref="D41:E43"/>
    <mergeCell ref="D45:E46"/>
    <mergeCell ref="D47:E48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7B4E-56DE-C745-AA5B-6166A235616F}">
  <dimension ref="A1:J29"/>
  <sheetViews>
    <sheetView workbookViewId="0">
      <selection activeCell="G2" sqref="G2:J2"/>
    </sheetView>
  </sheetViews>
  <sheetFormatPr baseColWidth="10" defaultRowHeight="13"/>
  <cols>
    <col min="1" max="1" width="22.83203125" customWidth="1"/>
    <col min="2" max="5" width="14.5" bestFit="1" customWidth="1"/>
    <col min="6" max="6" width="16" customWidth="1"/>
    <col min="7" max="7" width="16.33203125" customWidth="1"/>
  </cols>
  <sheetData>
    <row r="1" spans="1:10" ht="18">
      <c r="A1" s="164"/>
      <c r="B1" s="164" t="s">
        <v>152</v>
      </c>
      <c r="C1" s="164" t="s">
        <v>153</v>
      </c>
      <c r="D1" s="164" t="s">
        <v>154</v>
      </c>
      <c r="E1" s="164" t="s">
        <v>155</v>
      </c>
    </row>
    <row r="2" spans="1:10" ht="16">
      <c r="A2" s="166" t="s">
        <v>145</v>
      </c>
      <c r="B2" s="165">
        <v>158.66558665667631</v>
      </c>
      <c r="C2" s="165">
        <v>157.21068051693797</v>
      </c>
      <c r="D2" s="165">
        <v>159.58862525575194</v>
      </c>
      <c r="E2" s="165">
        <v>165.35854035336988</v>
      </c>
      <c r="F2" s="167" t="s">
        <v>156</v>
      </c>
      <c r="G2" s="187">
        <f>B2-B3</f>
        <v>-25.868360599554165</v>
      </c>
      <c r="H2" s="187">
        <f t="shared" ref="H2:J2" si="0">C2-C3</f>
        <v>-41.947672109753199</v>
      </c>
      <c r="I2" s="187">
        <f t="shared" si="0"/>
        <v>-41.504080789408704</v>
      </c>
      <c r="J2" s="187">
        <f t="shared" si="0"/>
        <v>-48.692109858414199</v>
      </c>
    </row>
    <row r="3" spans="1:10" ht="16">
      <c r="A3" s="166" t="s">
        <v>146</v>
      </c>
      <c r="B3" s="165">
        <v>184.53394725623048</v>
      </c>
      <c r="C3" s="165">
        <v>199.15835262669117</v>
      </c>
      <c r="D3" s="165">
        <v>201.09270604516064</v>
      </c>
      <c r="E3" s="165">
        <v>214.05065021178407</v>
      </c>
      <c r="F3" s="167" t="s">
        <v>157</v>
      </c>
    </row>
    <row r="4" spans="1:10" ht="16">
      <c r="A4" s="166" t="s">
        <v>147</v>
      </c>
      <c r="B4" s="165">
        <v>294.34387452798859</v>
      </c>
      <c r="C4" s="165">
        <v>314.84056876570992</v>
      </c>
      <c r="D4" s="165">
        <v>329.93062741897239</v>
      </c>
      <c r="E4" s="165">
        <v>350.79442105553954</v>
      </c>
      <c r="F4" s="167" t="s">
        <v>158</v>
      </c>
    </row>
    <row r="5" spans="1:10" ht="16">
      <c r="A5" s="166" t="s">
        <v>149</v>
      </c>
      <c r="B5" s="165">
        <v>92.002433178632657</v>
      </c>
      <c r="C5" s="165">
        <v>126.5092206873687</v>
      </c>
      <c r="D5" s="165">
        <v>162.87746426189494</v>
      </c>
      <c r="E5" s="165">
        <v>203.05534724592633</v>
      </c>
      <c r="F5" s="167" t="s">
        <v>159</v>
      </c>
    </row>
    <row r="6" spans="1:10" ht="16">
      <c r="A6" s="166" t="s">
        <v>148</v>
      </c>
      <c r="B6" s="165">
        <v>59.506075176698495</v>
      </c>
      <c r="C6" s="165">
        <v>94.857764792472381</v>
      </c>
      <c r="D6" s="165">
        <v>132.02700952687258</v>
      </c>
      <c r="E6" s="165">
        <v>172.97432175411427</v>
      </c>
      <c r="F6" s="167" t="s">
        <v>160</v>
      </c>
    </row>
    <row r="7" spans="1:10" ht="16">
      <c r="A7" s="166" t="s">
        <v>150</v>
      </c>
      <c r="B7" s="165">
        <v>105.21571723899255</v>
      </c>
      <c r="C7" s="165">
        <v>149.04522850879388</v>
      </c>
      <c r="D7" s="165">
        <v>194.45975139111516</v>
      </c>
      <c r="E7" s="165">
        <v>245.39730038441232</v>
      </c>
      <c r="F7" s="167" t="s">
        <v>162</v>
      </c>
    </row>
    <row r="8" spans="1:10" ht="16">
      <c r="A8" s="166" t="s">
        <v>151</v>
      </c>
      <c r="B8" s="165">
        <v>67.426216111771879</v>
      </c>
      <c r="C8" s="165">
        <v>108.98403732926707</v>
      </c>
      <c r="D8" s="165">
        <v>277.08687144298608</v>
      </c>
      <c r="E8" s="165">
        <v>206.52055136227355</v>
      </c>
      <c r="F8" s="167" t="s">
        <v>161</v>
      </c>
    </row>
    <row r="9" spans="1:10" ht="16">
      <c r="A9" s="168"/>
      <c r="B9" s="169"/>
      <c r="C9" s="169"/>
      <c r="D9" s="169"/>
      <c r="E9" s="169"/>
      <c r="F9" s="167"/>
    </row>
    <row r="10" spans="1:10" ht="16">
      <c r="A10" s="168" t="s">
        <v>176</v>
      </c>
      <c r="B10" s="169">
        <f>B4/16</f>
        <v>18.396492157999287</v>
      </c>
      <c r="C10" s="169">
        <f t="shared" ref="C10:E10" si="1">C4/16</f>
        <v>19.67753554785687</v>
      </c>
      <c r="D10" s="170">
        <f t="shared" si="1"/>
        <v>20.620664213685775</v>
      </c>
      <c r="E10" s="170">
        <f t="shared" si="1"/>
        <v>21.924651315971222</v>
      </c>
      <c r="F10" s="167"/>
    </row>
    <row r="11" spans="1:10" ht="16">
      <c r="A11" s="93"/>
      <c r="B11" s="93"/>
      <c r="C11" s="93"/>
      <c r="D11" s="93"/>
      <c r="E11" s="93"/>
      <c r="F11" s="93"/>
    </row>
    <row r="12" spans="1:10" ht="16">
      <c r="A12" s="93" t="s">
        <v>164</v>
      </c>
      <c r="B12" s="93"/>
      <c r="C12" s="93"/>
      <c r="D12" s="93"/>
      <c r="E12" s="93"/>
      <c r="F12" s="93"/>
    </row>
    <row r="13" spans="1:10" ht="16">
      <c r="A13" s="93" t="s">
        <v>165</v>
      </c>
      <c r="B13" s="93" t="s">
        <v>163</v>
      </c>
      <c r="C13" s="93" t="s">
        <v>170</v>
      </c>
      <c r="D13" s="93" t="s">
        <v>172</v>
      </c>
      <c r="E13" s="93" t="s">
        <v>174</v>
      </c>
      <c r="F13" s="93"/>
    </row>
    <row r="14" spans="1:10" ht="16">
      <c r="A14" s="93" t="s">
        <v>166</v>
      </c>
      <c r="B14" s="9" t="s">
        <v>168</v>
      </c>
      <c r="C14" s="9" t="s">
        <v>171</v>
      </c>
      <c r="D14" s="9" t="s">
        <v>173</v>
      </c>
      <c r="E14" s="9" t="s">
        <v>175</v>
      </c>
    </row>
    <row r="15" spans="1:10" ht="16">
      <c r="A15" s="93" t="s">
        <v>167</v>
      </c>
      <c r="B15" s="9" t="s">
        <v>169</v>
      </c>
      <c r="C15" s="9" t="s">
        <v>169</v>
      </c>
      <c r="D15" s="9" t="s">
        <v>169</v>
      </c>
      <c r="E15" s="9" t="s">
        <v>169</v>
      </c>
    </row>
    <row r="18" spans="1:5" ht="18">
      <c r="A18" s="164"/>
      <c r="B18" s="164" t="s">
        <v>152</v>
      </c>
      <c r="C18" s="164" t="s">
        <v>153</v>
      </c>
      <c r="D18" s="164" t="s">
        <v>154</v>
      </c>
      <c r="E18" s="164" t="s">
        <v>155</v>
      </c>
    </row>
    <row r="19" spans="1:5" ht="16">
      <c r="A19" s="166" t="s">
        <v>177</v>
      </c>
      <c r="B19" s="165">
        <f>B2-0.3*2-4</f>
        <v>154.06558665667632</v>
      </c>
      <c r="C19" s="165">
        <f t="shared" ref="C19:E19" si="2">C2-0.3*2-4</f>
        <v>152.61068051693798</v>
      </c>
      <c r="D19" s="165">
        <f t="shared" si="2"/>
        <v>154.98862525575194</v>
      </c>
      <c r="E19" s="165">
        <f t="shared" si="2"/>
        <v>160.75854035336988</v>
      </c>
    </row>
    <row r="20" spans="1:5" ht="16">
      <c r="A20" s="166" t="s">
        <v>178</v>
      </c>
      <c r="B20" s="165">
        <f t="shared" ref="B20:B21" si="3">B3-0.3*2-4</f>
        <v>179.93394725623048</v>
      </c>
      <c r="C20" s="165">
        <f t="shared" ref="C20:E20" si="4">C3-0.3*2-4</f>
        <v>194.55835262669117</v>
      </c>
      <c r="D20" s="165">
        <f t="shared" si="4"/>
        <v>196.49270604516065</v>
      </c>
      <c r="E20" s="165">
        <f t="shared" si="4"/>
        <v>209.45065021178408</v>
      </c>
    </row>
    <row r="21" spans="1:5" ht="16">
      <c r="A21" s="166" t="s">
        <v>179</v>
      </c>
      <c r="B21" s="165">
        <f t="shared" si="3"/>
        <v>289.74387452798857</v>
      </c>
      <c r="C21" s="165">
        <f t="shared" ref="C21:E21" si="5">C4-0.3*2-4</f>
        <v>310.2405687657099</v>
      </c>
      <c r="D21" s="165">
        <f t="shared" si="5"/>
        <v>325.33062741897237</v>
      </c>
      <c r="E21" s="165">
        <f t="shared" si="5"/>
        <v>346.19442105553952</v>
      </c>
    </row>
    <row r="22" spans="1:5" ht="16">
      <c r="A22" s="166" t="s">
        <v>180</v>
      </c>
      <c r="B22" s="165">
        <f t="shared" ref="B22:E22" si="6">B5-0.3*2-4</f>
        <v>87.402433178632663</v>
      </c>
      <c r="C22" s="165">
        <f t="shared" si="6"/>
        <v>121.9092206873687</v>
      </c>
      <c r="D22" s="165">
        <f t="shared" si="6"/>
        <v>158.27746426189495</v>
      </c>
      <c r="E22" s="165">
        <f t="shared" si="6"/>
        <v>198.45534724592633</v>
      </c>
    </row>
    <row r="23" spans="1:5" ht="16">
      <c r="A23" s="166" t="s">
        <v>181</v>
      </c>
      <c r="B23" s="165">
        <f t="shared" ref="B23:E23" si="7">B6-0.3*2-4</f>
        <v>54.906075176698494</v>
      </c>
      <c r="C23" s="165">
        <f t="shared" si="7"/>
        <v>90.257764792472386</v>
      </c>
      <c r="D23" s="165">
        <f t="shared" si="7"/>
        <v>127.42700952687258</v>
      </c>
      <c r="E23" s="165">
        <f t="shared" si="7"/>
        <v>168.37432175411428</v>
      </c>
    </row>
    <row r="24" spans="1:5" ht="16">
      <c r="A24" s="166" t="s">
        <v>182</v>
      </c>
      <c r="B24" s="165">
        <f t="shared" ref="B24:E24" si="8">B7-0.3*2-4</f>
        <v>100.61571723899256</v>
      </c>
      <c r="C24" s="165">
        <f t="shared" si="8"/>
        <v>144.44522850879389</v>
      </c>
      <c r="D24" s="165">
        <f t="shared" si="8"/>
        <v>189.85975139111517</v>
      </c>
      <c r="E24" s="165">
        <f t="shared" si="8"/>
        <v>240.79730038441232</v>
      </c>
    </row>
    <row r="25" spans="1:5" ht="16">
      <c r="A25" s="166" t="s">
        <v>183</v>
      </c>
      <c r="B25" s="165">
        <f t="shared" ref="B25:E25" si="9">B8-0.3*2-4</f>
        <v>62.826216111771885</v>
      </c>
      <c r="C25" s="165">
        <f t="shared" si="9"/>
        <v>104.38403732926707</v>
      </c>
      <c r="D25" s="165">
        <f t="shared" si="9"/>
        <v>272.48687144298606</v>
      </c>
      <c r="E25" s="165">
        <f t="shared" si="9"/>
        <v>201.92055136227356</v>
      </c>
    </row>
    <row r="26" spans="1:5" ht="16">
      <c r="A26" s="166" t="s">
        <v>184</v>
      </c>
      <c r="B26" s="165">
        <v>166</v>
      </c>
      <c r="C26" s="165">
        <f>B27</f>
        <v>158.4</v>
      </c>
      <c r="D26" s="165">
        <f>C27</f>
        <v>151.30000000000001</v>
      </c>
      <c r="E26" s="165">
        <f>D27</f>
        <v>144.60000000000002</v>
      </c>
    </row>
    <row r="27" spans="1:5" ht="16">
      <c r="A27" s="166" t="s">
        <v>185</v>
      </c>
      <c r="B27" s="165">
        <f>166-7.6</f>
        <v>158.4</v>
      </c>
      <c r="C27" s="165">
        <f>C26-7.1</f>
        <v>151.30000000000001</v>
      </c>
      <c r="D27" s="165">
        <f>D26-6.7</f>
        <v>144.60000000000002</v>
      </c>
      <c r="E27" s="165">
        <f>E26-6.4</f>
        <v>138.20000000000002</v>
      </c>
    </row>
    <row r="29" spans="1:5" ht="16">
      <c r="A29" s="168" t="s">
        <v>176</v>
      </c>
      <c r="B29" s="169">
        <f>B21/16</f>
        <v>18.108992157999285</v>
      </c>
      <c r="C29" s="169">
        <f t="shared" ref="C29:E29" si="10">C21/16</f>
        <v>19.390035547856868</v>
      </c>
      <c r="D29" s="169">
        <f t="shared" si="10"/>
        <v>20.333164213685773</v>
      </c>
      <c r="E29" s="169">
        <f t="shared" si="10"/>
        <v>21.63715131597122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93EC-E9E1-B34D-901A-E8761D421348}">
  <dimension ref="A2:T41"/>
  <sheetViews>
    <sheetView workbookViewId="0">
      <selection activeCell="J45" sqref="J45"/>
    </sheetView>
  </sheetViews>
  <sheetFormatPr baseColWidth="10" defaultRowHeight="16"/>
  <cols>
    <col min="1" max="1" width="10.83203125" style="93"/>
    <col min="2" max="2" width="13.83203125" style="93" customWidth="1"/>
    <col min="3" max="3" width="13.1640625" style="93" customWidth="1"/>
    <col min="4" max="4" width="12.6640625" style="93" customWidth="1"/>
    <col min="5" max="5" width="13.6640625" style="93" customWidth="1"/>
    <col min="6" max="6" width="12.6640625" style="93" customWidth="1"/>
    <col min="7" max="7" width="13.33203125" style="93" customWidth="1"/>
    <col min="8" max="9" width="12.6640625" style="93" customWidth="1"/>
    <col min="10" max="11" width="12.83203125" style="93" customWidth="1"/>
    <col min="12" max="12" width="13.1640625" style="93" customWidth="1"/>
  </cols>
  <sheetData>
    <row r="2" spans="1:20">
      <c r="A2" s="166" t="s">
        <v>186</v>
      </c>
      <c r="B2" s="173">
        <v>10</v>
      </c>
      <c r="C2" s="173">
        <v>20</v>
      </c>
      <c r="D2" s="173">
        <v>30</v>
      </c>
      <c r="E2" s="173">
        <v>40</v>
      </c>
      <c r="F2" s="173">
        <v>50</v>
      </c>
      <c r="G2" s="173">
        <v>60</v>
      </c>
      <c r="H2" s="173">
        <v>70</v>
      </c>
      <c r="I2" s="173">
        <v>75</v>
      </c>
      <c r="J2" s="173">
        <v>80</v>
      </c>
      <c r="K2" s="173">
        <v>85</v>
      </c>
      <c r="L2" s="173">
        <v>90</v>
      </c>
      <c r="M2" s="172"/>
      <c r="N2" s="172"/>
      <c r="O2" s="172"/>
      <c r="P2" s="172"/>
      <c r="Q2" s="172"/>
      <c r="R2" s="172"/>
      <c r="S2" s="172"/>
      <c r="T2" s="172"/>
    </row>
    <row r="3" spans="1:20">
      <c r="A3" s="166" t="s">
        <v>188</v>
      </c>
      <c r="B3" s="173">
        <f>B2*2</f>
        <v>20</v>
      </c>
      <c r="C3" s="173">
        <f t="shared" ref="C3:L3" si="0">C2*2</f>
        <v>40</v>
      </c>
      <c r="D3" s="173">
        <f t="shared" si="0"/>
        <v>60</v>
      </c>
      <c r="E3" s="173">
        <f t="shared" si="0"/>
        <v>80</v>
      </c>
      <c r="F3" s="173">
        <f t="shared" si="0"/>
        <v>100</v>
      </c>
      <c r="G3" s="173">
        <f t="shared" si="0"/>
        <v>120</v>
      </c>
      <c r="H3" s="173">
        <f t="shared" si="0"/>
        <v>140</v>
      </c>
      <c r="I3" s="173">
        <f t="shared" ref="I3" si="1">I2*2</f>
        <v>150</v>
      </c>
      <c r="J3" s="173">
        <f t="shared" ref="J3" si="2">J2*2</f>
        <v>160</v>
      </c>
      <c r="K3" s="173">
        <f t="shared" si="0"/>
        <v>170</v>
      </c>
      <c r="L3" s="173">
        <f t="shared" si="0"/>
        <v>180</v>
      </c>
      <c r="M3" s="172"/>
      <c r="N3" s="172"/>
      <c r="O3" s="172"/>
      <c r="P3" s="172"/>
      <c r="Q3" s="172"/>
      <c r="R3" s="172"/>
      <c r="S3" s="172"/>
      <c r="T3" s="172"/>
    </row>
    <row r="4" spans="1:20">
      <c r="A4" s="166" t="s">
        <v>187</v>
      </c>
    </row>
    <row r="5" spans="1:20">
      <c r="A5" s="173">
        <v>0.5</v>
      </c>
      <c r="B5" s="174">
        <f>2*A5*SIN($B$2*PI()/180)</f>
        <v>0.17364817766693033</v>
      </c>
      <c r="C5" s="174">
        <f>2*A5*SIN($C$2*PI()/180)</f>
        <v>0.34202014332566871</v>
      </c>
      <c r="D5" s="174">
        <f>2*$A5*SIN($C$2*PI()/180)</f>
        <v>0.34202014332566871</v>
      </c>
      <c r="E5" s="174">
        <f>2*$A5*SIN($E$2*PI()/180)</f>
        <v>0.64278760968653925</v>
      </c>
      <c r="F5" s="174">
        <f t="shared" ref="F5:L5" si="3">2*$A5*SIN(F$2*PI()/180)</f>
        <v>0.76604444311897801</v>
      </c>
      <c r="G5" s="174">
        <f t="shared" si="3"/>
        <v>0.8660254037844386</v>
      </c>
      <c r="H5" s="175">
        <f t="shared" si="3"/>
        <v>0.93969262078590832</v>
      </c>
      <c r="I5" s="175">
        <f t="shared" si="3"/>
        <v>0.96592582628906831</v>
      </c>
      <c r="J5" s="175">
        <f t="shared" si="3"/>
        <v>0.98480775301220802</v>
      </c>
      <c r="K5" s="175">
        <f t="shared" si="3"/>
        <v>0.99619469809174555</v>
      </c>
      <c r="L5" s="176">
        <f t="shared" si="3"/>
        <v>1</v>
      </c>
      <c r="M5" s="171"/>
      <c r="N5" s="171"/>
      <c r="O5" s="171"/>
      <c r="P5" s="171"/>
      <c r="Q5" s="171"/>
      <c r="R5" s="171"/>
      <c r="S5" s="171"/>
      <c r="T5" s="171"/>
    </row>
    <row r="6" spans="1:20">
      <c r="A6" s="173">
        <v>1</v>
      </c>
      <c r="B6" s="174">
        <f t="shared" ref="B6:B22" si="4">2*A6*SIN($B$2*PI()/180)</f>
        <v>0.34729635533386066</v>
      </c>
      <c r="C6" s="174">
        <f t="shared" ref="C6:C22" si="5">2*A6*SIN($C$2*PI()/180)</f>
        <v>0.68404028665133743</v>
      </c>
      <c r="D6" s="174">
        <f t="shared" ref="D6:D22" si="6">2*$A6*SIN($C$2*PI()/180)</f>
        <v>0.68404028665133743</v>
      </c>
      <c r="E6" s="174">
        <f t="shared" ref="E6:E22" si="7">2*$A6*SIN($E$2*PI()/180)</f>
        <v>1.2855752193730785</v>
      </c>
      <c r="F6" s="174">
        <f t="shared" ref="F6:H22" si="8">2*$A6*SIN(F$2*PI()/180)</f>
        <v>1.532088886237956</v>
      </c>
      <c r="G6" s="174">
        <f t="shared" si="8"/>
        <v>1.7320508075688772</v>
      </c>
      <c r="H6" s="175">
        <f t="shared" si="8"/>
        <v>1.8793852415718166</v>
      </c>
      <c r="I6" s="175">
        <f t="shared" ref="I6:L22" si="9">2*$A6*SIN(I$2*PI()/180)</f>
        <v>1.9318516525781366</v>
      </c>
      <c r="J6" s="175">
        <f t="shared" si="9"/>
        <v>1.969615506024416</v>
      </c>
      <c r="K6" s="175">
        <f t="shared" si="9"/>
        <v>1.9923893961834911</v>
      </c>
      <c r="L6" s="176">
        <f t="shared" si="9"/>
        <v>2</v>
      </c>
      <c r="M6" s="171"/>
      <c r="N6" s="171"/>
      <c r="O6" s="171"/>
      <c r="P6" s="171"/>
      <c r="Q6" s="171"/>
      <c r="R6" s="171"/>
      <c r="S6" s="171"/>
      <c r="T6" s="171"/>
    </row>
    <row r="7" spans="1:20">
      <c r="A7" s="173">
        <v>1.5</v>
      </c>
      <c r="B7" s="174">
        <f t="shared" si="4"/>
        <v>0.52094453300079102</v>
      </c>
      <c r="C7" s="174">
        <f t="shared" si="5"/>
        <v>1.0260604299770062</v>
      </c>
      <c r="D7" s="174">
        <f t="shared" si="6"/>
        <v>1.0260604299770062</v>
      </c>
      <c r="E7" s="174">
        <f t="shared" si="7"/>
        <v>1.9283628290596178</v>
      </c>
      <c r="F7" s="174">
        <f t="shared" si="8"/>
        <v>2.2981333293569342</v>
      </c>
      <c r="G7" s="174">
        <f t="shared" si="8"/>
        <v>2.598076211353316</v>
      </c>
      <c r="H7" s="175">
        <f t="shared" si="8"/>
        <v>2.8190778623577248</v>
      </c>
      <c r="I7" s="175">
        <f t="shared" si="9"/>
        <v>2.897777478867205</v>
      </c>
      <c r="J7" s="175">
        <f t="shared" si="9"/>
        <v>2.9544232590366239</v>
      </c>
      <c r="K7" s="175">
        <f t="shared" si="9"/>
        <v>2.9885840942752369</v>
      </c>
      <c r="L7" s="176">
        <f t="shared" si="9"/>
        <v>3</v>
      </c>
      <c r="M7" s="171"/>
      <c r="N7" s="171"/>
      <c r="O7" s="171"/>
      <c r="P7" s="171"/>
      <c r="Q7" s="171"/>
      <c r="R7" s="171"/>
      <c r="S7" s="171"/>
      <c r="T7" s="171"/>
    </row>
    <row r="8" spans="1:20">
      <c r="A8" s="173">
        <v>2</v>
      </c>
      <c r="B8" s="174">
        <f t="shared" si="4"/>
        <v>0.69459271066772132</v>
      </c>
      <c r="C8" s="174">
        <f t="shared" si="5"/>
        <v>1.3680805733026749</v>
      </c>
      <c r="D8" s="174">
        <f t="shared" si="6"/>
        <v>1.3680805733026749</v>
      </c>
      <c r="E8" s="174">
        <f t="shared" si="7"/>
        <v>2.571150438746157</v>
      </c>
      <c r="F8" s="174">
        <f t="shared" si="8"/>
        <v>3.0641777724759121</v>
      </c>
      <c r="G8" s="174">
        <f t="shared" si="8"/>
        <v>3.4641016151377544</v>
      </c>
      <c r="H8" s="175">
        <f t="shared" si="8"/>
        <v>3.7587704831436333</v>
      </c>
      <c r="I8" s="175">
        <f t="shared" si="9"/>
        <v>3.8637033051562732</v>
      </c>
      <c r="J8" s="175">
        <f t="shared" si="9"/>
        <v>3.9392310120488321</v>
      </c>
      <c r="K8" s="175">
        <f t="shared" si="9"/>
        <v>3.9847787923669822</v>
      </c>
      <c r="L8" s="176">
        <f t="shared" si="9"/>
        <v>4</v>
      </c>
      <c r="M8" s="171"/>
      <c r="N8" s="171"/>
      <c r="O8" s="171"/>
      <c r="P8" s="171"/>
      <c r="Q8" s="171"/>
      <c r="R8" s="171"/>
      <c r="S8" s="171"/>
      <c r="T8" s="171"/>
    </row>
    <row r="9" spans="1:20">
      <c r="A9" s="173">
        <v>2.5</v>
      </c>
      <c r="B9" s="174">
        <f t="shared" si="4"/>
        <v>0.86824088833465163</v>
      </c>
      <c r="C9" s="174">
        <f t="shared" si="5"/>
        <v>1.7101007166283435</v>
      </c>
      <c r="D9" s="174">
        <f t="shared" si="6"/>
        <v>1.7101007166283435</v>
      </c>
      <c r="E9" s="174">
        <f t="shared" si="7"/>
        <v>3.2139380484326963</v>
      </c>
      <c r="F9" s="174">
        <f t="shared" si="8"/>
        <v>3.83022221559489</v>
      </c>
      <c r="G9" s="174">
        <f t="shared" si="8"/>
        <v>4.3301270189221928</v>
      </c>
      <c r="H9" s="175">
        <f t="shared" si="8"/>
        <v>4.6984631039295417</v>
      </c>
      <c r="I9" s="175">
        <f t="shared" si="9"/>
        <v>4.8296291314453415</v>
      </c>
      <c r="J9" s="175">
        <f t="shared" si="9"/>
        <v>4.9240387650610398</v>
      </c>
      <c r="K9" s="175">
        <f t="shared" si="9"/>
        <v>4.9809734904587275</v>
      </c>
      <c r="L9" s="176">
        <f t="shared" si="9"/>
        <v>5</v>
      </c>
      <c r="M9" s="171"/>
      <c r="N9" s="171"/>
      <c r="O9" s="171"/>
      <c r="P9" s="171"/>
      <c r="Q9" s="171"/>
      <c r="R9" s="171"/>
      <c r="S9" s="171"/>
      <c r="T9" s="171"/>
    </row>
    <row r="10" spans="1:20">
      <c r="A10" s="173">
        <v>3</v>
      </c>
      <c r="B10" s="174">
        <f t="shared" si="4"/>
        <v>1.041889066001582</v>
      </c>
      <c r="C10" s="174">
        <f t="shared" si="5"/>
        <v>2.0521208599540124</v>
      </c>
      <c r="D10" s="174">
        <f t="shared" si="6"/>
        <v>2.0521208599540124</v>
      </c>
      <c r="E10" s="174">
        <f t="shared" si="7"/>
        <v>3.8567256581192355</v>
      </c>
      <c r="F10" s="174">
        <f t="shared" si="8"/>
        <v>4.5962666587138683</v>
      </c>
      <c r="G10" s="174">
        <f t="shared" si="8"/>
        <v>5.196152422706632</v>
      </c>
      <c r="H10" s="175">
        <f t="shared" si="8"/>
        <v>5.6381557247154497</v>
      </c>
      <c r="I10" s="175">
        <f t="shared" si="9"/>
        <v>5.7955549577344101</v>
      </c>
      <c r="J10" s="175">
        <f t="shared" si="9"/>
        <v>5.9088465180732479</v>
      </c>
      <c r="K10" s="175">
        <f t="shared" si="9"/>
        <v>5.9771681885504737</v>
      </c>
      <c r="L10" s="176">
        <f t="shared" si="9"/>
        <v>6</v>
      </c>
      <c r="M10" s="171"/>
      <c r="N10" s="171"/>
      <c r="O10" s="171"/>
      <c r="P10" s="171"/>
      <c r="Q10" s="171"/>
      <c r="R10" s="171"/>
      <c r="S10" s="171"/>
      <c r="T10" s="171"/>
    </row>
    <row r="11" spans="1:20">
      <c r="A11" s="173">
        <v>3.5</v>
      </c>
      <c r="B11" s="174">
        <f t="shared" si="4"/>
        <v>1.2155372436685123</v>
      </c>
      <c r="C11" s="174">
        <f t="shared" si="5"/>
        <v>2.3941410032796808</v>
      </c>
      <c r="D11" s="174">
        <f t="shared" si="6"/>
        <v>2.3941410032796808</v>
      </c>
      <c r="E11" s="174">
        <f t="shared" si="7"/>
        <v>4.4995132678057743</v>
      </c>
      <c r="F11" s="174">
        <f t="shared" si="8"/>
        <v>5.3623111018328462</v>
      </c>
      <c r="G11" s="174">
        <f t="shared" si="8"/>
        <v>6.0621778264910704</v>
      </c>
      <c r="H11" s="175">
        <f t="shared" si="8"/>
        <v>6.5778483455013586</v>
      </c>
      <c r="I11" s="175">
        <f t="shared" si="9"/>
        <v>6.7614807840234779</v>
      </c>
      <c r="J11" s="175">
        <f t="shared" si="9"/>
        <v>6.893654271085456</v>
      </c>
      <c r="K11" s="175">
        <f t="shared" si="9"/>
        <v>6.973362886642219</v>
      </c>
      <c r="L11" s="176">
        <f t="shared" si="9"/>
        <v>7</v>
      </c>
      <c r="M11" s="171"/>
      <c r="N11" s="171"/>
      <c r="O11" s="171"/>
      <c r="P11" s="171"/>
      <c r="Q11" s="171"/>
      <c r="R11" s="171"/>
      <c r="S11" s="171"/>
      <c r="T11" s="171"/>
    </row>
    <row r="12" spans="1:20">
      <c r="A12" s="173">
        <v>4</v>
      </c>
      <c r="B12" s="174">
        <f t="shared" si="4"/>
        <v>1.3891854213354426</v>
      </c>
      <c r="C12" s="174">
        <f t="shared" si="5"/>
        <v>2.7361611466053497</v>
      </c>
      <c r="D12" s="174">
        <f t="shared" si="6"/>
        <v>2.7361611466053497</v>
      </c>
      <c r="E12" s="174">
        <f t="shared" si="7"/>
        <v>5.142300877492314</v>
      </c>
      <c r="F12" s="174">
        <f t="shared" si="8"/>
        <v>6.1283555449518241</v>
      </c>
      <c r="G12" s="174">
        <f t="shared" si="8"/>
        <v>6.9282032302755088</v>
      </c>
      <c r="H12" s="175">
        <f t="shared" si="8"/>
        <v>7.5175409662872665</v>
      </c>
      <c r="I12" s="175">
        <f t="shared" si="9"/>
        <v>7.7274066103125465</v>
      </c>
      <c r="J12" s="175">
        <f t="shared" si="9"/>
        <v>7.8784620240976642</v>
      </c>
      <c r="K12" s="175">
        <f t="shared" si="9"/>
        <v>7.9695575847339644</v>
      </c>
      <c r="L12" s="176">
        <f t="shared" si="9"/>
        <v>8</v>
      </c>
      <c r="M12" s="171"/>
      <c r="N12" s="171"/>
      <c r="O12" s="171"/>
      <c r="P12" s="171"/>
      <c r="Q12" s="171"/>
      <c r="R12" s="171"/>
      <c r="S12" s="171"/>
      <c r="T12" s="171"/>
    </row>
    <row r="13" spans="1:20">
      <c r="A13" s="173">
        <v>4.5</v>
      </c>
      <c r="B13" s="174">
        <f t="shared" si="4"/>
        <v>1.562833599002373</v>
      </c>
      <c r="C13" s="174">
        <f t="shared" si="5"/>
        <v>3.0781812899310186</v>
      </c>
      <c r="D13" s="174">
        <f t="shared" si="6"/>
        <v>3.0781812899310186</v>
      </c>
      <c r="E13" s="174">
        <f t="shared" si="7"/>
        <v>5.7850884871788537</v>
      </c>
      <c r="F13" s="174">
        <f t="shared" si="8"/>
        <v>6.894399988070802</v>
      </c>
      <c r="G13" s="174">
        <f t="shared" si="8"/>
        <v>7.7942286340599471</v>
      </c>
      <c r="H13" s="175">
        <f t="shared" si="8"/>
        <v>8.4572335870731745</v>
      </c>
      <c r="I13" s="175">
        <f t="shared" si="9"/>
        <v>8.6933324366016151</v>
      </c>
      <c r="J13" s="175">
        <f t="shared" si="9"/>
        <v>8.8632697771098723</v>
      </c>
      <c r="K13" s="175">
        <f t="shared" si="9"/>
        <v>8.9657522828257097</v>
      </c>
      <c r="L13" s="176">
        <f t="shared" si="9"/>
        <v>9</v>
      </c>
      <c r="M13" s="171"/>
      <c r="N13" s="171"/>
      <c r="O13" s="171"/>
      <c r="P13" s="171"/>
      <c r="Q13" s="171"/>
      <c r="R13" s="171"/>
      <c r="S13" s="171"/>
      <c r="T13" s="171"/>
    </row>
    <row r="14" spans="1:20">
      <c r="A14" s="173">
        <v>5</v>
      </c>
      <c r="B14" s="174">
        <f t="shared" si="4"/>
        <v>1.7364817766693033</v>
      </c>
      <c r="C14" s="174">
        <f t="shared" si="5"/>
        <v>3.420201433256687</v>
      </c>
      <c r="D14" s="174">
        <f t="shared" si="6"/>
        <v>3.420201433256687</v>
      </c>
      <c r="E14" s="174">
        <f t="shared" si="7"/>
        <v>6.4278760968653925</v>
      </c>
      <c r="F14" s="174">
        <f t="shared" si="8"/>
        <v>7.6604444311897799</v>
      </c>
      <c r="G14" s="174">
        <f t="shared" si="8"/>
        <v>8.6602540378443855</v>
      </c>
      <c r="H14" s="175">
        <f t="shared" si="8"/>
        <v>9.3969262078590834</v>
      </c>
      <c r="I14" s="175">
        <f t="shared" si="9"/>
        <v>9.6592582628906829</v>
      </c>
      <c r="J14" s="175">
        <f t="shared" si="9"/>
        <v>9.8480775301220795</v>
      </c>
      <c r="K14" s="175">
        <f t="shared" si="9"/>
        <v>9.961946980917455</v>
      </c>
      <c r="L14" s="176">
        <f t="shared" si="9"/>
        <v>10</v>
      </c>
      <c r="M14" s="171"/>
      <c r="N14" s="171"/>
      <c r="O14" s="171"/>
      <c r="P14" s="171"/>
      <c r="Q14" s="171"/>
      <c r="R14" s="171"/>
      <c r="S14" s="171"/>
      <c r="T14" s="171"/>
    </row>
    <row r="15" spans="1:20">
      <c r="A15" s="173">
        <v>5.5</v>
      </c>
      <c r="B15" s="174">
        <f t="shared" si="4"/>
        <v>1.9101299543362336</v>
      </c>
      <c r="C15" s="174">
        <f t="shared" si="5"/>
        <v>3.7622215765823559</v>
      </c>
      <c r="D15" s="174">
        <f t="shared" si="6"/>
        <v>3.7622215765823559</v>
      </c>
      <c r="E15" s="174">
        <f t="shared" si="7"/>
        <v>7.0706637065519313</v>
      </c>
      <c r="F15" s="174">
        <f t="shared" si="8"/>
        <v>8.4264888743087578</v>
      </c>
      <c r="G15" s="174">
        <f t="shared" si="8"/>
        <v>9.5262794416288248</v>
      </c>
      <c r="H15" s="176">
        <f t="shared" si="8"/>
        <v>10.336618828644992</v>
      </c>
      <c r="I15" s="176">
        <f t="shared" si="9"/>
        <v>10.625184089179751</v>
      </c>
      <c r="J15" s="176">
        <f t="shared" si="9"/>
        <v>10.832885283134289</v>
      </c>
      <c r="K15" s="176">
        <f t="shared" si="9"/>
        <v>10.9581416790092</v>
      </c>
      <c r="L15" s="174">
        <f t="shared" si="9"/>
        <v>11</v>
      </c>
      <c r="M15" s="171"/>
      <c r="N15" s="171"/>
      <c r="O15" s="171"/>
      <c r="P15" s="171"/>
      <c r="Q15" s="171"/>
      <c r="R15" s="171"/>
      <c r="S15" s="171"/>
      <c r="T15" s="171"/>
    </row>
    <row r="16" spans="1:20">
      <c r="A16" s="173">
        <v>6</v>
      </c>
      <c r="B16" s="174">
        <f t="shared" si="4"/>
        <v>2.0837781320031641</v>
      </c>
      <c r="C16" s="174">
        <f t="shared" si="5"/>
        <v>4.1042417199080248</v>
      </c>
      <c r="D16" s="174">
        <f t="shared" si="6"/>
        <v>4.1042417199080248</v>
      </c>
      <c r="E16" s="174">
        <f t="shared" si="7"/>
        <v>7.713451316238471</v>
      </c>
      <c r="F16" s="174">
        <f t="shared" si="8"/>
        <v>9.1925333174277366</v>
      </c>
      <c r="G16" s="174">
        <f t="shared" si="8"/>
        <v>10.392304845413264</v>
      </c>
      <c r="H16" s="174">
        <f t="shared" si="8"/>
        <v>11.276311449430899</v>
      </c>
      <c r="I16" s="174">
        <f t="shared" si="9"/>
        <v>11.59110991546882</v>
      </c>
      <c r="J16" s="174">
        <f t="shared" si="9"/>
        <v>11.817693036146496</v>
      </c>
      <c r="K16" s="174">
        <f t="shared" si="9"/>
        <v>11.954336377100947</v>
      </c>
      <c r="L16" s="174">
        <f t="shared" si="9"/>
        <v>12</v>
      </c>
      <c r="M16" s="171"/>
      <c r="N16" s="171"/>
      <c r="O16" s="171"/>
      <c r="P16" s="171"/>
      <c r="Q16" s="171"/>
      <c r="R16" s="171"/>
      <c r="S16" s="171"/>
      <c r="T16" s="171"/>
    </row>
    <row r="17" spans="1:20">
      <c r="A17" s="173">
        <v>6.5</v>
      </c>
      <c r="B17" s="174">
        <f t="shared" si="4"/>
        <v>2.2574263096700942</v>
      </c>
      <c r="C17" s="174">
        <f t="shared" si="5"/>
        <v>4.4462618632336932</v>
      </c>
      <c r="D17" s="174">
        <f t="shared" si="6"/>
        <v>4.4462618632336932</v>
      </c>
      <c r="E17" s="174">
        <f t="shared" si="7"/>
        <v>8.3562389259250107</v>
      </c>
      <c r="F17" s="174">
        <f t="shared" si="8"/>
        <v>9.9585777605467136</v>
      </c>
      <c r="G17" s="174">
        <f t="shared" si="8"/>
        <v>11.258330249197702</v>
      </c>
      <c r="H17" s="174">
        <f t="shared" si="8"/>
        <v>12.216004070216808</v>
      </c>
      <c r="I17" s="174">
        <f t="shared" si="9"/>
        <v>12.557035741757888</v>
      </c>
      <c r="J17" s="174">
        <f t="shared" si="9"/>
        <v>12.802500789158705</v>
      </c>
      <c r="K17" s="174">
        <f t="shared" si="9"/>
        <v>12.950531075192693</v>
      </c>
      <c r="L17" s="174">
        <f t="shared" si="9"/>
        <v>13</v>
      </c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73">
        <v>7</v>
      </c>
      <c r="B18" s="174">
        <f t="shared" si="4"/>
        <v>2.4310744873370247</v>
      </c>
      <c r="C18" s="174">
        <f t="shared" si="5"/>
        <v>4.7882820065593616</v>
      </c>
      <c r="D18" s="174">
        <f t="shared" si="6"/>
        <v>4.7882820065593616</v>
      </c>
      <c r="E18" s="174">
        <f t="shared" si="7"/>
        <v>8.9990265356115486</v>
      </c>
      <c r="F18" s="174">
        <f t="shared" si="8"/>
        <v>10.724622203665692</v>
      </c>
      <c r="G18" s="174">
        <f t="shared" si="8"/>
        <v>12.124355652982141</v>
      </c>
      <c r="H18" s="174">
        <f t="shared" si="8"/>
        <v>13.155696691002717</v>
      </c>
      <c r="I18" s="174">
        <f t="shared" si="9"/>
        <v>13.522961568046956</v>
      </c>
      <c r="J18" s="174">
        <f t="shared" si="9"/>
        <v>13.787308542170912</v>
      </c>
      <c r="K18" s="174">
        <f t="shared" si="9"/>
        <v>13.946725773284438</v>
      </c>
      <c r="L18" s="174">
        <f t="shared" si="9"/>
        <v>14</v>
      </c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73">
        <v>7.5</v>
      </c>
      <c r="B19" s="174">
        <f t="shared" si="4"/>
        <v>2.6047226650039548</v>
      </c>
      <c r="C19" s="174">
        <f t="shared" si="5"/>
        <v>5.130302149885031</v>
      </c>
      <c r="D19" s="174">
        <f t="shared" si="6"/>
        <v>5.130302149885031</v>
      </c>
      <c r="E19" s="174">
        <f t="shared" si="7"/>
        <v>9.6418141452980883</v>
      </c>
      <c r="F19" s="174">
        <f t="shared" si="8"/>
        <v>11.490666646784669</v>
      </c>
      <c r="G19" s="174">
        <f t="shared" si="8"/>
        <v>12.990381056766578</v>
      </c>
      <c r="H19" s="174">
        <f t="shared" si="8"/>
        <v>14.095389311788624</v>
      </c>
      <c r="I19" s="174">
        <f t="shared" si="9"/>
        <v>14.488887394336025</v>
      </c>
      <c r="J19" s="174">
        <f t="shared" si="9"/>
        <v>14.772116295183121</v>
      </c>
      <c r="K19" s="174">
        <f t="shared" si="9"/>
        <v>14.942920471376183</v>
      </c>
      <c r="L19" s="174">
        <f t="shared" si="9"/>
        <v>15</v>
      </c>
      <c r="M19" s="171"/>
      <c r="N19" s="171"/>
      <c r="O19" s="171"/>
      <c r="P19" s="171"/>
      <c r="Q19" s="171"/>
      <c r="R19" s="171"/>
      <c r="S19" s="171"/>
      <c r="T19" s="171"/>
    </row>
    <row r="20" spans="1:20">
      <c r="A20" s="173">
        <v>8</v>
      </c>
      <c r="B20" s="174">
        <f t="shared" si="4"/>
        <v>2.7783708426708853</v>
      </c>
      <c r="C20" s="174">
        <f t="shared" si="5"/>
        <v>5.4723222932106994</v>
      </c>
      <c r="D20" s="174">
        <f t="shared" si="6"/>
        <v>5.4723222932106994</v>
      </c>
      <c r="E20" s="174">
        <f t="shared" si="7"/>
        <v>10.284601754984628</v>
      </c>
      <c r="F20" s="174">
        <f t="shared" si="8"/>
        <v>12.256711089903648</v>
      </c>
      <c r="G20" s="174">
        <f t="shared" si="8"/>
        <v>13.856406460551018</v>
      </c>
      <c r="H20" s="174">
        <f t="shared" si="8"/>
        <v>15.035081932574533</v>
      </c>
      <c r="I20" s="174">
        <f t="shared" si="9"/>
        <v>15.454813220625093</v>
      </c>
      <c r="J20" s="174">
        <f t="shared" si="9"/>
        <v>15.756924048195328</v>
      </c>
      <c r="K20" s="174">
        <f t="shared" si="9"/>
        <v>15.939115169467929</v>
      </c>
      <c r="L20" s="174">
        <f t="shared" si="9"/>
        <v>16</v>
      </c>
      <c r="M20" s="171"/>
      <c r="N20" s="171"/>
      <c r="O20" s="171"/>
      <c r="P20" s="171"/>
      <c r="Q20" s="171"/>
      <c r="R20" s="171"/>
      <c r="S20" s="171"/>
      <c r="T20" s="171"/>
    </row>
    <row r="21" spans="1:20">
      <c r="A21" s="173">
        <v>8.5</v>
      </c>
      <c r="B21" s="174">
        <f t="shared" si="4"/>
        <v>2.9520190203378158</v>
      </c>
      <c r="C21" s="174">
        <f t="shared" si="5"/>
        <v>5.8143424365363678</v>
      </c>
      <c r="D21" s="174">
        <f t="shared" si="6"/>
        <v>5.8143424365363678</v>
      </c>
      <c r="E21" s="174">
        <f t="shared" si="7"/>
        <v>10.927389364671168</v>
      </c>
      <c r="F21" s="174">
        <f t="shared" si="8"/>
        <v>13.022755533022627</v>
      </c>
      <c r="G21" s="174">
        <f t="shared" si="8"/>
        <v>14.722431864335457</v>
      </c>
      <c r="H21" s="174">
        <f t="shared" si="8"/>
        <v>15.974774553360442</v>
      </c>
      <c r="I21" s="174">
        <f t="shared" si="9"/>
        <v>16.420739046914161</v>
      </c>
      <c r="J21" s="174">
        <f t="shared" si="9"/>
        <v>16.741731801207536</v>
      </c>
      <c r="K21" s="174">
        <f t="shared" si="9"/>
        <v>16.935309867559674</v>
      </c>
      <c r="L21" s="174">
        <f t="shared" si="9"/>
        <v>17</v>
      </c>
      <c r="M21" s="171"/>
      <c r="N21" s="171"/>
      <c r="O21" s="171"/>
      <c r="P21" s="171"/>
      <c r="Q21" s="171"/>
      <c r="R21" s="171"/>
      <c r="S21" s="171"/>
      <c r="T21" s="171"/>
    </row>
    <row r="22" spans="1:20">
      <c r="A22" s="173">
        <v>9</v>
      </c>
      <c r="B22" s="174">
        <f t="shared" si="4"/>
        <v>3.1256671980047459</v>
      </c>
      <c r="C22" s="174">
        <f t="shared" si="5"/>
        <v>6.1563625798620372</v>
      </c>
      <c r="D22" s="174">
        <f t="shared" si="6"/>
        <v>6.1563625798620372</v>
      </c>
      <c r="E22" s="174">
        <f t="shared" si="7"/>
        <v>11.570176974357707</v>
      </c>
      <c r="F22" s="174">
        <f t="shared" si="8"/>
        <v>13.788799976141604</v>
      </c>
      <c r="G22" s="174">
        <f t="shared" si="8"/>
        <v>15.588457268119894</v>
      </c>
      <c r="H22" s="174">
        <f t="shared" si="8"/>
        <v>16.914467174146349</v>
      </c>
      <c r="I22" s="174">
        <f t="shared" si="9"/>
        <v>17.38666487320323</v>
      </c>
      <c r="J22" s="174">
        <f t="shared" si="9"/>
        <v>17.726539554219745</v>
      </c>
      <c r="K22" s="174">
        <f t="shared" si="9"/>
        <v>17.931504565651419</v>
      </c>
      <c r="L22" s="174">
        <f t="shared" si="9"/>
        <v>18</v>
      </c>
      <c r="M22" s="171"/>
      <c r="N22" s="171"/>
      <c r="O22" s="171"/>
      <c r="P22" s="171"/>
      <c r="Q22" s="171"/>
      <c r="R22" s="171"/>
      <c r="S22" s="171"/>
      <c r="T22" s="171"/>
    </row>
    <row r="41" spans="15:15">
      <c r="O41" t="s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7717-E241-104B-9D27-900D48ABB147}">
  <dimension ref="A1:J63"/>
  <sheetViews>
    <sheetView topLeftCell="A18" workbookViewId="0">
      <selection activeCell="J23" sqref="J23"/>
    </sheetView>
  </sheetViews>
  <sheetFormatPr baseColWidth="10" defaultRowHeight="13"/>
  <cols>
    <col min="1" max="1" width="18" customWidth="1"/>
  </cols>
  <sheetData>
    <row r="1" spans="1:5" ht="19" thickBot="1">
      <c r="A1" s="112" t="s">
        <v>37</v>
      </c>
      <c r="B1" s="144"/>
      <c r="C1" s="145"/>
      <c r="D1" s="145"/>
      <c r="E1" s="145"/>
    </row>
    <row r="2" spans="1:5" ht="18">
      <c r="A2" s="107" t="s">
        <v>58</v>
      </c>
      <c r="B2" s="127" t="s">
        <v>38</v>
      </c>
      <c r="C2" s="146">
        <v>-1466.673</v>
      </c>
      <c r="D2" s="146">
        <v>435.53</v>
      </c>
      <c r="E2" s="146">
        <v>41.015000000000001</v>
      </c>
    </row>
    <row r="3" spans="1:5" ht="18">
      <c r="A3" s="107" t="s">
        <v>59</v>
      </c>
      <c r="B3" s="133" t="s">
        <v>39</v>
      </c>
      <c r="C3" s="146">
        <v>-1466.3409999999999</v>
      </c>
      <c r="D3" s="146">
        <v>436.46499999999997</v>
      </c>
      <c r="E3" s="146">
        <v>42.023000000000003</v>
      </c>
    </row>
    <row r="4" spans="1:5" ht="19" thickBot="1">
      <c r="A4" s="107" t="s">
        <v>60</v>
      </c>
      <c r="B4" s="136" t="s">
        <v>40</v>
      </c>
      <c r="C4" s="146">
        <v>-1465.539</v>
      </c>
      <c r="D4" s="146">
        <v>435.31599999999997</v>
      </c>
      <c r="E4" s="146">
        <v>41.832999999999998</v>
      </c>
    </row>
    <row r="5" spans="1:5" ht="19" thickBot="1">
      <c r="A5" s="112" t="s">
        <v>37</v>
      </c>
      <c r="B5" s="144"/>
      <c r="C5" s="145"/>
      <c r="D5" s="145"/>
      <c r="E5" s="145"/>
    </row>
    <row r="6" spans="1:5" ht="18">
      <c r="A6" s="107" t="s">
        <v>58</v>
      </c>
      <c r="B6" s="127" t="s">
        <v>38</v>
      </c>
      <c r="C6" s="146">
        <v>-1489.078</v>
      </c>
      <c r="D6" s="146">
        <v>645.88599999999997</v>
      </c>
      <c r="E6" s="146">
        <v>55.716000000000001</v>
      </c>
    </row>
    <row r="7" spans="1:5" ht="18">
      <c r="A7" s="107" t="s">
        <v>59</v>
      </c>
      <c r="B7" s="133" t="s">
        <v>39</v>
      </c>
      <c r="C7" s="146">
        <v>-1488.6379999999999</v>
      </c>
      <c r="D7" s="146">
        <v>646.79999999999995</v>
      </c>
      <c r="E7" s="146">
        <v>56.701000000000001</v>
      </c>
    </row>
    <row r="8" spans="1:5" ht="19" thickBot="1">
      <c r="A8" s="107" t="s">
        <v>60</v>
      </c>
      <c r="B8" s="136" t="s">
        <v>40</v>
      </c>
      <c r="C8" s="146">
        <v>-1487.9680000000001</v>
      </c>
      <c r="D8" s="146">
        <v>645.56600000000003</v>
      </c>
      <c r="E8" s="146">
        <v>56.530999999999999</v>
      </c>
    </row>
    <row r="9" spans="1:5" ht="19" thickBot="1">
      <c r="A9" s="112" t="s">
        <v>37</v>
      </c>
      <c r="B9" s="144"/>
      <c r="C9" s="145"/>
      <c r="D9" s="145"/>
      <c r="E9" s="145"/>
    </row>
    <row r="10" spans="1:5" ht="18">
      <c r="A10" s="107" t="s">
        <v>58</v>
      </c>
      <c r="B10" s="127" t="s">
        <v>38</v>
      </c>
      <c r="C10" s="146">
        <v>-1495.181</v>
      </c>
      <c r="D10" s="146">
        <v>871.84</v>
      </c>
      <c r="E10" s="146">
        <v>68.558999999999997</v>
      </c>
    </row>
    <row r="11" spans="1:5" ht="18">
      <c r="A11" s="107" t="s">
        <v>59</v>
      </c>
      <c r="B11" s="133" t="s">
        <v>39</v>
      </c>
      <c r="C11" s="146">
        <v>-1494.6189999999999</v>
      </c>
      <c r="D11" s="146">
        <v>872.71199999999999</v>
      </c>
      <c r="E11" s="146">
        <v>69.519000000000005</v>
      </c>
    </row>
    <row r="12" spans="1:5" ht="19" thickBot="1">
      <c r="A12" s="107" t="s">
        <v>60</v>
      </c>
      <c r="B12" s="136" t="s">
        <v>40</v>
      </c>
      <c r="C12" s="146">
        <v>-1494.1130000000001</v>
      </c>
      <c r="D12" s="146">
        <v>871.399</v>
      </c>
      <c r="E12" s="146">
        <v>69.375</v>
      </c>
    </row>
    <row r="13" spans="1:5" ht="18">
      <c r="A13" s="108" t="s">
        <v>61</v>
      </c>
      <c r="B13" s="114"/>
      <c r="C13" s="115"/>
      <c r="D13" s="115"/>
      <c r="E13" s="115"/>
    </row>
    <row r="14" spans="1:5" ht="19" thickBot="1">
      <c r="A14" s="112" t="s">
        <v>37</v>
      </c>
      <c r="B14" s="144"/>
      <c r="C14" s="145"/>
      <c r="D14" s="145"/>
      <c r="E14" s="145"/>
    </row>
    <row r="15" spans="1:5" ht="18">
      <c r="A15" s="107" t="s">
        <v>58</v>
      </c>
      <c r="B15" s="127" t="s">
        <v>38</v>
      </c>
      <c r="C15" s="146">
        <v>-1499.279</v>
      </c>
      <c r="D15" s="146">
        <v>1120.9459999999999</v>
      </c>
      <c r="E15" s="146">
        <v>82.287000000000006</v>
      </c>
    </row>
    <row r="16" spans="1:5" ht="18">
      <c r="A16" s="107" t="s">
        <v>59</v>
      </c>
      <c r="B16" s="133" t="s">
        <v>39</v>
      </c>
      <c r="C16" s="146">
        <v>-1498.598</v>
      </c>
      <c r="D16" s="146">
        <v>1121.759</v>
      </c>
      <c r="E16" s="146">
        <v>83.221999999999994</v>
      </c>
    </row>
    <row r="17" spans="1:10" ht="19" thickBot="1">
      <c r="A17" s="107" t="s">
        <v>60</v>
      </c>
      <c r="B17" s="136" t="s">
        <v>40</v>
      </c>
      <c r="C17" s="146">
        <v>-1498.271</v>
      </c>
      <c r="D17" s="146">
        <v>1120.3879999999999</v>
      </c>
      <c r="E17" s="146">
        <v>83.106999999999999</v>
      </c>
    </row>
    <row r="21" spans="1:10" ht="14" thickBot="1">
      <c r="A21" s="177" t="s">
        <v>152</v>
      </c>
      <c r="B21" s="31" t="s">
        <v>20</v>
      </c>
      <c r="C21" s="31" t="s">
        <v>21</v>
      </c>
      <c r="D21" s="31" t="s">
        <v>22</v>
      </c>
    </row>
    <row r="22" spans="1:10" ht="29" thickBot="1">
      <c r="A22" s="16" t="s">
        <v>68</v>
      </c>
      <c r="B22" s="25">
        <v>-1158.9631551284999</v>
      </c>
      <c r="C22" s="25">
        <v>305.84309374667555</v>
      </c>
      <c r="D22" s="26">
        <v>11.643596382888195</v>
      </c>
      <c r="E22" s="182" t="s">
        <v>194</v>
      </c>
      <c r="F22" s="180" t="s">
        <v>191</v>
      </c>
      <c r="G22" s="178" t="s">
        <v>186</v>
      </c>
      <c r="H22" s="182" t="s">
        <v>195</v>
      </c>
      <c r="I22" s="180" t="s">
        <v>193</v>
      </c>
      <c r="J22" s="178" t="s">
        <v>192</v>
      </c>
    </row>
    <row r="23" spans="1:10" ht="15">
      <c r="A23" s="15" t="s">
        <v>58</v>
      </c>
      <c r="B23" s="28">
        <v>-1150.309639677537</v>
      </c>
      <c r="C23" s="28">
        <v>299.60990911172388</v>
      </c>
      <c r="D23" s="28">
        <v>13.110074722589573</v>
      </c>
      <c r="E23" s="184">
        <f>ATAN(-(B23-B25)/(C25-C23))*180/PI()</f>
        <v>10.798814867860944</v>
      </c>
      <c r="F23" s="185">
        <f>ATAN((C23-C24)/(B24-B23))*180/PI()</f>
        <v>6.9612999701657738</v>
      </c>
      <c r="G23" s="186">
        <f>ATAN(-(D24-D23)/(B24-B23))*180/PI()</f>
        <v>10.443950585429596</v>
      </c>
      <c r="H23" s="184"/>
      <c r="I23" s="185"/>
      <c r="J23" s="186">
        <f>2*ATAN((D24-D27)/(C23+C27)*2)*180/PI()</f>
        <v>4.0624241390226707</v>
      </c>
    </row>
    <row r="24" spans="1:10" ht="15">
      <c r="A24" s="12" t="s">
        <v>59</v>
      </c>
      <c r="B24" s="29">
        <v>-1168.2708076010097</v>
      </c>
      <c r="C24" s="29">
        <v>301.8029496050047</v>
      </c>
      <c r="D24" s="29">
        <v>16.42080970950494</v>
      </c>
      <c r="E24" s="184">
        <f>ATAN(-(B24-B26)/(C26-C24))*180/PI()</f>
        <v>10.798810026801419</v>
      </c>
      <c r="F24" s="185"/>
      <c r="G24" s="186"/>
      <c r="H24" s="184"/>
      <c r="I24" s="185"/>
      <c r="J24" s="186"/>
    </row>
    <row r="25" spans="1:10" ht="15">
      <c r="A25" s="12" t="s">
        <v>60</v>
      </c>
      <c r="B25" s="29">
        <v>-1148.4660215447532</v>
      </c>
      <c r="C25" s="29">
        <v>309.2755800168627</v>
      </c>
      <c r="D25" s="29">
        <v>14.34085380673703</v>
      </c>
      <c r="E25" s="184"/>
      <c r="F25" s="185">
        <f>ATAN((C25-C26)/(B26-B25))*180/PI()</f>
        <v>7.278196385865102</v>
      </c>
      <c r="G25" s="186">
        <f>ATAN(-(D26-D25)/(B26-B25))*180/PI()</f>
        <v>10.493354523557558</v>
      </c>
      <c r="H25" s="184"/>
      <c r="I25" s="185"/>
      <c r="J25" s="186"/>
    </row>
    <row r="26" spans="1:10" ht="15">
      <c r="A26" s="12" t="s">
        <v>61</v>
      </c>
      <c r="B26" s="29">
        <v>-1166.4084040569348</v>
      </c>
      <c r="C26" s="29">
        <v>311.56711263516388</v>
      </c>
      <c r="D26" s="29">
        <v>17.664125350980537</v>
      </c>
      <c r="E26" s="184"/>
      <c r="F26" s="185"/>
      <c r="G26" s="186"/>
      <c r="H26" s="184"/>
      <c r="I26" s="185"/>
      <c r="J26" s="186"/>
    </row>
    <row r="27" spans="1:10" ht="15">
      <c r="A27" s="12" t="s">
        <v>62</v>
      </c>
      <c r="B27" s="29">
        <v>-1151.4843731372875</v>
      </c>
      <c r="C27" s="29">
        <v>300.15173900874629</v>
      </c>
      <c r="D27" s="29">
        <v>5.7851771451764407</v>
      </c>
      <c r="E27" s="184">
        <f>ATAN(-(B27-B29)/(C29-C27))*180/PI()</f>
        <v>10.549099098633077</v>
      </c>
      <c r="F27" s="185">
        <f>ATAN((C27-C28)/(B28-B27))*180/PI()</f>
        <v>6.9717121680498755</v>
      </c>
      <c r="G27" s="186">
        <f>ATAN(-(D28-D27)/(B28-B27))*180/PI()</f>
        <v>10.250390815320271</v>
      </c>
      <c r="H27" s="184"/>
      <c r="I27" s="185"/>
      <c r="J27" s="186"/>
    </row>
    <row r="28" spans="1:10" ht="15">
      <c r="A28" s="12" t="s">
        <v>63</v>
      </c>
      <c r="B28" s="29">
        <v>-1169.4553131500661</v>
      </c>
      <c r="C28" s="29">
        <v>302.34928723250277</v>
      </c>
      <c r="D28" s="29">
        <v>9.0349790662035403</v>
      </c>
      <c r="E28" s="184">
        <f>ATAN(-(B28-B30)/(C30-C28))*180/PI()</f>
        <v>10.549097196278364</v>
      </c>
      <c r="F28" s="185"/>
      <c r="G28" s="186"/>
      <c r="H28" s="184"/>
      <c r="I28" s="185"/>
      <c r="J28" s="186"/>
    </row>
    <row r="29" spans="1:10" ht="15">
      <c r="A29" s="12" t="s">
        <v>64</v>
      </c>
      <c r="B29" s="29">
        <v>-1149.6790675724628</v>
      </c>
      <c r="C29" s="29">
        <v>309.8459267078066</v>
      </c>
      <c r="D29" s="29">
        <v>6.766476583368366</v>
      </c>
      <c r="E29" s="184"/>
      <c r="F29" s="185">
        <f>ATAN((C29-C30)/(B30-B29))*180/PI()</f>
        <v>7.2891500661051634</v>
      </c>
      <c r="G29" s="186">
        <f>ATAN(-(D30-D29)/(B30-B29))*180/PI()</f>
        <v>10.29155751667696</v>
      </c>
      <c r="H29" s="184"/>
      <c r="I29" s="185"/>
      <c r="J29" s="186"/>
    </row>
    <row r="30" spans="1:10" ht="15">
      <c r="A30" s="12" t="s">
        <v>65</v>
      </c>
      <c r="B30" s="29">
        <v>-1167.6316142879484</v>
      </c>
      <c r="C30" s="29">
        <v>312.14224565559346</v>
      </c>
      <c r="D30" s="29">
        <v>10.026274678545136</v>
      </c>
      <c r="E30" s="183"/>
      <c r="F30" s="181"/>
      <c r="G30" s="179"/>
      <c r="H30" s="183"/>
      <c r="I30" s="181"/>
      <c r="J30" s="179"/>
    </row>
    <row r="31" spans="1:10">
      <c r="E31" s="183"/>
      <c r="F31" s="181"/>
      <c r="G31" s="179"/>
      <c r="H31" s="183"/>
      <c r="I31" s="181"/>
      <c r="J31" s="179"/>
    </row>
    <row r="32" spans="1:10" ht="14" thickBot="1">
      <c r="A32" s="177" t="s">
        <v>153</v>
      </c>
      <c r="B32" s="31" t="s">
        <v>20</v>
      </c>
      <c r="C32" s="31" t="s">
        <v>21</v>
      </c>
      <c r="D32" s="31" t="s">
        <v>22</v>
      </c>
      <c r="E32" s="183"/>
      <c r="F32" s="181"/>
      <c r="G32" s="179"/>
      <c r="H32" s="183"/>
      <c r="I32" s="181"/>
      <c r="J32" s="179"/>
    </row>
    <row r="33" spans="1:10" ht="29" thickBot="1">
      <c r="A33" s="16" t="s">
        <v>68</v>
      </c>
      <c r="B33" s="25">
        <v>-1177.0915868905151</v>
      </c>
      <c r="C33" s="25">
        <v>474.5467209068363</v>
      </c>
      <c r="D33" s="26">
        <v>41.05180873908693</v>
      </c>
      <c r="E33" s="183"/>
      <c r="F33" s="181"/>
      <c r="G33" s="179"/>
      <c r="H33" s="183"/>
      <c r="I33" s="181"/>
      <c r="J33" s="179"/>
    </row>
    <row r="34" spans="1:10" ht="15">
      <c r="A34" s="15" t="s">
        <v>58</v>
      </c>
      <c r="B34" s="28">
        <v>-1168.4872983182468</v>
      </c>
      <c r="C34" s="28">
        <v>467.47520963335489</v>
      </c>
      <c r="D34" s="28">
        <v>42.615412857880642</v>
      </c>
      <c r="E34" s="184">
        <f>ATAN(-(B34-B36)/(C36-C34))*180/PI()</f>
        <v>17.091979085565214</v>
      </c>
      <c r="F34" s="185">
        <f>ATAN((C34-C35)/(B35-B34))*180/PI()</f>
        <v>12.046206855236813</v>
      </c>
      <c r="G34" s="186">
        <f>ATAN(-(D35-D34)/(B35-B34))*180/PI()</f>
        <v>11.266758219494825</v>
      </c>
      <c r="H34" s="184">
        <f>E34-E23</f>
        <v>6.2931642177042697</v>
      </c>
      <c r="I34" s="185">
        <f>F34-F23</f>
        <v>5.0849068850710388</v>
      </c>
      <c r="J34" s="186">
        <f>2*ATAN((D35-D38)/(C34+C38)*2)*180/PI()</f>
        <v>2.8278314101275175</v>
      </c>
    </row>
    <row r="35" spans="1:10" ht="15">
      <c r="A35" s="12" t="s">
        <v>59</v>
      </c>
      <c r="B35" s="29">
        <v>-1187.3756928933867</v>
      </c>
      <c r="C35" s="29">
        <v>471.50598556164152</v>
      </c>
      <c r="D35" s="29">
        <v>46.378291652899151</v>
      </c>
      <c r="E35" s="184">
        <f>ATAN(-(B35-B37)/(C37-C35))*180/PI()</f>
        <v>17.091979967370076</v>
      </c>
      <c r="F35" s="185"/>
      <c r="G35" s="186"/>
      <c r="H35" s="184"/>
      <c r="I35" s="185"/>
      <c r="J35" s="186"/>
    </row>
    <row r="36" spans="1:10" ht="15">
      <c r="A36" s="12" t="s">
        <v>60</v>
      </c>
      <c r="B36" s="29">
        <v>-1165.6145609885248</v>
      </c>
      <c r="C36" s="29">
        <v>476.81784177670954</v>
      </c>
      <c r="D36" s="29">
        <v>43.618581499655576</v>
      </c>
      <c r="E36" s="184"/>
      <c r="F36" s="185">
        <f>ATAN((C36-C37)/(B37-B36))*180/PI()</f>
        <v>12.528238579064521</v>
      </c>
      <c r="G36" s="186">
        <f>ATAN(-(D37-D36)/(B37-B36))*180/PI()</f>
        <v>11.343590030601408</v>
      </c>
      <c r="H36" s="184"/>
      <c r="I36" s="185">
        <f>F36-F25</f>
        <v>5.2500421931994188</v>
      </c>
      <c r="J36" s="186"/>
    </row>
    <row r="37" spans="1:10" ht="15">
      <c r="A37" s="12" t="s">
        <v>61</v>
      </c>
      <c r="B37" s="29">
        <v>-1184.4550481376987</v>
      </c>
      <c r="C37" s="29">
        <v>481.0044203111816</v>
      </c>
      <c r="D37" s="29">
        <v>47.39819055084908</v>
      </c>
      <c r="E37" s="184"/>
      <c r="F37" s="185"/>
      <c r="G37" s="186"/>
      <c r="H37" s="184"/>
      <c r="I37" s="185"/>
      <c r="J37" s="186"/>
    </row>
    <row r="38" spans="1:10" ht="15">
      <c r="A38" s="12" t="s">
        <v>62</v>
      </c>
      <c r="B38" s="29">
        <v>-1169.6879442759105</v>
      </c>
      <c r="C38" s="29">
        <v>468.15002215739361</v>
      </c>
      <c r="D38" s="29">
        <v>34.831509114223181</v>
      </c>
      <c r="E38" s="184">
        <f>ATAN(-(B38-B40)/(C40-C38))*180/PI()</f>
        <v>16.927039922600542</v>
      </c>
      <c r="F38" s="185">
        <f>ATAN((C38-C39)/(B39-B38))*180/PI()</f>
        <v>12.05749927458872</v>
      </c>
      <c r="G38" s="186">
        <f>ATAN(-(D39-D38)/(B39-B38))*180/PI()</f>
        <v>11.048850761949971</v>
      </c>
      <c r="H38" s="184"/>
      <c r="I38" s="185">
        <f>F38-F27</f>
        <v>5.0857871065388442</v>
      </c>
      <c r="J38" s="186"/>
    </row>
    <row r="39" spans="1:10" ht="15">
      <c r="A39" s="12" t="s">
        <v>63</v>
      </c>
      <c r="B39" s="29">
        <v>-1188.5875142901364</v>
      </c>
      <c r="C39" s="29">
        <v>472.18707762847754</v>
      </c>
      <c r="D39" s="29">
        <v>38.521938893776124</v>
      </c>
      <c r="E39" s="184">
        <f>ATAN(-(B39-B41)/(C41-C39))*180/PI()</f>
        <v>16.927054890974759</v>
      </c>
      <c r="F39" s="185"/>
      <c r="G39" s="186"/>
      <c r="H39" s="184"/>
      <c r="I39" s="185"/>
      <c r="J39" s="186"/>
    </row>
    <row r="40" spans="1:10" ht="15">
      <c r="A40" s="12" t="s">
        <v>64</v>
      </c>
      <c r="B40" s="29">
        <v>-1166.8363009697182</v>
      </c>
      <c r="C40" s="29">
        <v>477.5199850902913</v>
      </c>
      <c r="D40" s="29">
        <v>35.673036636972846</v>
      </c>
      <c r="E40" s="184"/>
      <c r="F40" s="185">
        <f>ATAN((C40-C41)/(B41-B40))*180/PI()</f>
        <v>12.540099705665897</v>
      </c>
      <c r="G40" s="186">
        <f>ATAN(-(D41-D40)/(B41-B40))*180/PI()</f>
        <v>11.117119505702416</v>
      </c>
      <c r="H40" s="184"/>
      <c r="I40" s="185">
        <f>F40-F29</f>
        <v>5.2509496395607336</v>
      </c>
      <c r="J40" s="186"/>
    </row>
    <row r="41" spans="1:10" ht="15">
      <c r="A41" s="12" t="s">
        <v>65</v>
      </c>
      <c r="B41" s="29">
        <v>-1185.6883352504997</v>
      </c>
      <c r="C41" s="29">
        <v>481.71322509563993</v>
      </c>
      <c r="D41" s="29">
        <v>39.377508706438881</v>
      </c>
      <c r="H41" s="183"/>
      <c r="I41" s="181"/>
    </row>
    <row r="42" spans="1:10">
      <c r="H42" s="183"/>
      <c r="I42" s="181"/>
    </row>
    <row r="43" spans="1:10" ht="14" thickBot="1">
      <c r="A43" s="177" t="s">
        <v>154</v>
      </c>
      <c r="B43" s="31" t="s">
        <v>20</v>
      </c>
      <c r="C43" s="31" t="s">
        <v>21</v>
      </c>
      <c r="D43" s="31" t="s">
        <v>22</v>
      </c>
      <c r="H43" s="183"/>
      <c r="I43" s="181"/>
    </row>
    <row r="44" spans="1:10" ht="29" thickBot="1">
      <c r="A44" s="16" t="s">
        <v>68</v>
      </c>
      <c r="B44" s="25">
        <v>-1193.3083362997943</v>
      </c>
      <c r="C44" s="25">
        <v>651.28573722005149</v>
      </c>
      <c r="D44" s="26">
        <v>71.602937913999028</v>
      </c>
      <c r="E44" s="182" t="s">
        <v>190</v>
      </c>
      <c r="F44" s="180" t="s">
        <v>191</v>
      </c>
      <c r="G44" s="178" t="s">
        <v>186</v>
      </c>
      <c r="H44" s="182"/>
      <c r="I44" s="180"/>
      <c r="J44" s="178"/>
    </row>
    <row r="45" spans="1:10" ht="15">
      <c r="A45" s="15" t="s">
        <v>58</v>
      </c>
      <c r="B45" s="28">
        <v>-1185.3760785462707</v>
      </c>
      <c r="C45" s="28">
        <v>642.68942627421472</v>
      </c>
      <c r="D45" s="28">
        <v>73.251056119330485</v>
      </c>
      <c r="E45" s="184">
        <f>ATAN(-(B45-B47)/(C47-C45))*180/PI()</f>
        <v>24.400477094431469</v>
      </c>
      <c r="F45" s="185">
        <f>ATAN((C45-C46)/(B46-B45))*180/PI()</f>
        <v>19.783867041505996</v>
      </c>
      <c r="G45" s="186">
        <f>ATAN(-(D46-D45)/(B46-B45))*180/PI()</f>
        <v>12.525501125482117</v>
      </c>
      <c r="H45" s="184">
        <f>E45-E34</f>
        <v>7.3084980088662554</v>
      </c>
      <c r="I45" s="185">
        <f>F45-F34</f>
        <v>7.7376601862691832</v>
      </c>
      <c r="J45" s="186">
        <f>2*ATAN((D46-D49)/(C45+C49)*2)*180/PI()</f>
        <v>2.1995776075574711</v>
      </c>
    </row>
    <row r="46" spans="1:10" ht="15">
      <c r="A46" s="12" t="s">
        <v>59</v>
      </c>
      <c r="B46" s="29">
        <v>-1204.3695904739677</v>
      </c>
      <c r="C46" s="29">
        <v>649.52147068620684</v>
      </c>
      <c r="D46" s="29">
        <v>77.470686302332751</v>
      </c>
      <c r="E46" s="184">
        <f>ATAN(-(B46-B48)/(C48-C46))*180/PI()</f>
        <v>24.400472694845504</v>
      </c>
      <c r="F46" s="185"/>
      <c r="G46" s="186"/>
      <c r="H46" s="184"/>
      <c r="I46" s="185"/>
      <c r="J46" s="186"/>
    </row>
    <row r="47" spans="1:10" ht="15">
      <c r="A47" s="12" t="s">
        <v>60</v>
      </c>
      <c r="B47" s="29">
        <v>-1181.2673300464648</v>
      </c>
      <c r="C47" s="29">
        <v>651.74691159086956</v>
      </c>
      <c r="D47" s="29">
        <v>74.003776602047111</v>
      </c>
      <c r="E47" s="184"/>
      <c r="F47" s="185">
        <f>ATAN((C47-C48)/(B48-B47))*180/PI()</f>
        <v>20.241552519955153</v>
      </c>
      <c r="G47" s="186">
        <f>ATAN(-(D48-D47)/(B48-B47))*180/PI()</f>
        <v>12.603563009444883</v>
      </c>
      <c r="H47" s="184"/>
      <c r="I47" s="185">
        <f>F47-F36</f>
        <v>7.7133139408906324</v>
      </c>
      <c r="J47" s="186"/>
    </row>
    <row r="48" spans="1:10" ht="15">
      <c r="A48" s="12" t="s">
        <v>61</v>
      </c>
      <c r="B48" s="29">
        <v>-1200.194057615603</v>
      </c>
      <c r="C48" s="29">
        <v>658.72617992428366</v>
      </c>
      <c r="D48" s="29">
        <v>78.235637254486846</v>
      </c>
      <c r="E48" s="184"/>
      <c r="F48" s="185"/>
      <c r="G48" s="186"/>
      <c r="H48" s="184"/>
      <c r="I48" s="185"/>
      <c r="J48" s="186"/>
    </row>
    <row r="49" spans="1:10" ht="15">
      <c r="A49" s="12" t="s">
        <v>62</v>
      </c>
      <c r="B49" s="29">
        <v>-1186.5261458669011</v>
      </c>
      <c r="C49" s="29">
        <v>643.54286751905886</v>
      </c>
      <c r="D49" s="29">
        <v>65.124596888898665</v>
      </c>
      <c r="E49" s="184">
        <f>ATAN(-(B49-B51)/(C51-C49))*180/PI()</f>
        <v>24.282561368729422</v>
      </c>
      <c r="F49" s="185">
        <f>ATAN((C49-C50)/(B50-B49))*180/PI()</f>
        <v>22.07688797019842</v>
      </c>
      <c r="G49" s="186">
        <f>ATAN(-(D50-D49)/(B50-B49))*180/PI()</f>
        <v>12.190493814654795</v>
      </c>
      <c r="H49" s="184"/>
      <c r="I49" s="185">
        <f>F49-F38</f>
        <v>10.019388695609701</v>
      </c>
      <c r="J49" s="186"/>
    </row>
    <row r="50" spans="1:10" ht="15">
      <c r="A50" s="12" t="s">
        <v>63</v>
      </c>
      <c r="B50" s="29">
        <v>-1205.2241913704047</v>
      </c>
      <c r="C50" s="29">
        <v>651.12657185113858</v>
      </c>
      <c r="D50" s="29">
        <v>69.164010248422287</v>
      </c>
      <c r="E50" s="184">
        <f>ATAN(-(B50-B52)/(C52-C50))*180/PI()</f>
        <v>24.291152485548277</v>
      </c>
      <c r="F50" s="185"/>
      <c r="G50" s="186"/>
      <c r="H50" s="184"/>
      <c r="I50" s="185"/>
      <c r="J50" s="186"/>
    </row>
    <row r="51" spans="1:10" ht="15">
      <c r="A51" s="12" t="s">
        <v>64</v>
      </c>
      <c r="B51" s="29">
        <v>-1182.4292769445935</v>
      </c>
      <c r="C51" s="29">
        <v>652.62379464773551</v>
      </c>
      <c r="D51" s="29">
        <v>65.759209519693599</v>
      </c>
      <c r="E51" s="184"/>
      <c r="F51" s="185">
        <f>ATAN((C51-C52)/(B52-B51))*180/PI()</f>
        <v>22.393695510020688</v>
      </c>
      <c r="G51" s="186">
        <f>ATAN(-(D52-D51)/(B52-B51))*180/PI()</f>
        <v>12.267154455551916</v>
      </c>
      <c r="H51" s="184"/>
      <c r="I51" s="185">
        <f>F51-F40</f>
        <v>9.8535958043547911</v>
      </c>
      <c r="J51" s="186"/>
    </row>
    <row r="52" spans="1:10" ht="15">
      <c r="A52" s="12" t="s">
        <v>65</v>
      </c>
      <c r="B52" s="29">
        <v>-1201.0800195341483</v>
      </c>
      <c r="C52" s="29">
        <v>660.30867526690372</v>
      </c>
      <c r="D52" s="29">
        <v>69.814530376780539</v>
      </c>
      <c r="E52" s="187"/>
      <c r="F52" s="187"/>
      <c r="G52" s="187"/>
      <c r="H52" s="184"/>
      <c r="I52" s="185"/>
      <c r="J52" s="187"/>
    </row>
    <row r="53" spans="1:10">
      <c r="H53" s="183"/>
      <c r="I53" s="181"/>
    </row>
    <row r="54" spans="1:10" ht="14" thickBot="1">
      <c r="A54" s="177" t="s">
        <v>155</v>
      </c>
      <c r="B54" s="31" t="s">
        <v>20</v>
      </c>
      <c r="C54" s="31" t="s">
        <v>21</v>
      </c>
      <c r="D54" s="31" t="s">
        <v>22</v>
      </c>
      <c r="H54" s="183"/>
      <c r="I54" s="181"/>
    </row>
    <row r="55" spans="1:10" ht="29" thickBot="1">
      <c r="A55" s="16" t="s">
        <v>68</v>
      </c>
      <c r="B55" s="25">
        <v>-1213.0645626225903</v>
      </c>
      <c r="C55" s="25">
        <v>844.91189819116221</v>
      </c>
      <c r="D55" s="26">
        <v>105.33389733957328</v>
      </c>
      <c r="E55" s="182" t="s">
        <v>190</v>
      </c>
      <c r="F55" s="180" t="s">
        <v>191</v>
      </c>
      <c r="G55" s="178" t="s">
        <v>186</v>
      </c>
      <c r="H55" s="182"/>
      <c r="I55" s="180"/>
      <c r="J55" s="178"/>
    </row>
    <row r="56" spans="1:10" ht="15">
      <c r="A56" s="15" t="s">
        <v>58</v>
      </c>
      <c r="B56" s="28">
        <v>-1205.7491547306286</v>
      </c>
      <c r="C56" s="28">
        <v>835.0998824481685</v>
      </c>
      <c r="D56" s="28">
        <v>107.05101452481335</v>
      </c>
      <c r="E56" s="184">
        <f>ATAN(-(B56-B58)/(C58-C56))*180/PI()</f>
        <v>31.91864050787742</v>
      </c>
      <c r="F56" s="185">
        <f>ATAN((C56-C57)/(B57-B56))*180/PI()</f>
        <v>27.093846083413478</v>
      </c>
      <c r="G56" s="186">
        <f>ATAN(-(D57-D56)/(B57-B56))*180/PI()</f>
        <v>13.827380324050793</v>
      </c>
      <c r="H56" s="184">
        <f>E56-E45</f>
        <v>7.5181634134459507</v>
      </c>
      <c r="I56" s="185">
        <f>F56-F45</f>
        <v>7.3099790419074822</v>
      </c>
      <c r="J56" s="186">
        <f>2*ATAN((D57-D60)/(C56+C60)*2)*180/PI()</f>
        <v>1.8126703971463192</v>
      </c>
    </row>
    <row r="57" spans="1:10" ht="15">
      <c r="A57" s="12" t="s">
        <v>59</v>
      </c>
      <c r="B57" s="29">
        <v>-1224.8222311551276</v>
      </c>
      <c r="C57" s="29">
        <v>844.85748389343462</v>
      </c>
      <c r="D57" s="29">
        <v>111.74547703431628</v>
      </c>
      <c r="E57" s="184">
        <f>ATAN(-(B57-B59)/(C59-C57))*180/PI()</f>
        <v>31.918633024964301</v>
      </c>
      <c r="F57" s="185"/>
      <c r="G57" s="186"/>
      <c r="H57" s="184"/>
      <c r="I57" s="185"/>
      <c r="J57" s="186"/>
    </row>
    <row r="58" spans="1:10" ht="15">
      <c r="A58" s="12" t="s">
        <v>60</v>
      </c>
      <c r="B58" s="29">
        <v>-1200.2910733650333</v>
      </c>
      <c r="C58" s="29">
        <v>843.86230121681297</v>
      </c>
      <c r="D58" s="29">
        <v>107.54061074291786</v>
      </c>
      <c r="E58" s="184"/>
      <c r="F58" s="185">
        <f>ATAN((C58-C59)/(B59-B58))*180/PI()</f>
        <v>27.600513026514317</v>
      </c>
      <c r="G58" s="186">
        <f>ATAN(-(D59-D58)/(B59-B58))*180/PI()</f>
        <v>13.923372785942977</v>
      </c>
      <c r="H58" s="184"/>
      <c r="I58" s="185">
        <f>F58-F47</f>
        <v>7.3589605065591641</v>
      </c>
      <c r="J58" s="186"/>
    </row>
    <row r="59" spans="1:10" ht="15">
      <c r="A59" s="12" t="s">
        <v>61</v>
      </c>
      <c r="B59" s="29">
        <v>-1219.263700276807</v>
      </c>
      <c r="C59" s="29">
        <v>853.78116718180365</v>
      </c>
      <c r="D59" s="29">
        <v>112.24407559266285</v>
      </c>
      <c r="E59" s="184"/>
      <c r="F59" s="185"/>
      <c r="G59" s="186"/>
      <c r="H59" s="184"/>
      <c r="I59" s="185"/>
      <c r="J59" s="186"/>
    </row>
    <row r="60" spans="1:10" ht="15">
      <c r="A60" s="12" t="s">
        <v>62</v>
      </c>
      <c r="B60" s="29">
        <v>-1206.8062715824678</v>
      </c>
      <c r="C60" s="29">
        <v>836.10637774531631</v>
      </c>
      <c r="D60" s="29">
        <v>98.526358452917194</v>
      </c>
      <c r="E60" s="184">
        <f>ATAN(-(B60-B62)/(C62-C60))*180/PI()</f>
        <v>31.832508133808268</v>
      </c>
      <c r="F60" s="185">
        <f>ATAN((C60-C61)/(B61-B60))*180/PI()</f>
        <v>27.107241659975465</v>
      </c>
      <c r="G60" s="186">
        <f>ATAN(-(D61-D60)/(B61-B60))*180/PI()</f>
        <v>13.525586933298138</v>
      </c>
      <c r="H60" s="184"/>
      <c r="I60" s="185">
        <f>F60-F49</f>
        <v>5.0303536897770442</v>
      </c>
      <c r="J60" s="186"/>
    </row>
    <row r="61" spans="1:10" ht="15">
      <c r="A61" s="12" t="s">
        <v>63</v>
      </c>
      <c r="B61" s="29">
        <v>-1225.8921679416801</v>
      </c>
      <c r="C61" s="29">
        <v>845.87616851650819</v>
      </c>
      <c r="D61" s="29">
        <v>103.11749230641978</v>
      </c>
      <c r="E61" s="184">
        <f>ATAN(-(B61-B63)/(C63-C61))*180/PI()</f>
        <v>31.832511209609464</v>
      </c>
      <c r="F61" s="185"/>
      <c r="G61" s="186"/>
      <c r="H61" s="184"/>
      <c r="I61" s="185"/>
      <c r="J61" s="186"/>
    </row>
    <row r="62" spans="1:10" ht="15">
      <c r="A62" s="12" t="s">
        <v>64</v>
      </c>
      <c r="B62" s="29">
        <v>-1201.3531656137006</v>
      </c>
      <c r="C62" s="29">
        <v>844.89020545470419</v>
      </c>
      <c r="D62" s="29">
        <v>98.923849931054846</v>
      </c>
      <c r="E62" s="184"/>
      <c r="F62" s="185">
        <f>ATAN((C62-C63)/(B63-B62))*180/PI()</f>
        <v>27.614164505495484</v>
      </c>
      <c r="G62" s="186">
        <f>ATAN(-(D63-D62)/(B63-B62))*180/PI()</f>
        <v>13.615272534091702</v>
      </c>
      <c r="H62" s="184"/>
      <c r="I62" s="185">
        <f>F62-F51</f>
        <v>5.2204689954747963</v>
      </c>
      <c r="J62" s="186"/>
    </row>
    <row r="63" spans="1:10" ht="15">
      <c r="A63" s="12" t="s">
        <v>65</v>
      </c>
      <c r="B63" s="29">
        <v>-1220.3387363152779</v>
      </c>
      <c r="C63" s="29">
        <v>854.82159907254993</v>
      </c>
      <c r="D63" s="29">
        <v>103.522300131484</v>
      </c>
      <c r="E63" s="187"/>
      <c r="F63" s="187"/>
      <c r="G63" s="187"/>
      <c r="H63" s="187"/>
      <c r="I63" s="187"/>
      <c r="J63" s="18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DFDF-0882-4443-A457-A745D18D2D0C}">
  <dimension ref="A1:J63"/>
  <sheetViews>
    <sheetView workbookViewId="0">
      <selection activeCell="B50" sqref="B50:C50"/>
    </sheetView>
  </sheetViews>
  <sheetFormatPr baseColWidth="10" defaultRowHeight="13"/>
  <cols>
    <col min="1" max="1" width="18" customWidth="1"/>
  </cols>
  <sheetData>
    <row r="1" spans="1:5" ht="19" thickBot="1">
      <c r="A1" s="112" t="s">
        <v>37</v>
      </c>
      <c r="B1" s="144"/>
      <c r="C1" s="145"/>
      <c r="D1" s="145"/>
      <c r="E1" s="145"/>
    </row>
    <row r="2" spans="1:5" ht="18">
      <c r="A2" s="107" t="s">
        <v>58</v>
      </c>
      <c r="B2" s="127" t="s">
        <v>38</v>
      </c>
      <c r="C2" s="146">
        <v>-1466.673</v>
      </c>
      <c r="D2" s="146">
        <v>435.53</v>
      </c>
      <c r="E2" s="146">
        <v>41.015000000000001</v>
      </c>
    </row>
    <row r="3" spans="1:5" ht="18">
      <c r="A3" s="107" t="s">
        <v>59</v>
      </c>
      <c r="B3" s="133" t="s">
        <v>39</v>
      </c>
      <c r="C3" s="146">
        <v>-1466.3409999999999</v>
      </c>
      <c r="D3" s="146">
        <v>436.46499999999997</v>
      </c>
      <c r="E3" s="146">
        <v>42.023000000000003</v>
      </c>
    </row>
    <row r="4" spans="1:5" ht="19" thickBot="1">
      <c r="A4" s="107" t="s">
        <v>60</v>
      </c>
      <c r="B4" s="136" t="s">
        <v>40</v>
      </c>
      <c r="C4" s="146">
        <v>-1465.539</v>
      </c>
      <c r="D4" s="146">
        <v>435.31599999999997</v>
      </c>
      <c r="E4" s="146">
        <v>41.832999999999998</v>
      </c>
    </row>
    <row r="5" spans="1:5" ht="19" thickBot="1">
      <c r="A5" s="112" t="s">
        <v>37</v>
      </c>
      <c r="B5" s="144"/>
      <c r="C5" s="145"/>
      <c r="D5" s="145"/>
      <c r="E5" s="145"/>
    </row>
    <row r="6" spans="1:5" ht="18">
      <c r="A6" s="107" t="s">
        <v>58</v>
      </c>
      <c r="B6" s="127" t="s">
        <v>38</v>
      </c>
      <c r="C6" s="146">
        <v>-1489.078</v>
      </c>
      <c r="D6" s="146">
        <v>645.88599999999997</v>
      </c>
      <c r="E6" s="146">
        <v>55.716000000000001</v>
      </c>
    </row>
    <row r="7" spans="1:5" ht="18">
      <c r="A7" s="107" t="s">
        <v>59</v>
      </c>
      <c r="B7" s="133" t="s">
        <v>39</v>
      </c>
      <c r="C7" s="146">
        <v>-1488.6379999999999</v>
      </c>
      <c r="D7" s="146">
        <v>646.79999999999995</v>
      </c>
      <c r="E7" s="146">
        <v>56.701000000000001</v>
      </c>
    </row>
    <row r="8" spans="1:5" ht="19" thickBot="1">
      <c r="A8" s="107" t="s">
        <v>60</v>
      </c>
      <c r="B8" s="136" t="s">
        <v>40</v>
      </c>
      <c r="C8" s="146">
        <v>-1487.9680000000001</v>
      </c>
      <c r="D8" s="146">
        <v>645.56600000000003</v>
      </c>
      <c r="E8" s="146">
        <v>56.530999999999999</v>
      </c>
    </row>
    <row r="9" spans="1:5" ht="19" thickBot="1">
      <c r="A9" s="112" t="s">
        <v>37</v>
      </c>
      <c r="B9" s="144"/>
      <c r="C9" s="145"/>
      <c r="D9" s="145"/>
      <c r="E9" s="145"/>
    </row>
    <row r="10" spans="1:5" ht="18">
      <c r="A10" s="107" t="s">
        <v>58</v>
      </c>
      <c r="B10" s="127" t="s">
        <v>38</v>
      </c>
      <c r="C10" s="146">
        <v>-1495.181</v>
      </c>
      <c r="D10" s="146">
        <v>871.84</v>
      </c>
      <c r="E10" s="146">
        <v>68.558999999999997</v>
      </c>
    </row>
    <row r="11" spans="1:5" ht="18">
      <c r="A11" s="107" t="s">
        <v>59</v>
      </c>
      <c r="B11" s="133" t="s">
        <v>39</v>
      </c>
      <c r="C11" s="146">
        <v>-1494.6189999999999</v>
      </c>
      <c r="D11" s="146">
        <v>872.71199999999999</v>
      </c>
      <c r="E11" s="146">
        <v>69.519000000000005</v>
      </c>
    </row>
    <row r="12" spans="1:5" ht="19" thickBot="1">
      <c r="A12" s="107" t="s">
        <v>60</v>
      </c>
      <c r="B12" s="136" t="s">
        <v>40</v>
      </c>
      <c r="C12" s="146">
        <v>-1494.1130000000001</v>
      </c>
      <c r="D12" s="146">
        <v>871.399</v>
      </c>
      <c r="E12" s="146">
        <v>69.375</v>
      </c>
    </row>
    <row r="13" spans="1:5" ht="18">
      <c r="A13" s="108" t="s">
        <v>61</v>
      </c>
      <c r="B13" s="114"/>
      <c r="C13" s="115"/>
      <c r="D13" s="115"/>
      <c r="E13" s="115"/>
    </row>
    <row r="14" spans="1:5" ht="19" thickBot="1">
      <c r="A14" s="112" t="s">
        <v>37</v>
      </c>
      <c r="B14" s="144"/>
      <c r="C14" s="145"/>
      <c r="D14" s="145"/>
      <c r="E14" s="145"/>
    </row>
    <row r="15" spans="1:5" ht="18">
      <c r="A15" s="107" t="s">
        <v>58</v>
      </c>
      <c r="B15" s="127" t="s">
        <v>38</v>
      </c>
      <c r="C15" s="146">
        <v>-1499.279</v>
      </c>
      <c r="D15" s="146">
        <v>1120.9459999999999</v>
      </c>
      <c r="E15" s="146">
        <v>82.287000000000006</v>
      </c>
    </row>
    <row r="16" spans="1:5" ht="18">
      <c r="A16" s="107" t="s">
        <v>59</v>
      </c>
      <c r="B16" s="133" t="s">
        <v>39</v>
      </c>
      <c r="C16" s="146">
        <v>-1498.598</v>
      </c>
      <c r="D16" s="146">
        <v>1121.759</v>
      </c>
      <c r="E16" s="146">
        <v>83.221999999999994</v>
      </c>
    </row>
    <row r="17" spans="1:10" ht="19" thickBot="1">
      <c r="A17" s="107" t="s">
        <v>60</v>
      </c>
      <c r="B17" s="136" t="s">
        <v>40</v>
      </c>
      <c r="C17" s="146">
        <v>-1498.271</v>
      </c>
      <c r="D17" s="146">
        <v>1120.3879999999999</v>
      </c>
      <c r="E17" s="146">
        <v>83.106999999999999</v>
      </c>
    </row>
    <row r="21" spans="1:10" ht="14" thickBot="1">
      <c r="A21" s="177" t="s">
        <v>152</v>
      </c>
      <c r="B21" s="31" t="s">
        <v>20</v>
      </c>
      <c r="C21" s="31" t="s">
        <v>21</v>
      </c>
      <c r="D21" s="31" t="s">
        <v>22</v>
      </c>
    </row>
    <row r="22" spans="1:10" ht="29" thickBot="1">
      <c r="A22" s="16" t="s">
        <v>68</v>
      </c>
      <c r="B22" s="25">
        <v>-1158.9631551284999</v>
      </c>
      <c r="C22" s="25">
        <v>305.84309374667555</v>
      </c>
      <c r="D22" s="26">
        <v>11.643596382888195</v>
      </c>
      <c r="E22" s="182" t="s">
        <v>194</v>
      </c>
      <c r="F22" s="180" t="s">
        <v>191</v>
      </c>
      <c r="G22" s="178" t="s">
        <v>186</v>
      </c>
      <c r="H22" s="182" t="s">
        <v>195</v>
      </c>
      <c r="I22" s="180" t="s">
        <v>193</v>
      </c>
      <c r="J22" s="178" t="s">
        <v>192</v>
      </c>
    </row>
    <row r="23" spans="1:10" ht="15">
      <c r="A23" s="15" t="s">
        <v>58</v>
      </c>
      <c r="B23" s="60">
        <v>-1150.309639677537</v>
      </c>
      <c r="C23" s="61">
        <v>299.60990911172388</v>
      </c>
      <c r="D23" s="62">
        <v>13.110074722589573</v>
      </c>
      <c r="E23" s="184">
        <f>ATAN(-(B23-B25)/(C25-C23))*180/PI()</f>
        <v>10.798814867860166</v>
      </c>
      <c r="F23" s="185">
        <f>ATAN((C23-C24)/(B24-B23))*180/PI()</f>
        <v>24.760873947442867</v>
      </c>
      <c r="G23" s="186">
        <f>ATAN(-(D24-D23)/(B24-B23))*180/PI()</f>
        <v>-80.88875173836216</v>
      </c>
      <c r="H23" s="184"/>
      <c r="I23" s="185"/>
      <c r="J23" s="186">
        <f>2*ATAN((D24-D27)/(C23+C27)*2)*180/PI()</f>
        <v>-38.762484076684217</v>
      </c>
    </row>
    <row r="24" spans="1:10" ht="15">
      <c r="A24" s="12" t="s">
        <v>59</v>
      </c>
      <c r="B24" s="63">
        <v>-1159.7075073555418</v>
      </c>
      <c r="C24" s="45">
        <v>303.94454828790288</v>
      </c>
      <c r="D24" s="64">
        <v>-45.489105896715508</v>
      </c>
      <c r="E24" s="184">
        <f>ATAN(-(B24-B26)/(C26-C24))*180/PI()</f>
        <v>8.8309649420380403</v>
      </c>
      <c r="F24" s="185"/>
      <c r="G24" s="186"/>
      <c r="H24" s="184"/>
      <c r="I24" s="185"/>
      <c r="J24" s="186"/>
    </row>
    <row r="25" spans="1:10" ht="15">
      <c r="A25" s="12" t="s">
        <v>60</v>
      </c>
      <c r="B25" s="63">
        <v>-1120.811749552998</v>
      </c>
      <c r="C25" s="45">
        <v>454.26064359394456</v>
      </c>
      <c r="D25" s="64">
        <v>32.802540068948872</v>
      </c>
      <c r="E25" s="184"/>
      <c r="F25" s="185">
        <f>ATAN((C25-C26)/(B26-B25))*180/PI()</f>
        <v>29.174779494992908</v>
      </c>
      <c r="G25" s="186">
        <f>ATAN(-(D26-D25)/(B26-B25))*180/PI()</f>
        <v>-81.022891011418736</v>
      </c>
      <c r="H25" s="184"/>
      <c r="I25" s="185"/>
      <c r="J25" s="186"/>
    </row>
    <row r="26" spans="1:10" ht="15">
      <c r="A26" s="12" t="s">
        <v>61</v>
      </c>
      <c r="B26" s="157">
        <v>-1135.1136259297482</v>
      </c>
      <c r="C26" s="158">
        <v>462.24543239207651</v>
      </c>
      <c r="D26" s="159">
        <v>-57.730035232663688</v>
      </c>
      <c r="E26" s="184"/>
      <c r="F26" s="185"/>
      <c r="G26" s="186"/>
      <c r="H26" s="184"/>
      <c r="I26" s="185"/>
      <c r="J26" s="186"/>
    </row>
    <row r="27" spans="1:10" ht="15">
      <c r="A27" s="12" t="s">
        <v>62</v>
      </c>
      <c r="B27" s="63">
        <v>-1437.6883264531014</v>
      </c>
      <c r="C27" s="45">
        <v>334.69855700421692</v>
      </c>
      <c r="D27" s="64">
        <v>66.081834513235435</v>
      </c>
      <c r="E27" s="184">
        <f>ATAN(-(B27-B29)/(C29-C27))*180/PI()</f>
        <v>10.798747590422579</v>
      </c>
      <c r="F27" s="185">
        <f>ATAN((C27-C28)/(B28-B27))*180/PI()</f>
        <v>24.761150309122865</v>
      </c>
      <c r="G27" s="186">
        <f>ATAN(-(D28-D27)/(B28-B27))*180/PI()</f>
        <v>-80.888759941770189</v>
      </c>
      <c r="H27" s="184"/>
      <c r="I27" s="185"/>
      <c r="J27" s="186"/>
    </row>
    <row r="28" spans="1:10" ht="15">
      <c r="A28" s="12" t="s">
        <v>63</v>
      </c>
      <c r="B28" s="157">
        <v>-1448.3370215622479</v>
      </c>
      <c r="C28" s="158">
        <v>339.61018568128827</v>
      </c>
      <c r="D28" s="159">
        <v>-0.31677853976722048</v>
      </c>
      <c r="E28" s="184">
        <f>ATAN(-(B28-B30)/(C30-C28))*180/PI()</f>
        <v>8.8309909817059982</v>
      </c>
      <c r="F28" s="185"/>
      <c r="G28" s="186"/>
      <c r="H28" s="184"/>
      <c r="I28" s="185"/>
      <c r="J28" s="186"/>
    </row>
    <row r="29" spans="1:10" ht="15">
      <c r="A29" s="12" t="s">
        <v>64</v>
      </c>
      <c r="B29" s="63">
        <v>-1403.3813710380309</v>
      </c>
      <c r="C29" s="45">
        <v>514.56327549164655</v>
      </c>
      <c r="D29" s="64">
        <v>88.983658535598977</v>
      </c>
      <c r="E29" s="184"/>
      <c r="F29" s="185">
        <f>ATAN((C29-C30)/(B30-B29))*180/PI()</f>
        <v>29.177112106541671</v>
      </c>
      <c r="G29" s="186">
        <f>ATAN(-(D30-D29)/(B30-B29))*180/PI()</f>
        <v>-81.022963731981974</v>
      </c>
      <c r="H29" s="184"/>
      <c r="I29" s="185"/>
      <c r="J29" s="186"/>
    </row>
    <row r="30" spans="1:10" ht="16" thickBot="1">
      <c r="A30" s="12" t="s">
        <v>65</v>
      </c>
      <c r="B30" s="160">
        <v>-1419.7371243142893</v>
      </c>
      <c r="C30" s="161">
        <v>523.69562456323843</v>
      </c>
      <c r="D30" s="162">
        <v>-14.551053949230919</v>
      </c>
      <c r="E30" s="183"/>
      <c r="F30" s="181"/>
      <c r="G30" s="179"/>
      <c r="H30" s="183"/>
      <c r="I30" s="181"/>
      <c r="J30" s="179"/>
    </row>
    <row r="31" spans="1:10">
      <c r="E31" s="183"/>
      <c r="F31" s="181"/>
      <c r="G31" s="179"/>
      <c r="H31" s="183"/>
      <c r="I31" s="181"/>
      <c r="J31" s="179"/>
    </row>
    <row r="32" spans="1:10" ht="14" thickBot="1">
      <c r="A32" s="177" t="s">
        <v>153</v>
      </c>
      <c r="B32" s="31" t="s">
        <v>20</v>
      </c>
      <c r="C32" s="31" t="s">
        <v>21</v>
      </c>
      <c r="D32" s="31" t="s">
        <v>22</v>
      </c>
      <c r="E32" s="183"/>
      <c r="F32" s="181"/>
      <c r="G32" s="179"/>
      <c r="H32" s="183"/>
      <c r="I32" s="181"/>
      <c r="J32" s="179"/>
    </row>
    <row r="33" spans="1:10" ht="29" thickBot="1">
      <c r="A33" s="16" t="s">
        <v>68</v>
      </c>
      <c r="B33" s="25">
        <v>-1177.0915868905151</v>
      </c>
      <c r="C33" s="25">
        <v>474.5467209068363</v>
      </c>
      <c r="D33" s="26">
        <v>41.05180873908693</v>
      </c>
      <c r="E33" s="183"/>
      <c r="F33" s="181"/>
      <c r="G33" s="179"/>
      <c r="H33" s="183"/>
      <c r="I33" s="181"/>
      <c r="J33" s="179"/>
    </row>
    <row r="34" spans="1:10" ht="15">
      <c r="A34" s="15" t="s">
        <v>58</v>
      </c>
      <c r="B34" s="76">
        <v>-1168.4872983182468</v>
      </c>
      <c r="C34" s="77">
        <v>467.47520963335489</v>
      </c>
      <c r="D34" s="78">
        <v>42.615412857880642</v>
      </c>
      <c r="E34" s="184">
        <f>ATAN(-(B34-B36)/(C36-C34))*180/PI()</f>
        <v>17.09197908556629</v>
      </c>
      <c r="F34" s="185">
        <f>ATAN((C34-C35)/(B35-B34))*180/PI()</f>
        <v>29.3377816973112</v>
      </c>
      <c r="G34" s="186">
        <f>ATAN(-(D35-D34)/(B35-B34))*180/PI()</f>
        <v>-81.231387813696585</v>
      </c>
      <c r="H34" s="184">
        <f>E34-E23</f>
        <v>6.2931642177061242</v>
      </c>
      <c r="I34" s="185">
        <f>F34-F23</f>
        <v>4.576907749868333</v>
      </c>
      <c r="J34" s="186">
        <f>2*ATAN((D35-D38)/(C34+C38)*2)*180/PI()</f>
        <v>-34.174550919397447</v>
      </c>
    </row>
    <row r="35" spans="1:10" ht="15">
      <c r="A35" s="12" t="s">
        <v>59</v>
      </c>
      <c r="B35" s="71">
        <v>-1182.8950498102092</v>
      </c>
      <c r="C35" s="70">
        <v>475.5729599218194</v>
      </c>
      <c r="D35" s="72">
        <v>-50.791432066008845</v>
      </c>
      <c r="E35" s="184">
        <f>ATAN(-(B35-B37)/(C37-C35))*180/PI()</f>
        <v>15.156760466971992</v>
      </c>
      <c r="F35" s="185"/>
      <c r="G35" s="186"/>
      <c r="H35" s="184"/>
      <c r="I35" s="185"/>
      <c r="J35" s="186"/>
    </row>
    <row r="36" spans="1:10" ht="15">
      <c r="A36" s="12" t="s">
        <v>60</v>
      </c>
      <c r="B36" s="71">
        <v>-1122.5235010426918</v>
      </c>
      <c r="C36" s="70">
        <v>616.95732392702962</v>
      </c>
      <c r="D36" s="72">
        <v>58.666111126279581</v>
      </c>
      <c r="E36" s="184"/>
      <c r="F36" s="185">
        <f>ATAN((C36-C37)/(B37-B36))*180/PI()</f>
        <v>35.86747878621496</v>
      </c>
      <c r="G36" s="186">
        <f>ATAN(-(D37-D36)/(B37-B36))*180/PI()</f>
        <v>-81.563137028961037</v>
      </c>
      <c r="H36" s="184"/>
      <c r="I36" s="185">
        <f>F36-F25</f>
        <v>6.692699291222052</v>
      </c>
      <c r="J36" s="186"/>
    </row>
    <row r="37" spans="1:10" ht="15">
      <c r="A37" s="12" t="s">
        <v>61</v>
      </c>
      <c r="B37" s="71">
        <v>-1140.9813050524235</v>
      </c>
      <c r="C37" s="70">
        <v>630.30258580775876</v>
      </c>
      <c r="D37" s="72">
        <v>-65.775828650463069</v>
      </c>
      <c r="E37" s="184"/>
      <c r="F37" s="185"/>
      <c r="G37" s="186"/>
      <c r="H37" s="184"/>
      <c r="I37" s="185"/>
      <c r="J37" s="186"/>
    </row>
    <row r="38" spans="1:10" ht="15">
      <c r="A38" s="12" t="s">
        <v>62</v>
      </c>
      <c r="B38" s="71">
        <v>-1470.7016115204842</v>
      </c>
      <c r="C38" s="70">
        <v>531.96762448594063</v>
      </c>
      <c r="D38" s="72">
        <v>102.82147357817678</v>
      </c>
      <c r="E38" s="184">
        <f>ATAN(-(B38-B40)/(C40-C38))*180/PI()</f>
        <v>17.091990408478221</v>
      </c>
      <c r="F38" s="185">
        <f>ATAN((C38-C39)/(B39-B38))*180/PI()</f>
        <v>29.337016740249123</v>
      </c>
      <c r="G38" s="186">
        <f>ATAN(-(D39-D38)/(B39-B38))*180/PI()</f>
        <v>-81.231350194462394</v>
      </c>
      <c r="H38" s="184"/>
      <c r="I38" s="185">
        <f>F38-F27</f>
        <v>4.5758664311262578</v>
      </c>
      <c r="J38" s="186"/>
    </row>
    <row r="39" spans="1:10" ht="15">
      <c r="A39" s="12" t="s">
        <v>63</v>
      </c>
      <c r="B39" s="71">
        <v>-1487.2550473169922</v>
      </c>
      <c r="C39" s="70">
        <v>541.27104699148913</v>
      </c>
      <c r="D39" s="72">
        <v>-4.4955823151024603</v>
      </c>
      <c r="E39" s="184">
        <f>ATAN(-(B39-B41)/(C41-C39))*180/PI()</f>
        <v>15.156845656803057</v>
      </c>
      <c r="F39" s="185"/>
      <c r="G39" s="186"/>
      <c r="H39" s="184"/>
      <c r="I39" s="185"/>
      <c r="J39" s="186"/>
    </row>
    <row r="40" spans="1:10" ht="15">
      <c r="A40" s="12" t="s">
        <v>64</v>
      </c>
      <c r="B40" s="71">
        <v>-1412.4735131976854</v>
      </c>
      <c r="C40" s="70">
        <v>721.33520596308244</v>
      </c>
      <c r="D40" s="72">
        <v>123.15511742737402</v>
      </c>
      <c r="E40" s="184"/>
      <c r="F40" s="185">
        <f>ATAN((C40-C41)/(B41-B40))*180/PI()</f>
        <v>35.870987049294072</v>
      </c>
      <c r="G40" s="186">
        <f>ATAN(-(D41-D40)/(B41-B40))*180/PI()</f>
        <v>-81.563321971802807</v>
      </c>
      <c r="H40" s="184"/>
      <c r="I40" s="185">
        <f>F40-F29</f>
        <v>6.6938749427524016</v>
      </c>
      <c r="J40" s="186"/>
    </row>
    <row r="41" spans="1:10" ht="16" thickBot="1">
      <c r="A41" s="12" t="s">
        <v>65</v>
      </c>
      <c r="B41" s="65">
        <v>-1434.2188409369292</v>
      </c>
      <c r="C41" s="39">
        <v>737.05942312048023</v>
      </c>
      <c r="D41" s="66">
        <v>-23.454465675295161</v>
      </c>
      <c r="H41" s="183"/>
      <c r="I41" s="181"/>
    </row>
    <row r="42" spans="1:10">
      <c r="H42" s="183"/>
      <c r="I42" s="181"/>
    </row>
    <row r="43" spans="1:10" ht="14" thickBot="1">
      <c r="A43" s="177" t="s">
        <v>154</v>
      </c>
      <c r="B43" s="31" t="s">
        <v>20</v>
      </c>
      <c r="C43" s="31" t="s">
        <v>21</v>
      </c>
      <c r="D43" s="31" t="s">
        <v>22</v>
      </c>
      <c r="H43" s="183"/>
      <c r="I43" s="181"/>
    </row>
    <row r="44" spans="1:10" ht="29" thickBot="1">
      <c r="A44" s="16" t="s">
        <v>68</v>
      </c>
      <c r="B44" s="25">
        <v>-1193.3083362997943</v>
      </c>
      <c r="C44" s="25">
        <v>651.28573722005149</v>
      </c>
      <c r="D44" s="26">
        <v>71.602937913999028</v>
      </c>
      <c r="E44" s="182" t="s">
        <v>190</v>
      </c>
      <c r="F44" s="180" t="s">
        <v>191</v>
      </c>
      <c r="G44" s="178" t="s">
        <v>186</v>
      </c>
      <c r="H44" s="182"/>
      <c r="I44" s="180"/>
      <c r="J44" s="178"/>
    </row>
    <row r="45" spans="1:10" ht="15">
      <c r="A45" s="15" t="s">
        <v>58</v>
      </c>
      <c r="B45" s="76">
        <v>-1185.3760785462707</v>
      </c>
      <c r="C45" s="77">
        <v>642.68942627421472</v>
      </c>
      <c r="D45" s="78">
        <v>73.251056119330485</v>
      </c>
      <c r="E45" s="184">
        <f>ATAN(-(B45-B47)/(C47-C45))*180/PI()</f>
        <v>24.400477094432045</v>
      </c>
      <c r="F45" s="185">
        <f>ATAN((C45-C46)/(B46-B45))*180/PI()</f>
        <v>36.578348148117009</v>
      </c>
      <c r="G45" s="186">
        <f>ATAN(-(D46-D45)/(B46-B45))*180/PI()</f>
        <v>-81.944917328002191</v>
      </c>
      <c r="H45" s="184">
        <f>E45-E34</f>
        <v>7.3084980088657545</v>
      </c>
      <c r="I45" s="185">
        <f>F45-F34</f>
        <v>7.2405664508058081</v>
      </c>
      <c r="J45" s="186">
        <f>2*ATAN((D46-D49)/(C45+C49)*2)*180/PI()</f>
        <v>-31.631713913158944</v>
      </c>
    </row>
    <row r="46" spans="1:10" ht="15">
      <c r="A46" s="12" t="s">
        <v>59</v>
      </c>
      <c r="B46" s="71">
        <v>-1203.7771556763555</v>
      </c>
      <c r="C46" s="70">
        <v>656.34448619172076</v>
      </c>
      <c r="D46" s="72">
        <v>-56.772291567578776</v>
      </c>
      <c r="E46" s="184">
        <f>ATAN(-(B46-B48)/(C48-C46))*180/PI()</f>
        <v>22.560030095513927</v>
      </c>
      <c r="F46" s="185"/>
      <c r="G46" s="186"/>
      <c r="H46" s="184"/>
      <c r="I46" s="185"/>
      <c r="J46" s="186"/>
    </row>
    <row r="47" spans="1:10" ht="15">
      <c r="A47" s="12" t="s">
        <v>60</v>
      </c>
      <c r="B47" s="71">
        <v>-1119.6361025493757</v>
      </c>
      <c r="C47" s="70">
        <v>787.6091913406907</v>
      </c>
      <c r="D47" s="72">
        <v>85.294583842796555</v>
      </c>
      <c r="E47" s="184"/>
      <c r="F47" s="185">
        <f>ATAN((C47-C48)/(B48-B47))*180/PI()</f>
        <v>42.511563515805314</v>
      </c>
      <c r="G47" s="186">
        <f>ATAN(-(D48-D47)/(B48-B47))*180/PI()</f>
        <v>-82.379227594381973</v>
      </c>
      <c r="H47" s="184"/>
      <c r="I47" s="185">
        <f>F47-F36</f>
        <v>6.6440847295903538</v>
      </c>
      <c r="J47" s="186"/>
    </row>
    <row r="48" spans="1:10" ht="15">
      <c r="A48" s="12" t="s">
        <v>61</v>
      </c>
      <c r="B48" s="71">
        <v>-1141.0783515190651</v>
      </c>
      <c r="C48" s="70">
        <v>807.26535513579461</v>
      </c>
      <c r="D48" s="72">
        <v>-74.964373936064462</v>
      </c>
      <c r="E48" s="184"/>
      <c r="F48" s="185"/>
      <c r="G48" s="186"/>
      <c r="H48" s="184"/>
      <c r="I48" s="185"/>
      <c r="J48" s="186"/>
    </row>
    <row r="49" spans="1:10" ht="15">
      <c r="A49" s="12" t="s">
        <v>62</v>
      </c>
      <c r="B49" s="71">
        <v>-1489.2722693894218</v>
      </c>
      <c r="C49" s="70">
        <v>752.00213686608856</v>
      </c>
      <c r="D49" s="72">
        <v>140.76513904736669</v>
      </c>
      <c r="E49" s="184">
        <f>ATAN(-(B49-B51)/(C51-C49))*180/PI()</f>
        <v>24.400420321719263</v>
      </c>
      <c r="F49" s="185">
        <f>ATAN((C49-C50)/(B50-B49))*180/PI()</f>
        <v>-74.477467836186975</v>
      </c>
      <c r="G49" s="186">
        <f>ATAN(-(D50-D49)/(B50-B49))*180/PI()</f>
        <v>71.999751122378214</v>
      </c>
      <c r="H49" s="184"/>
      <c r="I49" s="185">
        <f>F49-F38</f>
        <v>-103.8144845764361</v>
      </c>
      <c r="J49" s="186"/>
    </row>
    <row r="50" spans="1:10" ht="15">
      <c r="A50" s="12" t="s">
        <v>63</v>
      </c>
      <c r="B50" s="71">
        <v>-1432.033941926027</v>
      </c>
      <c r="C50" s="70">
        <v>958.08213632601826</v>
      </c>
      <c r="D50" s="72">
        <v>-35.393715450073969</v>
      </c>
      <c r="E50" s="184">
        <f>ATAN(-(B50-B52)/(C52-C50))*180/PI()</f>
        <v>23.409401896706736</v>
      </c>
      <c r="F50" s="185"/>
      <c r="G50" s="186"/>
      <c r="H50" s="184"/>
      <c r="I50" s="185"/>
      <c r="J50" s="186"/>
    </row>
    <row r="51" spans="1:10" ht="15">
      <c r="A51" s="12" t="s">
        <v>64</v>
      </c>
      <c r="B51" s="71">
        <v>-1406.4354976014572</v>
      </c>
      <c r="C51" s="70">
        <v>934.6112258166188</v>
      </c>
      <c r="D51" s="72">
        <v>155.93966694682354</v>
      </c>
      <c r="E51" s="184"/>
      <c r="F51" s="185">
        <f>ATAN((C51-C52)/(B52-B51))*180/PI()</f>
        <v>42.515783965446552</v>
      </c>
      <c r="G51" s="186">
        <f>ATAN(-(D52-D51)/(B52-B51))*180/PI()</f>
        <v>-82.379546689130308</v>
      </c>
      <c r="H51" s="184"/>
      <c r="I51" s="185">
        <f>F51-F40</f>
        <v>6.6447969161524796</v>
      </c>
      <c r="J51" s="186"/>
    </row>
    <row r="52" spans="1:10" ht="16" thickBot="1">
      <c r="A52" s="12" t="s">
        <v>65</v>
      </c>
      <c r="B52" s="65">
        <v>-1432.0343391002261</v>
      </c>
      <c r="C52" s="39">
        <v>958.08121892364909</v>
      </c>
      <c r="D52" s="66">
        <v>-35.393690439104262</v>
      </c>
      <c r="E52" s="187"/>
      <c r="F52" s="187"/>
      <c r="G52" s="187"/>
      <c r="H52" s="184"/>
      <c r="I52" s="185"/>
      <c r="J52" s="187"/>
    </row>
    <row r="53" spans="1:10">
      <c r="H53" s="183"/>
      <c r="I53" s="181"/>
    </row>
    <row r="54" spans="1:10" ht="14" thickBot="1">
      <c r="A54" s="177" t="s">
        <v>155</v>
      </c>
      <c r="B54" s="31" t="s">
        <v>20</v>
      </c>
      <c r="C54" s="31" t="s">
        <v>21</v>
      </c>
      <c r="D54" s="31" t="s">
        <v>22</v>
      </c>
      <c r="H54" s="183"/>
      <c r="I54" s="181"/>
    </row>
    <row r="55" spans="1:10" ht="29" thickBot="1">
      <c r="A55" s="16" t="s">
        <v>68</v>
      </c>
      <c r="B55" s="25">
        <v>-1213.0645626225903</v>
      </c>
      <c r="C55" s="25">
        <v>844.91189819116221</v>
      </c>
      <c r="D55" s="26">
        <v>105.33389733957328</v>
      </c>
      <c r="E55" s="182" t="s">
        <v>190</v>
      </c>
      <c r="F55" s="180" t="s">
        <v>191</v>
      </c>
      <c r="G55" s="178" t="s">
        <v>186</v>
      </c>
      <c r="H55" s="182"/>
      <c r="I55" s="180"/>
      <c r="J55" s="178"/>
    </row>
    <row r="56" spans="1:10" ht="15">
      <c r="A56" s="15" t="s">
        <v>58</v>
      </c>
      <c r="B56" s="76">
        <v>-1205.7491547306286</v>
      </c>
      <c r="C56" s="77">
        <v>835.0998824481685</v>
      </c>
      <c r="D56" s="78">
        <v>107.05101452481335</v>
      </c>
      <c r="E56" s="184">
        <f>ATAN(-(B56-B58)/(C58-C56))*180/PI()</f>
        <v>31.91864050787704</v>
      </c>
      <c r="F56" s="185">
        <f>ATAN((C56-C57)/(B57-B56))*180/PI()</f>
        <v>43.594784452526888</v>
      </c>
      <c r="G56" s="186">
        <f>ATAN(-(D57-D56)/(B57-B56))*180/PI()</f>
        <v>-82.931011035930155</v>
      </c>
      <c r="H56" s="184">
        <f>E56-E45</f>
        <v>7.5181634134449951</v>
      </c>
      <c r="I56" s="185">
        <f>F56-F45</f>
        <v>7.0164363044098792</v>
      </c>
      <c r="J56" s="186">
        <f>2*ATAN((D57-D60)/(C56+C60)*2)*180/PI()</f>
        <v>-30.108139655380715</v>
      </c>
    </row>
    <row r="57" spans="1:10" ht="15">
      <c r="A57" s="12" t="s">
        <v>59</v>
      </c>
      <c r="B57" s="71">
        <v>-1226.8914917674151</v>
      </c>
      <c r="C57" s="70">
        <v>855.22978839112625</v>
      </c>
      <c r="D57" s="72">
        <v>-63.442106913109896</v>
      </c>
      <c r="E57" s="184">
        <f>ATAN(-(B57-B59)/(C59-C57))*180/PI()</f>
        <v>30.244302502063515</v>
      </c>
      <c r="F57" s="185"/>
      <c r="G57" s="186"/>
      <c r="H57" s="184"/>
      <c r="I57" s="185"/>
      <c r="J57" s="186"/>
    </row>
    <row r="58" spans="1:10" ht="15">
      <c r="A58" s="12" t="s">
        <v>60</v>
      </c>
      <c r="B58" s="71">
        <v>-1118.4198528811057</v>
      </c>
      <c r="C58" s="70">
        <v>975.29858274647984</v>
      </c>
      <c r="D58" s="72">
        <v>114.88455401448549</v>
      </c>
      <c r="E58" s="184"/>
      <c r="F58" s="185">
        <f>ATAN((C58-C59)/(B59-B58))*180/PI()</f>
        <v>49.881927980625974</v>
      </c>
      <c r="G58" s="186">
        <f>ATAN(-(D59-D58)/(B59-B58))*180/PI()</f>
        <v>-83.513819690740732</v>
      </c>
      <c r="H58" s="184"/>
      <c r="I58" s="185">
        <f>F58-F47</f>
        <v>7.3703644648206605</v>
      </c>
      <c r="J58" s="186"/>
    </row>
    <row r="59" spans="1:10" ht="15">
      <c r="A59" s="12" t="s">
        <v>61</v>
      </c>
      <c r="B59" s="71">
        <v>-1141.1543169028487</v>
      </c>
      <c r="C59" s="70">
        <v>1002.2793497273158</v>
      </c>
      <c r="D59" s="72">
        <v>-85.082084212828917</v>
      </c>
      <c r="E59" s="184"/>
      <c r="F59" s="185"/>
      <c r="G59" s="186"/>
      <c r="H59" s="184"/>
      <c r="I59" s="185"/>
      <c r="J59" s="186"/>
    </row>
    <row r="60" spans="1:10" ht="15">
      <c r="A60" s="12" t="s">
        <v>62</v>
      </c>
      <c r="B60" s="71">
        <v>-1510.918377522614</v>
      </c>
      <c r="C60" s="70">
        <v>991.22150557242594</v>
      </c>
      <c r="D60" s="72">
        <v>182.16241467686038</v>
      </c>
      <c r="E60" s="184">
        <f>ATAN(-(B60-B62)/(C62-C60))*180/PI()</f>
        <v>31.918546314448331</v>
      </c>
      <c r="F60" s="185">
        <f>ATAN((C60-C61)/(B61-B60))*180/PI()</f>
        <v>43.588419030539946</v>
      </c>
      <c r="G60" s="186">
        <f>ATAN(-(D61-D60)/(B61-B60))*180/PI()</f>
        <v>-82.930437976289113</v>
      </c>
      <c r="H60" s="184"/>
      <c r="I60" s="185">
        <f>F60-F49</f>
        <v>118.06588686672691</v>
      </c>
      <c r="J60" s="186"/>
    </row>
    <row r="61" spans="1:10" ht="15">
      <c r="A61" s="12" t="s">
        <v>63</v>
      </c>
      <c r="B61" s="71">
        <v>-1536.163093667587</v>
      </c>
      <c r="C61" s="70">
        <v>1015.2519958116166</v>
      </c>
      <c r="D61" s="72">
        <v>-21.395876681171458</v>
      </c>
      <c r="E61" s="184">
        <f>ATAN(-(B61-B63)/(C63-C61))*180/PI()</f>
        <v>30.24441679530522</v>
      </c>
      <c r="F61" s="185"/>
      <c r="G61" s="186"/>
      <c r="H61" s="184"/>
      <c r="I61" s="185"/>
      <c r="J61" s="186"/>
    </row>
    <row r="62" spans="1:10" ht="15">
      <c r="A62" s="12" t="s">
        <v>64</v>
      </c>
      <c r="B62" s="71">
        <v>-1397.8740004153187</v>
      </c>
      <c r="C62" s="70">
        <v>1172.7039229202446</v>
      </c>
      <c r="D62" s="72">
        <v>192.30055326850066</v>
      </c>
      <c r="E62" s="184"/>
      <c r="F62" s="185">
        <f>ATAN((C62-C63)/(B63-B62))*180/PI()</f>
        <v>49.891991013347443</v>
      </c>
      <c r="G62" s="186">
        <f>ATAN(-(D63-D62)/(B63-B62))*180/PI()</f>
        <v>-83.514784065103001</v>
      </c>
      <c r="H62" s="184"/>
      <c r="I62" s="185">
        <f>F62-F51</f>
        <v>7.3762070479008912</v>
      </c>
      <c r="J62" s="186"/>
    </row>
    <row r="63" spans="1:10" ht="16" thickBot="1">
      <c r="A63" s="12" t="s">
        <v>65</v>
      </c>
      <c r="B63" s="65">
        <v>-1425.3449816094726</v>
      </c>
      <c r="C63" s="39">
        <v>1205.3175080753099</v>
      </c>
      <c r="D63" s="66">
        <v>-49.363540654285558</v>
      </c>
      <c r="E63" s="187"/>
      <c r="F63" s="187"/>
      <c r="G63" s="187"/>
      <c r="H63" s="187"/>
      <c r="I63" s="187"/>
      <c r="J63" s="18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Sumo3</vt:lpstr>
      <vt:lpstr>Sumo4</vt:lpstr>
      <vt:lpstr>Sumo5</vt:lpstr>
      <vt:lpstr>Sumo6</vt:lpstr>
      <vt:lpstr>All</vt:lpstr>
      <vt:lpstr>angles</vt:lpstr>
      <vt:lpstr>draw</vt:lpstr>
      <vt:lpstr>draw (2)</vt:lpstr>
      <vt:lpstr>draw (3)</vt:lpstr>
      <vt:lpstr>draw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Christian Joachim Dr.</dc:creator>
  <cp:lastModifiedBy>Microsoft Office User</cp:lastModifiedBy>
  <dcterms:created xsi:type="dcterms:W3CDTF">2017-09-04T08:26:59Z</dcterms:created>
  <dcterms:modified xsi:type="dcterms:W3CDTF">2020-08-04T09:24:48Z</dcterms:modified>
</cp:coreProperties>
</file>