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_Stock\"/>
    </mc:Choice>
  </mc:AlternateContent>
  <xr:revisionPtr revIDLastSave="0" documentId="13_ncr:1_{9A7A7853-7FC5-4AFC-B61E-0138BDAB5DCE}" xr6:coauthVersionLast="43" xr6:coauthVersionMax="43" xr10:uidLastSave="{00000000-0000-0000-0000-000000000000}"/>
  <bookViews>
    <workbookView xWindow="3540" yWindow="3810" windowWidth="21600" windowHeight="11325" xr2:uid="{CF2B30E1-39B2-4837-AEAE-671E5370CDE2}"/>
  </bookViews>
  <sheets>
    <sheet name="StockHistory" sheetId="6" r:id="rId1"/>
    <sheet name="Articles" sheetId="19" r:id="rId2"/>
    <sheet name="Main" sheetId="4" r:id="rId3"/>
    <sheet name="Articles_commandes" sheetId="5" state="hidden" r:id="rId4"/>
    <sheet name="Commands" sheetId="15" r:id="rId5"/>
    <sheet name="LampeSolaire_v4" sheetId="3" r:id="rId6"/>
    <sheet name="TempoMetter_v1" sheetId="8" r:id="rId7"/>
    <sheet name="USB_Tool_v1" sheetId="16" r:id="rId8"/>
    <sheet name="RF_Transceiver_v1" sheetId="17" r:id="rId9"/>
    <sheet name="ProductTemplate" sheetId="14" r:id="rId10"/>
    <sheet name="ProductConfig" sheetId="9" r:id="rId11"/>
    <sheet name="OrderAdder" sheetId="11" r:id="rId12"/>
    <sheet name="OrderAdder_work" sheetId="13" r:id="rId13"/>
  </sheets>
  <externalReferences>
    <externalReference r:id="rId14"/>
  </externalReferences>
  <definedNames>
    <definedName name="_xlnm._FilterDatabase" localSheetId="3" hidden="1">Articles_commandes!$A$1:$F$64</definedName>
    <definedName name="_xlnm._FilterDatabase" localSheetId="4" hidden="1">Commands!$A$1:$M$3</definedName>
    <definedName name="_xlnm._FilterDatabase" localSheetId="5" hidden="1">LampeSolaire_v4!$A$1:$E$40</definedName>
    <definedName name="_xlnm._FilterDatabase" localSheetId="9" hidden="1">ProductTemplate!$A$1:$E$2</definedName>
    <definedName name="_xlnm._FilterDatabase" localSheetId="8" hidden="1">RF_Transceiver_v1!$A$1:$E$2</definedName>
    <definedName name="_xlnm._FilterDatabase" localSheetId="6" hidden="1">TempoMetter_v1!$A$1:$E$15</definedName>
    <definedName name="_xlnm._FilterDatabase" localSheetId="7" hidden="1">USB_Tool_v1!$A$1:$E$2</definedName>
    <definedName name="RF_Transceiver">OrderAdder_work!#REF!</definedName>
    <definedName name="zzzzzzzzzzz" localSheetId="9">OrderAdder_work!#REF!</definedName>
    <definedName name="zzzzzzzzzzz" localSheetId="8">OrderAdder_work!#REF!</definedName>
    <definedName name="zzzzzzzzzzz" localSheetId="7">OrderAdder_work!#REF!</definedName>
    <definedName name="zzzzzzzzzzz">OrderAdder_work!#REF!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5" l="1"/>
  <c r="K3" i="15" s="1"/>
  <c r="J2" i="15"/>
  <c r="K2" i="15" s="1"/>
  <c r="H21" i="19" l="1" a="1"/>
  <c r="H21" i="19" s="1"/>
  <c r="H2" i="19" a="1"/>
  <c r="H2" i="19" s="1"/>
  <c r="H3" i="19" a="1"/>
  <c r="H3" i="19" s="1"/>
  <c r="H4" i="19" a="1"/>
  <c r="H4" i="19" s="1"/>
  <c r="H5" i="19" a="1"/>
  <c r="H5" i="19" s="1"/>
  <c r="H6" i="19" a="1"/>
  <c r="H6" i="19" s="1"/>
  <c r="H7" i="19" a="1"/>
  <c r="H7" i="19" s="1"/>
  <c r="H8" i="19" a="1"/>
  <c r="H8" i="19" s="1"/>
  <c r="H9" i="19" a="1"/>
  <c r="H9" i="19" s="1"/>
  <c r="H10" i="19" a="1"/>
  <c r="H10" i="19" s="1"/>
  <c r="H11" i="19" a="1"/>
  <c r="H11" i="19" s="1"/>
  <c r="H12" i="19" a="1"/>
  <c r="H12" i="19" s="1"/>
  <c r="H13" i="19" a="1"/>
  <c r="H13" i="19" s="1"/>
  <c r="H14" i="19" a="1"/>
  <c r="H14" i="19" s="1"/>
  <c r="H15" i="19" a="1"/>
  <c r="H15" i="19" s="1"/>
  <c r="H16" i="19" a="1"/>
  <c r="H16" i="19" s="1"/>
  <c r="H17" i="19" a="1"/>
  <c r="H17" i="19" s="1"/>
  <c r="H18" i="19" a="1"/>
  <c r="H18" i="19" s="1"/>
  <c r="H19" i="19" a="1"/>
  <c r="H19" i="19" s="1"/>
  <c r="H20" i="19" a="1"/>
  <c r="H20" i="19" s="1"/>
  <c r="H22" i="19" a="1"/>
  <c r="H22" i="19" s="1"/>
  <c r="H23" i="19" a="1"/>
  <c r="H23" i="19" s="1"/>
  <c r="H24" i="19" a="1"/>
  <c r="H24" i="19" s="1"/>
  <c r="H25" i="19" a="1"/>
  <c r="H25" i="19" s="1"/>
  <c r="H26" i="19" a="1"/>
  <c r="H26" i="19" s="1"/>
  <c r="H27" i="19" a="1"/>
  <c r="H27" i="19" s="1"/>
  <c r="H28" i="19" a="1"/>
  <c r="H28" i="19" s="1"/>
  <c r="H29" i="19" a="1"/>
  <c r="H29" i="19" s="1"/>
  <c r="H30" i="19" a="1"/>
  <c r="H30" i="19" s="1"/>
  <c r="H31" i="19" a="1"/>
  <c r="H31" i="19" s="1"/>
  <c r="H32" i="19" a="1"/>
  <c r="H32" i="19" s="1"/>
  <c r="H33" i="19" a="1"/>
  <c r="H33" i="19" s="1"/>
  <c r="H34" i="19" a="1"/>
  <c r="H34" i="19" s="1"/>
  <c r="H35" i="19" a="1"/>
  <c r="H35" i="19" s="1"/>
  <c r="H36" i="19" a="1"/>
  <c r="H36" i="19" s="1"/>
  <c r="H37" i="19" a="1"/>
  <c r="H37" i="19" s="1"/>
  <c r="H38" i="19" a="1"/>
  <c r="H38" i="19" s="1"/>
  <c r="H39" i="19" a="1"/>
  <c r="H39" i="19" s="1"/>
  <c r="H40" i="19" a="1"/>
  <c r="H40" i="19" s="1"/>
  <c r="H41" i="19" a="1"/>
  <c r="H41" i="19" s="1"/>
  <c r="H42" i="19" a="1"/>
  <c r="H42" i="19" s="1"/>
  <c r="H43" i="19" a="1"/>
  <c r="H43" i="19" s="1"/>
  <c r="H44" i="19" a="1"/>
  <c r="H44" i="19" s="1"/>
  <c r="H45" i="19" a="1"/>
  <c r="H45" i="19" s="1"/>
  <c r="H46" i="19" a="1"/>
  <c r="H46" i="19" s="1"/>
  <c r="H47" i="19" a="1"/>
  <c r="H47" i="19" s="1"/>
  <c r="H48" i="19" a="1"/>
  <c r="H48" i="19" s="1"/>
  <c r="H49" i="19" a="1"/>
  <c r="H49" i="19" s="1"/>
  <c r="H50" i="19" a="1"/>
  <c r="H50" i="19" s="1"/>
  <c r="H51" i="19" a="1"/>
  <c r="H51" i="19" s="1"/>
  <c r="H52" i="19" a="1"/>
  <c r="H52" i="19" s="1"/>
  <c r="H53" i="19" a="1"/>
  <c r="H53" i="19" s="1"/>
  <c r="H54" i="19" a="1"/>
  <c r="H54" i="19" s="1"/>
  <c r="H55" i="19" a="1"/>
  <c r="H55" i="19" s="1"/>
  <c r="H56" i="19" a="1"/>
  <c r="H56" i="19" s="1"/>
  <c r="H57" i="19" a="1"/>
  <c r="H57" i="19" s="1"/>
  <c r="H58" i="19" a="1"/>
  <c r="H58" i="19" s="1"/>
  <c r="H59" i="19" a="1"/>
  <c r="H59" i="19" s="1"/>
  <c r="H60" i="19" a="1"/>
  <c r="H60" i="19" s="1"/>
  <c r="H61" i="19" a="1"/>
  <c r="H61" i="19" s="1"/>
  <c r="H62" i="19" a="1"/>
  <c r="H62" i="19" s="1"/>
  <c r="H63" i="19" a="1"/>
  <c r="H63" i="19" s="1"/>
  <c r="H64" i="19" a="1"/>
  <c r="H64" i="19" s="1"/>
  <c r="H65" i="19" a="1"/>
  <c r="H65" i="19" s="1"/>
  <c r="H66" i="19" a="1"/>
  <c r="H66" i="19" s="1"/>
  <c r="H67" i="19" a="1"/>
  <c r="H67" i="19" s="1"/>
  <c r="H68" i="19" a="1"/>
  <c r="H68" i="19" s="1"/>
  <c r="H69" i="19" a="1"/>
  <c r="H69" i="19" s="1"/>
  <c r="H70" i="19" a="1"/>
  <c r="H70" i="19" s="1"/>
  <c r="H71" i="19" a="1"/>
  <c r="H71" i="19" s="1"/>
  <c r="H72" i="19" a="1"/>
  <c r="H72" i="19" s="1"/>
  <c r="H73" i="19" a="1"/>
  <c r="H73" i="19" s="1"/>
  <c r="H74" i="19" a="1"/>
  <c r="H74" i="19" s="1"/>
  <c r="H75" i="19" a="1"/>
  <c r="H75" i="19" s="1"/>
  <c r="H76" i="19" a="1"/>
  <c r="H76" i="19" s="1"/>
  <c r="H77" i="19" a="1"/>
  <c r="H77" i="19" s="1"/>
  <c r="H78" i="19" a="1"/>
  <c r="H78" i="19" s="1"/>
  <c r="H79" i="19" a="1"/>
  <c r="H79" i="19" s="1"/>
  <c r="H80" i="19" a="1"/>
  <c r="H80" i="19" s="1"/>
  <c r="H81" i="19" a="1"/>
  <c r="H81" i="19" s="1"/>
  <c r="H82" i="19" a="1"/>
  <c r="H82" i="19" s="1"/>
  <c r="H83" i="19" a="1"/>
  <c r="H83" i="19" s="1"/>
  <c r="H84" i="19" a="1"/>
  <c r="H84" i="19" s="1"/>
  <c r="H85" i="19" a="1"/>
  <c r="H85" i="19" s="1"/>
  <c r="H86" i="19" a="1"/>
  <c r="H86" i="19" s="1"/>
  <c r="H87" i="19" a="1"/>
  <c r="H87" i="19" s="1"/>
  <c r="H88" i="19" a="1"/>
  <c r="H88" i="19" s="1"/>
  <c r="H89" i="19" a="1"/>
  <c r="H89" i="19" s="1"/>
  <c r="H90" i="19" a="1"/>
  <c r="H90" i="19" s="1"/>
  <c r="H91" i="19" a="1"/>
  <c r="H91" i="19" s="1"/>
  <c r="H92" i="19" a="1"/>
  <c r="H92" i="19" s="1"/>
  <c r="H93" i="19" a="1"/>
  <c r="H93" i="19" s="1"/>
  <c r="H94" i="19" a="1"/>
  <c r="H94" i="19" s="1"/>
  <c r="H95" i="19" a="1"/>
  <c r="H95" i="19" s="1"/>
  <c r="H96" i="19" a="1"/>
  <c r="H96" i="19" s="1"/>
  <c r="H97" i="19" a="1"/>
  <c r="H97" i="19" s="1"/>
  <c r="H98" i="19" a="1"/>
  <c r="H98" i="19" s="1"/>
  <c r="H99" i="19" a="1"/>
  <c r="H99" i="19" s="1"/>
  <c r="H100" i="19" a="1"/>
  <c r="H100" i="19" s="1"/>
  <c r="I2" i="19" a="1"/>
  <c r="I2" i="19" s="1"/>
  <c r="I3" i="19" a="1"/>
  <c r="I3" i="19" s="1"/>
  <c r="I4" i="19" a="1"/>
  <c r="I4" i="19" s="1"/>
  <c r="I5" i="19" a="1"/>
  <c r="I5" i="19" s="1"/>
  <c r="I6" i="19" a="1"/>
  <c r="I6" i="19" s="1"/>
  <c r="I7" i="19" a="1"/>
  <c r="I7" i="19" s="1"/>
  <c r="I8" i="19" a="1"/>
  <c r="I8" i="19" s="1"/>
  <c r="I9" i="19" a="1"/>
  <c r="I9" i="19" s="1"/>
  <c r="I10" i="19" a="1"/>
  <c r="I10" i="19" s="1"/>
  <c r="I11" i="19" a="1"/>
  <c r="I11" i="19" s="1"/>
  <c r="I12" i="19" a="1"/>
  <c r="I12" i="19" s="1"/>
  <c r="I13" i="19" a="1"/>
  <c r="I13" i="19" s="1"/>
  <c r="I14" i="19" a="1"/>
  <c r="I14" i="19" s="1"/>
  <c r="I15" i="19" a="1"/>
  <c r="I15" i="19" s="1"/>
  <c r="I16" i="19" a="1"/>
  <c r="I16" i="19" s="1"/>
  <c r="I17" i="19" a="1"/>
  <c r="I17" i="19" s="1"/>
  <c r="I18" i="19" a="1"/>
  <c r="I18" i="19" s="1"/>
  <c r="I19" i="19" a="1"/>
  <c r="I19" i="19" s="1"/>
  <c r="I20" i="19" a="1"/>
  <c r="I20" i="19" s="1"/>
  <c r="I21" i="19" a="1"/>
  <c r="I21" i="19" s="1"/>
  <c r="I22" i="19" a="1"/>
  <c r="I22" i="19" s="1"/>
  <c r="I23" i="19" a="1"/>
  <c r="I23" i="19" s="1"/>
  <c r="I24" i="19" a="1"/>
  <c r="I24" i="19" s="1"/>
  <c r="I25" i="19" a="1"/>
  <c r="I25" i="19" s="1"/>
  <c r="I26" i="19" a="1"/>
  <c r="I26" i="19" s="1"/>
  <c r="I27" i="19" a="1"/>
  <c r="I27" i="19" s="1"/>
  <c r="I28" i="19" a="1"/>
  <c r="I28" i="19" s="1"/>
  <c r="I29" i="19" a="1"/>
  <c r="I29" i="19" s="1"/>
  <c r="I30" i="19" a="1"/>
  <c r="I30" i="19" s="1"/>
  <c r="I31" i="19" a="1"/>
  <c r="I31" i="19" s="1"/>
  <c r="I32" i="19" a="1"/>
  <c r="I32" i="19" s="1"/>
  <c r="I33" i="19" a="1"/>
  <c r="I33" i="19" s="1"/>
  <c r="I34" i="19" a="1"/>
  <c r="I34" i="19" s="1"/>
  <c r="I35" i="19" a="1"/>
  <c r="I35" i="19" s="1"/>
  <c r="I36" i="19" a="1"/>
  <c r="I36" i="19" s="1"/>
  <c r="I37" i="19" a="1"/>
  <c r="I37" i="19" s="1"/>
  <c r="I38" i="19" a="1"/>
  <c r="I38" i="19" s="1"/>
  <c r="I39" i="19" a="1"/>
  <c r="I39" i="19" s="1"/>
  <c r="I40" i="19" a="1"/>
  <c r="I40" i="19" s="1"/>
  <c r="I41" i="19" a="1"/>
  <c r="I41" i="19" s="1"/>
  <c r="I42" i="19" a="1"/>
  <c r="I42" i="19" s="1"/>
  <c r="I43" i="19" a="1"/>
  <c r="I43" i="19" s="1"/>
  <c r="I44" i="19" a="1"/>
  <c r="I44" i="19" s="1"/>
  <c r="I45" i="19" a="1"/>
  <c r="I45" i="19" s="1"/>
  <c r="I46" i="19" a="1"/>
  <c r="I46" i="19" s="1"/>
  <c r="I47" i="19" a="1"/>
  <c r="I47" i="19" s="1"/>
  <c r="I48" i="19" a="1"/>
  <c r="I48" i="19" s="1"/>
  <c r="I49" i="19" a="1"/>
  <c r="I49" i="19" s="1"/>
  <c r="I50" i="19" a="1"/>
  <c r="I50" i="19" s="1"/>
  <c r="I51" i="19" a="1"/>
  <c r="I51" i="19" s="1"/>
  <c r="I52" i="19" a="1"/>
  <c r="I52" i="19" s="1"/>
  <c r="I53" i="19" a="1"/>
  <c r="I53" i="19" s="1"/>
  <c r="I54" i="19" a="1"/>
  <c r="I54" i="19" s="1"/>
  <c r="I55" i="19" a="1"/>
  <c r="I55" i="19" s="1"/>
  <c r="I56" i="19" a="1"/>
  <c r="I56" i="19" s="1"/>
  <c r="I57" i="19" a="1"/>
  <c r="I57" i="19" s="1"/>
  <c r="I58" i="19" a="1"/>
  <c r="I58" i="19" s="1"/>
  <c r="I59" i="19" a="1"/>
  <c r="I59" i="19" s="1"/>
  <c r="I60" i="19" a="1"/>
  <c r="I60" i="19" s="1"/>
  <c r="I61" i="19" a="1"/>
  <c r="I61" i="19" s="1"/>
  <c r="I62" i="19" a="1"/>
  <c r="I62" i="19" s="1"/>
  <c r="I63" i="19" a="1"/>
  <c r="I63" i="19" s="1"/>
  <c r="I64" i="19" a="1"/>
  <c r="I64" i="19" s="1"/>
  <c r="I65" i="19" a="1"/>
  <c r="I65" i="19" s="1"/>
  <c r="I66" i="19" a="1"/>
  <c r="I66" i="19" s="1"/>
  <c r="I67" i="19" a="1"/>
  <c r="I67" i="19" s="1"/>
  <c r="I68" i="19" a="1"/>
  <c r="I68" i="19" s="1"/>
  <c r="I69" i="19" a="1"/>
  <c r="I69" i="19" s="1"/>
  <c r="I70" i="19" a="1"/>
  <c r="I70" i="19" s="1"/>
  <c r="I71" i="19" a="1"/>
  <c r="I71" i="19" s="1"/>
  <c r="I72" i="19" a="1"/>
  <c r="I72" i="19" s="1"/>
  <c r="I73" i="19" a="1"/>
  <c r="I73" i="19" s="1"/>
  <c r="I74" i="19" a="1"/>
  <c r="I74" i="19" s="1"/>
  <c r="I75" i="19" a="1"/>
  <c r="I75" i="19" s="1"/>
  <c r="I76" i="19" a="1"/>
  <c r="I76" i="19" s="1"/>
  <c r="I77" i="19" a="1"/>
  <c r="I77" i="19" s="1"/>
  <c r="I78" i="19" a="1"/>
  <c r="I78" i="19" s="1"/>
  <c r="I79" i="19" a="1"/>
  <c r="I79" i="19" s="1"/>
  <c r="I80" i="19" a="1"/>
  <c r="I80" i="19" s="1"/>
  <c r="I81" i="19" a="1"/>
  <c r="I81" i="19" s="1"/>
  <c r="I82" i="19" a="1"/>
  <c r="I82" i="19" s="1"/>
  <c r="I83" i="19" a="1"/>
  <c r="I83" i="19" s="1"/>
  <c r="I84" i="19" a="1"/>
  <c r="I84" i="19" s="1"/>
  <c r="I85" i="19" a="1"/>
  <c r="I85" i="19" s="1"/>
  <c r="I86" i="19" a="1"/>
  <c r="I86" i="19" s="1"/>
  <c r="I87" i="19" a="1"/>
  <c r="I87" i="19" s="1"/>
  <c r="I88" i="19" a="1"/>
  <c r="I88" i="19" s="1"/>
  <c r="I89" i="19" a="1"/>
  <c r="I89" i="19" s="1"/>
  <c r="I90" i="19" a="1"/>
  <c r="I90" i="19" s="1"/>
  <c r="I91" i="19" a="1"/>
  <c r="I91" i="19" s="1"/>
  <c r="I92" i="19" a="1"/>
  <c r="I92" i="19" s="1"/>
  <c r="I93" i="19" a="1"/>
  <c r="I93" i="19" s="1"/>
  <c r="I94" i="19" a="1"/>
  <c r="I94" i="19" s="1"/>
  <c r="I95" i="19" a="1"/>
  <c r="I95" i="19" s="1"/>
  <c r="I96" i="19" a="1"/>
  <c r="I96" i="19" s="1"/>
  <c r="I97" i="19" a="1"/>
  <c r="I97" i="19" s="1"/>
  <c r="I98" i="19" a="1"/>
  <c r="I98" i="19" s="1"/>
  <c r="I99" i="19" a="1"/>
  <c r="I99" i="19" s="1"/>
  <c r="I100" i="19" a="1"/>
  <c r="I100" i="19" s="1"/>
  <c r="M2" i="15" l="1"/>
  <c r="M3" i="15"/>
  <c r="G28" i="19"/>
  <c r="G25" i="19"/>
  <c r="G23" i="19"/>
  <c r="G24" i="19"/>
  <c r="G26" i="19"/>
  <c r="G27" i="19"/>
  <c r="G2" i="19"/>
  <c r="G3" i="19"/>
  <c r="G4" i="19"/>
  <c r="G5" i="19"/>
  <c r="G6" i="19"/>
  <c r="G29" i="19"/>
  <c r="G30" i="19"/>
  <c r="G12" i="19"/>
  <c r="G15" i="19"/>
  <c r="G17" i="19"/>
  <c r="G35" i="19"/>
  <c r="G77" i="19"/>
  <c r="G78" i="19"/>
  <c r="G79" i="19"/>
  <c r="G80" i="19"/>
  <c r="G82" i="19"/>
  <c r="G83" i="19"/>
  <c r="G96" i="19"/>
  <c r="G11" i="19"/>
  <c r="G99" i="19"/>
  <c r="G100" i="19"/>
  <c r="G42" i="19"/>
  <c r="G57" i="19"/>
  <c r="G90" i="19"/>
  <c r="G86" i="19"/>
  <c r="G75" i="19"/>
  <c r="G81" i="19"/>
  <c r="G74" i="19"/>
  <c r="G39" i="19"/>
  <c r="G16" i="19"/>
  <c r="G92" i="19"/>
  <c r="G85" i="19"/>
  <c r="G13" i="19"/>
  <c r="G40" i="19"/>
  <c r="G51" i="19"/>
  <c r="G41" i="19"/>
  <c r="G43" i="19"/>
  <c r="G38" i="19"/>
  <c r="G37" i="19"/>
  <c r="G8" i="19"/>
  <c r="G36" i="19"/>
  <c r="G72" i="19"/>
  <c r="G73" i="19"/>
  <c r="G56" i="19"/>
  <c r="G95" i="19"/>
  <c r="G55" i="19"/>
  <c r="G54" i="19"/>
  <c r="G44" i="19"/>
  <c r="G45" i="19"/>
  <c r="G46" i="19"/>
  <c r="G47" i="19"/>
  <c r="G48" i="19"/>
  <c r="G50" i="19"/>
  <c r="G49" i="19"/>
  <c r="G7" i="19"/>
  <c r="G9" i="19"/>
  <c r="G10" i="19"/>
  <c r="G14" i="19"/>
  <c r="G18" i="19"/>
  <c r="G19" i="19"/>
  <c r="G20" i="19"/>
  <c r="G21" i="19"/>
  <c r="G22" i="19"/>
  <c r="G31" i="19"/>
  <c r="G32" i="19"/>
  <c r="G33" i="19"/>
  <c r="G34" i="19"/>
  <c r="G52" i="19"/>
  <c r="G53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6" i="19"/>
  <c r="G84" i="19"/>
  <c r="G87" i="19"/>
  <c r="G88" i="19"/>
  <c r="G89" i="19"/>
  <c r="G93" i="19"/>
  <c r="G94" i="19"/>
  <c r="G97" i="19"/>
  <c r="G98" i="19"/>
  <c r="F28" i="19"/>
  <c r="F25" i="19"/>
  <c r="F23" i="19"/>
  <c r="F24" i="19"/>
  <c r="F26" i="19"/>
  <c r="F27" i="19"/>
  <c r="F2" i="19"/>
  <c r="F3" i="19"/>
  <c r="F4" i="19"/>
  <c r="F5" i="19"/>
  <c r="F6" i="19"/>
  <c r="F29" i="19"/>
  <c r="F30" i="19"/>
  <c r="F12" i="19"/>
  <c r="F15" i="19"/>
  <c r="F17" i="19"/>
  <c r="F35" i="19"/>
  <c r="F77" i="19"/>
  <c r="F78" i="19"/>
  <c r="F79" i="19"/>
  <c r="F80" i="19"/>
  <c r="F82" i="19"/>
  <c r="F83" i="19"/>
  <c r="F96" i="19"/>
  <c r="F11" i="19"/>
  <c r="F99" i="19"/>
  <c r="F100" i="19"/>
  <c r="F42" i="19"/>
  <c r="F57" i="19"/>
  <c r="F90" i="19"/>
  <c r="F86" i="19"/>
  <c r="F75" i="19"/>
  <c r="F81" i="19"/>
  <c r="F74" i="19"/>
  <c r="F39" i="19"/>
  <c r="F16" i="19"/>
  <c r="F92" i="19"/>
  <c r="F85" i="19"/>
  <c r="F13" i="19"/>
  <c r="F40" i="19"/>
  <c r="F51" i="19"/>
  <c r="F41" i="19"/>
  <c r="F43" i="19"/>
  <c r="F38" i="19"/>
  <c r="F37" i="19"/>
  <c r="F8" i="19"/>
  <c r="F36" i="19"/>
  <c r="F72" i="19"/>
  <c r="F73" i="19"/>
  <c r="F56" i="19"/>
  <c r="F95" i="19"/>
  <c r="F55" i="19"/>
  <c r="F54" i="19"/>
  <c r="F44" i="19"/>
  <c r="F45" i="19"/>
  <c r="F46" i="19"/>
  <c r="F47" i="19"/>
  <c r="F48" i="19"/>
  <c r="F50" i="19"/>
  <c r="F49" i="19"/>
  <c r="F7" i="19"/>
  <c r="F9" i="19"/>
  <c r="F10" i="19"/>
  <c r="F14" i="19"/>
  <c r="F18" i="19"/>
  <c r="F19" i="19"/>
  <c r="F20" i="19"/>
  <c r="F21" i="19"/>
  <c r="F22" i="19"/>
  <c r="F31" i="19"/>
  <c r="F32" i="19"/>
  <c r="F33" i="19"/>
  <c r="F34" i="19"/>
  <c r="F52" i="19"/>
  <c r="F53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6" i="19"/>
  <c r="F84" i="19"/>
  <c r="F87" i="19"/>
  <c r="F88" i="19"/>
  <c r="F89" i="19"/>
  <c r="F93" i="19"/>
  <c r="F94" i="19"/>
  <c r="F97" i="19"/>
  <c r="F98" i="19"/>
  <c r="L3" i="15" l="1"/>
  <c r="L2" i="15"/>
  <c r="E2" i="14"/>
  <c r="B2" i="14"/>
  <c r="B2" i="17"/>
  <c r="B2" i="16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E2" i="17"/>
  <c r="E2" i="16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Z2" i="19" l="1"/>
  <c r="K4" i="15" l="1"/>
  <c r="Z25" i="19"/>
  <c r="Z26" i="19"/>
  <c r="Z23" i="19"/>
  <c r="Z27" i="19"/>
  <c r="Z29" i="19"/>
  <c r="Z30" i="19"/>
  <c r="Z15" i="19"/>
  <c r="Z80" i="19"/>
  <c r="Z82" i="19"/>
  <c r="Z83" i="19"/>
  <c r="Z42" i="19"/>
  <c r="Z90" i="19"/>
  <c r="Z86" i="19"/>
  <c r="Z16" i="19"/>
  <c r="Z13" i="19"/>
  <c r="Z43" i="19"/>
  <c r="Z38" i="19"/>
  <c r="Z36" i="19"/>
  <c r="Z55" i="19"/>
  <c r="Z45" i="19"/>
  <c r="Z49" i="19"/>
  <c r="Z10" i="19"/>
  <c r="Z32" i="19"/>
  <c r="Z58" i="19"/>
  <c r="Z61" i="19"/>
  <c r="Z66" i="19"/>
  <c r="Z69" i="19"/>
  <c r="Z87" i="19"/>
  <c r="Z91" i="19"/>
  <c r="Z24" i="19"/>
  <c r="Z4" i="19"/>
  <c r="Z5" i="19"/>
  <c r="Z6" i="19"/>
  <c r="Z12" i="19"/>
  <c r="Z35" i="19"/>
  <c r="Z77" i="19"/>
  <c r="Z78" i="19"/>
  <c r="Z79" i="19"/>
  <c r="Z11" i="19"/>
  <c r="Z99" i="19"/>
  <c r="Z100" i="19"/>
  <c r="Z57" i="19"/>
  <c r="Z81" i="19"/>
  <c r="Z74" i="19"/>
  <c r="Z39" i="19"/>
  <c r="Z92" i="19"/>
  <c r="Z85" i="19"/>
  <c r="Z51" i="19"/>
  <c r="Z41" i="19"/>
  <c r="Z37" i="19"/>
  <c r="Z8" i="19"/>
  <c r="Z73" i="19"/>
  <c r="Z56" i="19"/>
  <c r="Z95" i="19"/>
  <c r="Z54" i="19"/>
  <c r="Z44" i="19"/>
  <c r="Z47" i="19"/>
  <c r="Z48" i="19"/>
  <c r="Z50" i="19"/>
  <c r="Z7" i="19"/>
  <c r="Z9" i="19"/>
  <c r="Z18" i="19"/>
  <c r="Z19" i="19"/>
  <c r="Z20" i="19"/>
  <c r="Z21" i="19"/>
  <c r="Z22" i="19"/>
  <c r="Z31" i="19"/>
  <c r="Z34" i="19"/>
  <c r="Z52" i="19"/>
  <c r="Z53" i="19"/>
  <c r="Z59" i="19"/>
  <c r="Z60" i="19"/>
  <c r="Z63" i="19"/>
  <c r="Z64" i="19"/>
  <c r="Z65" i="19"/>
  <c r="Z67" i="19"/>
  <c r="Z68" i="19"/>
  <c r="Z71" i="19"/>
  <c r="Z76" i="19"/>
  <c r="Z84" i="19"/>
  <c r="Z88" i="19"/>
  <c r="Z89" i="19"/>
  <c r="Z94" i="19"/>
  <c r="Z97" i="19"/>
  <c r="Z98" i="19"/>
  <c r="Z28" i="19" l="1"/>
  <c r="Z93" i="19"/>
  <c r="Z70" i="19"/>
  <c r="Z62" i="19"/>
  <c r="Z33" i="19"/>
  <c r="Z14" i="19"/>
  <c r="Z46" i="19"/>
  <c r="Z72" i="19"/>
  <c r="Z40" i="19"/>
  <c r="Z75" i="19"/>
  <c r="Z96" i="19"/>
  <c r="Z17" i="19"/>
  <c r="Z3" i="19"/>
  <c r="G2" i="17" l="1"/>
  <c r="H2" i="17"/>
  <c r="G2" i="16"/>
  <c r="F2" i="16"/>
  <c r="F2" i="17" l="1"/>
  <c r="H2" i="16"/>
  <c r="F2" i="11"/>
  <c r="G2" i="14" l="1"/>
  <c r="F2" i="14"/>
  <c r="H2" i="14" l="1"/>
  <c r="F33" i="3"/>
  <c r="G33" i="3"/>
  <c r="F32" i="3"/>
  <c r="G32" i="3"/>
  <c r="H33" i="3" l="1"/>
  <c r="H32" i="3"/>
  <c r="F17" i="3"/>
  <c r="G17" i="3"/>
  <c r="H17" i="3" l="1"/>
  <c r="F15" i="8"/>
  <c r="G15" i="8"/>
  <c r="F21" i="3"/>
  <c r="G21" i="3"/>
  <c r="F23" i="3"/>
  <c r="G23" i="3"/>
  <c r="H15" i="8" l="1"/>
  <c r="H21" i="3"/>
  <c r="H23" i="3"/>
  <c r="G14" i="8" l="1"/>
  <c r="G13" i="8"/>
  <c r="G12" i="8"/>
  <c r="G11" i="8"/>
  <c r="G10" i="8"/>
  <c r="G9" i="8"/>
  <c r="G8" i="8"/>
  <c r="G7" i="8"/>
  <c r="G6" i="8"/>
  <c r="G5" i="8"/>
  <c r="G4" i="8"/>
  <c r="G3" i="8"/>
  <c r="G2" i="8"/>
  <c r="H7" i="8" l="1"/>
  <c r="H13" i="8"/>
  <c r="H14" i="8"/>
  <c r="H12" i="8"/>
  <c r="H11" i="8"/>
  <c r="H10" i="8"/>
  <c r="H9" i="8"/>
  <c r="H8" i="8"/>
  <c r="H6" i="8"/>
  <c r="H5" i="8"/>
  <c r="H4" i="8"/>
  <c r="H3" i="8"/>
  <c r="H2" i="8"/>
  <c r="F2" i="8"/>
  <c r="F4" i="8"/>
  <c r="F6" i="8"/>
  <c r="F8" i="8"/>
  <c r="F10" i="8"/>
  <c r="F12" i="8"/>
  <c r="F14" i="8"/>
  <c r="F3" i="8"/>
  <c r="F5" i="8"/>
  <c r="F7" i="8"/>
  <c r="F9" i="8"/>
  <c r="F11" i="8"/>
  <c r="F13" i="8"/>
  <c r="G24" i="3"/>
  <c r="G15" i="3"/>
  <c r="G12" i="3"/>
  <c r="G5" i="3"/>
  <c r="G7" i="3"/>
  <c r="G8" i="3"/>
  <c r="G9" i="3"/>
  <c r="G38" i="3"/>
  <c r="G29" i="3"/>
  <c r="G6" i="3"/>
  <c r="G13" i="3"/>
  <c r="G14" i="3"/>
  <c r="G19" i="3"/>
  <c r="G11" i="3"/>
  <c r="G27" i="3"/>
  <c r="G40" i="3"/>
  <c r="G39" i="3"/>
  <c r="G28" i="3"/>
  <c r="G22" i="3"/>
  <c r="G31" i="3"/>
  <c r="G35" i="3"/>
  <c r="G26" i="3"/>
  <c r="G36" i="3"/>
  <c r="G34" i="3"/>
  <c r="G30" i="3"/>
  <c r="G2" i="3"/>
  <c r="G18" i="3"/>
  <c r="G4" i="3"/>
  <c r="G20" i="3"/>
  <c r="G3" i="3"/>
  <c r="G10" i="3"/>
  <c r="G37" i="3"/>
  <c r="G25" i="3"/>
  <c r="F16" i="3" l="1"/>
  <c r="H40" i="3" l="1"/>
  <c r="F40" i="3"/>
  <c r="H38" i="3"/>
  <c r="F38" i="3"/>
  <c r="H29" i="3"/>
  <c r="F29" i="3"/>
  <c r="H10" i="3"/>
  <c r="F10" i="3"/>
  <c r="H26" i="3"/>
  <c r="F26" i="3"/>
  <c r="H27" i="3"/>
  <c r="F27" i="3"/>
  <c r="H9" i="3"/>
  <c r="F9" i="3"/>
  <c r="H34" i="3"/>
  <c r="F34" i="3"/>
  <c r="H36" i="3"/>
  <c r="F36" i="3"/>
  <c r="H3" i="3"/>
  <c r="F3" i="3"/>
  <c r="H20" i="3"/>
  <c r="F20" i="3"/>
  <c r="H35" i="3"/>
  <c r="F35" i="3"/>
  <c r="H11" i="3"/>
  <c r="F11" i="3"/>
  <c r="H8" i="3"/>
  <c r="F8" i="3"/>
  <c r="H37" i="3"/>
  <c r="F37" i="3"/>
  <c r="H4" i="3"/>
  <c r="F4" i="3"/>
  <c r="H31" i="3"/>
  <c r="F31" i="3"/>
  <c r="H19" i="3"/>
  <c r="F19" i="3"/>
  <c r="H7" i="3"/>
  <c r="F7" i="3"/>
  <c r="H18" i="3"/>
  <c r="F18" i="3"/>
  <c r="H22" i="3"/>
  <c r="F22" i="3"/>
  <c r="H14" i="3"/>
  <c r="F14" i="3"/>
  <c r="H5" i="3"/>
  <c r="F5" i="3"/>
  <c r="H24" i="3"/>
  <c r="F24" i="3"/>
  <c r="H2" i="3"/>
  <c r="F2" i="3"/>
  <c r="H28" i="3"/>
  <c r="F28" i="3"/>
  <c r="H13" i="3"/>
  <c r="F13" i="3"/>
  <c r="H12" i="3"/>
  <c r="F12" i="3"/>
  <c r="H25" i="3"/>
  <c r="F25" i="3"/>
  <c r="H30" i="3"/>
  <c r="F30" i="3"/>
  <c r="H39" i="3"/>
  <c r="F39" i="3"/>
  <c r="H6" i="3"/>
  <c r="F6" i="3"/>
  <c r="H15" i="3"/>
  <c r="F15" i="3"/>
  <c r="G16" i="3"/>
  <c r="H16" i="3" s="1"/>
</calcChain>
</file>

<file path=xl/sharedStrings.xml><?xml version="1.0" encoding="utf-8"?>
<sst xmlns="http://schemas.openxmlformats.org/spreadsheetml/2006/main" count="1733" uniqueCount="566">
  <si>
    <t>Man. Number</t>
  </si>
  <si>
    <t>Art. Number</t>
  </si>
  <si>
    <t>Description</t>
  </si>
  <si>
    <t>In stock</t>
  </si>
  <si>
    <t>Retailer</t>
  </si>
  <si>
    <t>Farnell</t>
  </si>
  <si>
    <t>Manufacturer</t>
  </si>
  <si>
    <t>3M</t>
  </si>
  <si>
    <t>Unit price</t>
  </si>
  <si>
    <t xml:space="preserve">SN74LV00AD </t>
  </si>
  <si>
    <t>Porte Logique NON-ET, 4 Portes, 2 entrées, 12 mA, 2V à 5.5V</t>
  </si>
  <si>
    <t>Condensateur électrolytique, 4.7 µF, 35 V, Série MCGPR, ± 20%, À sorties radiales, 5 mm</t>
  </si>
  <si>
    <t>MCGPR35V475M5X11</t>
  </si>
  <si>
    <t>Condensateur électrolytique, 10 µF, 35 V, Série MCGPR, ± 20%, À sorties radiales, 5 mm</t>
  </si>
  <si>
    <t>MCGPR35V106M5X11</t>
  </si>
  <si>
    <t>Fusible à cartouche, Action rapide, 630 mA, 250 V</t>
  </si>
  <si>
    <t>MC000886</t>
  </si>
  <si>
    <t>Amplificateur opérationnel, Simple, 1 amplificateur, 1 MHz, 0.6 V/µs, 1.8V à 6V</t>
  </si>
  <si>
    <t>MCP6001RT-I/OT</t>
  </si>
  <si>
    <t>LED haute luminosité, Little Star Series, Blanc froid, 120 °, 100 lm, 350 mA</t>
  </si>
  <si>
    <t>VLMW712U2U3XV-GS08</t>
  </si>
  <si>
    <t>Chargeur de batterie pour 1 cellule Li-Ion, batterie Li-Pol, entrée 6V, charge 4.2V/500mA</t>
  </si>
  <si>
    <t>MCP73832T-2ACI/OT</t>
  </si>
  <si>
    <t>Superviseur, Reset drain ouvert, actif à l'état bas, 1V-5.5Vin</t>
  </si>
  <si>
    <t>MCP121T-315E/TT</t>
  </si>
  <si>
    <t>Régulateur LDO, Fixe, Entrée 1.7 V à 5,5 V, Sortie 3.3 V/300 mA, Chute de 150 mV</t>
  </si>
  <si>
    <t xml:space="preserve"> ON SEMICONDUCTOR</t>
  </si>
  <si>
    <t>NCP114ASN330T1G</t>
  </si>
  <si>
    <t>Cavalier (barre bus), Shunt, Shunt, Embases au pas de 0.100", 2 Voies, 2.54 mm</t>
  </si>
  <si>
    <t>Porte fusible, Design ouvert, 500V, 10A, 5 x 20mm, traversant, noir</t>
  </si>
  <si>
    <t>Accessoire de fusible, Fusible cartouche, 5 x 20mm, OGN et OGN-SMD, Noir, Poignée</t>
  </si>
  <si>
    <t>0853.1201</t>
  </si>
  <si>
    <t>LED, Rouge, Traversant, 3mm, 20 mA, 1.8 V, 643 nm</t>
  </si>
  <si>
    <t>MULTICOMP</t>
  </si>
  <si>
    <t>703-0090</t>
  </si>
  <si>
    <t>Condensateur céramique multicouche CMS, 1206 [3216 Metric], 0.1 µF, 25 V, ± 10%, X7R</t>
  </si>
  <si>
    <t>VJ1206Y104KXXCW1BC</t>
  </si>
  <si>
    <t>Potentiomètres variables, 10 ohm, 15 Tour(s), Traversant</t>
  </si>
  <si>
    <t>3006P-1-100LF</t>
  </si>
  <si>
    <t>Connecteur carte-à-carte, 2.54 mm, 36 Contact(s), Embase</t>
  </si>
  <si>
    <t xml:space="preserve">929974-01-36-RK </t>
  </si>
  <si>
    <t>Transistor MOSFET, Canal P, -7.1 A, -12 V, 28.5 mohm, -4.5 V, -400 mV</t>
  </si>
  <si>
    <t>VISHAY</t>
  </si>
  <si>
    <t>SI2333CDS-T1-GE3</t>
  </si>
  <si>
    <t>Transistor MOSFET, Canal N, 2.2 A, 30 V, 65 mohm, 4.5 V, 700 mV</t>
  </si>
  <si>
    <t>ON SEMICONDUCTOR</t>
  </si>
  <si>
    <t>FDN337N</t>
  </si>
  <si>
    <t>Potentiomètres variables, 100 kohm, 23 Tour(s), Traversant</t>
  </si>
  <si>
    <t xml:space="preserve">VISHAY </t>
  </si>
  <si>
    <t>T93XA104KT20</t>
  </si>
  <si>
    <t>Résistance à puce CMS, Couche épaisse, 150 kohm</t>
  </si>
  <si>
    <t xml:space="preserve">MULTICOMP </t>
  </si>
  <si>
    <t>MCWR08X1503FTL</t>
  </si>
  <si>
    <t>Résistance à puce CMS, Céramique, 4.7 kohm</t>
  </si>
  <si>
    <t>MCMR08X4701FTL</t>
  </si>
  <si>
    <t>Résistance à puce CMS, Céramique, 22 ohm</t>
  </si>
  <si>
    <t>MCMR08X22R0FTL</t>
  </si>
  <si>
    <t>Résistance à puce CMS, Couche épaisse, 110 kohm</t>
  </si>
  <si>
    <t xml:space="preserve">PANASONIC ELECTRONIC COMPONENTS  </t>
  </si>
  <si>
    <t>ERJ6RED1103V</t>
  </si>
  <si>
    <t>Résistance à puce CMS, Couche épaisse, 1 Mohm</t>
  </si>
  <si>
    <t>MCHP05W4F1004T5E</t>
  </si>
  <si>
    <t>Résistance à puce CMS, 100 kohm</t>
  </si>
  <si>
    <t>MCWF08P1003FTL</t>
  </si>
  <si>
    <t>377-2428-ND</t>
  </si>
  <si>
    <t>-</t>
  </si>
  <si>
    <t>BOX PLASTIC GRY/CLR 4.9"LX4.92"W</t>
  </si>
  <si>
    <t>PB1175CT-ND</t>
  </si>
  <si>
    <t>RELAY TELECOM DPDT 5A 2.4V</t>
  </si>
  <si>
    <t>TE Connectivity Potter &amp; Brumfield Relays</t>
  </si>
  <si>
    <t>NSL-19M51-ND</t>
  </si>
  <si>
    <t>PHOTOCELL</t>
  </si>
  <si>
    <t>Luna Optoelectronics</t>
  </si>
  <si>
    <t>NSL-19M51</t>
  </si>
  <si>
    <t>668-1204-ND</t>
  </si>
  <si>
    <t>AUDIO PIEZO INDICATOR 2-5V TH</t>
  </si>
  <si>
    <t>PUI Audio, Inc.</t>
  </si>
  <si>
    <t>AI-3035-TWT-3V-R</t>
  </si>
  <si>
    <t>PIC16LF1827-I/P-ND</t>
  </si>
  <si>
    <t>IC MCU 8BIT 7KB FLASH 18DIP</t>
  </si>
  <si>
    <t>Microchip Technology</t>
  </si>
  <si>
    <t>PIC16LF1827-I/P</t>
  </si>
  <si>
    <t>Digikey</t>
  </si>
  <si>
    <t>Panneau solaire</t>
  </si>
  <si>
    <t>Batterie</t>
  </si>
  <si>
    <t>Communication RF</t>
  </si>
  <si>
    <t>DC Step-up</t>
  </si>
  <si>
    <t>Porte-batterie</t>
  </si>
  <si>
    <t>Banggood</t>
  </si>
  <si>
    <t>1822046</t>
  </si>
  <si>
    <t>827914-1</t>
  </si>
  <si>
    <t>TE CONNECTIVITY</t>
  </si>
  <si>
    <t>BOURNS</t>
  </si>
  <si>
    <t>SCHURTER</t>
  </si>
  <si>
    <t>MICROCHIP</t>
  </si>
  <si>
    <t>Bud Industries</t>
  </si>
  <si>
    <t>Cavalier (barre bus), Shunt, Shunt, Embases au pas de 0.100"</t>
  </si>
  <si>
    <t xml:space="preserve">1N4148TR </t>
  </si>
  <si>
    <t>Diode signaux faibles</t>
  </si>
  <si>
    <t>8540861</t>
  </si>
  <si>
    <t>MCP6004-I/ST</t>
  </si>
  <si>
    <t>MCP6002-I/MS</t>
  </si>
  <si>
    <t>Amplificateur opérationnel, Double</t>
  </si>
  <si>
    <t>8540853</t>
  </si>
  <si>
    <t>Amplificateur opérationnel, Quadruple</t>
  </si>
  <si>
    <t>MCP6004-I/P.</t>
  </si>
  <si>
    <t>1605571</t>
  </si>
  <si>
    <t>22-28-4360</t>
  </si>
  <si>
    <t>MOLEX</t>
  </si>
  <si>
    <t>1654535</t>
  </si>
  <si>
    <t>Connecteur carte-à-carte, Angle Droit, 2.54 mm, 40 Contact(s)</t>
  </si>
  <si>
    <t>2356192</t>
  </si>
  <si>
    <t>WURTH ELEKTRONIK</t>
  </si>
  <si>
    <t>2213S-40G</t>
  </si>
  <si>
    <t>2725179</t>
  </si>
  <si>
    <t>Connecteur carte-à-carte, Vertical, 2.54 mm, 36 Contact(s)</t>
  </si>
  <si>
    <t>Connecteur carte-à-carte, 2.54 mm, 40 Contact(s)</t>
  </si>
  <si>
    <t>0031.8201</t>
  </si>
  <si>
    <t>1-881545-1</t>
  </si>
  <si>
    <t>Supports CI, 20 Contact(s), Fiche femelle DIP, 2.54 mm</t>
  </si>
  <si>
    <t>SPC15501</t>
  </si>
  <si>
    <t>2678574</t>
  </si>
  <si>
    <t>Supports CI, 18 Contact(s), Fiche femelle DIP, 2.54 mm</t>
  </si>
  <si>
    <t>1-2199298-5</t>
  </si>
  <si>
    <t>2445623</t>
  </si>
  <si>
    <t>Réseau de transistors bipolaires, Darlington, NPN, 50 V, 350 mA</t>
  </si>
  <si>
    <t>ULN2004AN</t>
  </si>
  <si>
    <t>TEXAS INSTRUMENTS</t>
  </si>
  <si>
    <t>1103041</t>
  </si>
  <si>
    <t>ULN2003ADRG3</t>
  </si>
  <si>
    <t>2769437</t>
  </si>
  <si>
    <t>Réseau de transistors bipolaires, NPN, 50 V, 500 mA</t>
  </si>
  <si>
    <t>Supports CI, 16 Contact(s), Fiche femelle DIP, 2.54 mm</t>
  </si>
  <si>
    <t>4816-3004-CP</t>
  </si>
  <si>
    <t>2672298</t>
  </si>
  <si>
    <t>Porte Logique Inverseur, 1 entrée, 8 mA, 2V à 5.5V</t>
  </si>
  <si>
    <t>SN74AHC1G04QDCKRQ1</t>
  </si>
  <si>
    <t>2334901</t>
  </si>
  <si>
    <t>Quantity</t>
  </si>
  <si>
    <t>1462039-9</t>
  </si>
  <si>
    <t>732-4998-1-ND</t>
  </si>
  <si>
    <t>150141M173100</t>
  </si>
  <si>
    <t>LED RGB CLEAR 3528 SMD</t>
  </si>
  <si>
    <t>VEML6040A3OGCT-ND</t>
  </si>
  <si>
    <t>VEML6040A3OG</t>
  </si>
  <si>
    <t>RGBW COLOR SENSOR I2C INTERFACE</t>
  </si>
  <si>
    <t>PIC16LF1827-I/SS-ND</t>
  </si>
  <si>
    <t>PIC16LF1827-I/SS</t>
  </si>
  <si>
    <t>IC MCU 8BIT 7KB FLASH 20SSOP</t>
  </si>
  <si>
    <t>PIC16LF18346-E/SO-ND</t>
  </si>
  <si>
    <t>PIC16LF18346-E/SO</t>
  </si>
  <si>
    <t>IC MCU 8BIT 28KB FLASH 20SOIC</t>
  </si>
  <si>
    <t>PIC16F18346-I/P-ND</t>
  </si>
  <si>
    <t>PIC16F18346-I/P</t>
  </si>
  <si>
    <t>IC MCU 8BIT 28KB FLASH 20DIP</t>
  </si>
  <si>
    <t>609-4052-1-ND</t>
  </si>
  <si>
    <t>10104110-0001LF</t>
  </si>
  <si>
    <t>CONN RCPT STD MICRO USB TYPE B</t>
  </si>
  <si>
    <t>PTS-25310-C</t>
  </si>
  <si>
    <t>9843680</t>
  </si>
  <si>
    <t>Wurth Electronics Inc.</t>
  </si>
  <si>
    <t>Vishay Semiconductor Opto Division</t>
  </si>
  <si>
    <t>Amphenol FCI</t>
  </si>
  <si>
    <t>9451234</t>
  </si>
  <si>
    <t>1822174</t>
  </si>
  <si>
    <t>Available</t>
  </si>
  <si>
    <t>Multiplier</t>
  </si>
  <si>
    <t>Total quantity</t>
  </si>
  <si>
    <t>3006P-1-100LF-ND</t>
  </si>
  <si>
    <t>Bourns Inc.</t>
  </si>
  <si>
    <t>Date</t>
  </si>
  <si>
    <t>Creation</t>
  </si>
  <si>
    <t>INFO</t>
  </si>
  <si>
    <t>Stock Before</t>
  </si>
  <si>
    <t>Stock After</t>
  </si>
  <si>
    <t>Total available</t>
  </si>
  <si>
    <t>Modification</t>
  </si>
  <si>
    <t>MAN</t>
  </si>
  <si>
    <t>F10794-ND</t>
  </si>
  <si>
    <t>08743.15MXEP</t>
  </si>
  <si>
    <t>FUSE CERAMIC 3.15A 250VAC AXIAL</t>
  </si>
  <si>
    <t>XQDAWT-00-0000-00000BF50CT-ND</t>
  </si>
  <si>
    <t>XQDAWT-00-0000-00000BF50</t>
  </si>
  <si>
    <t>LED XLAMP COOL WHITE 6200K 0606</t>
  </si>
  <si>
    <t>XTEAWT-00-0000-000000KE1CT-ND</t>
  </si>
  <si>
    <t>XTEAWT-00-0000-000000KE1</t>
  </si>
  <si>
    <t>LED XLAMP XT-E 6500K WHITE SMD</t>
  </si>
  <si>
    <t>541-4131-1-ND</t>
  </si>
  <si>
    <t>CRCW08054K70FKEAC</t>
  </si>
  <si>
    <t>RES SMD 4.7K OHM 1% 1/8W 0805</t>
  </si>
  <si>
    <t>296-46314-1-ND</t>
  </si>
  <si>
    <t>LP38511MRX-ADJ/NOPB</t>
  </si>
  <si>
    <t>IC REG LIN POS ADJ 800MA 8SO</t>
  </si>
  <si>
    <t>1510-2262-1-ND</t>
  </si>
  <si>
    <t>SPHWHTL3DA0CF4QTW6</t>
  </si>
  <si>
    <t>LED WHITE CERAMIC LH351D</t>
  </si>
  <si>
    <t>SMD291-ND</t>
  </si>
  <si>
    <t>SMD291</t>
  </si>
  <si>
    <t>FLUX NO-CLEAN 10CC SYR SMD</t>
  </si>
  <si>
    <t>Commande Digikey</t>
  </si>
  <si>
    <t>1004068</t>
  </si>
  <si>
    <t>90990</t>
  </si>
  <si>
    <t>912951</t>
  </si>
  <si>
    <t>1181876</t>
  </si>
  <si>
    <t>965083</t>
  </si>
  <si>
    <t>Utilisation du fin de stock</t>
  </si>
  <si>
    <t>Réparation pasata maker philips</t>
  </si>
  <si>
    <t>Modification LampeSolaire_v1_1</t>
  </si>
  <si>
    <t>LampeSolaire_v1_2</t>
  </si>
  <si>
    <t>Index</t>
  </si>
  <si>
    <t>Name</t>
  </si>
  <si>
    <t>SheetName</t>
  </si>
  <si>
    <t>Tempo metter v1</t>
  </si>
  <si>
    <t>TempoMetter_v1</t>
  </si>
  <si>
    <t>IC MCU 8BIT 7KB FLASH 14SOIC</t>
  </si>
  <si>
    <t>PIC16LF18324-I/SL</t>
  </si>
  <si>
    <t>MMA8452QR1</t>
  </si>
  <si>
    <t>ACCELEROMETER 2-8G I2C 16QFN</t>
  </si>
  <si>
    <t>MMA8452QR1CT-ND</t>
  </si>
  <si>
    <t>NXP USA Inc.</t>
  </si>
  <si>
    <t>PIC16LF18324-I/SL-ND</t>
  </si>
  <si>
    <t>MIC5504-2.5YM5-TR</t>
  </si>
  <si>
    <t>IC REG LINEAR 2.5V 300MA SOT23-5</t>
  </si>
  <si>
    <t>576-4880-1-ND</t>
  </si>
  <si>
    <t>BU2032SM-JJ-GCT-ND</t>
  </si>
  <si>
    <t>BU2032SM-JJ-GTR</t>
  </si>
  <si>
    <t>MPD (Memory Protection Devices)</t>
  </si>
  <si>
    <t>BATTERY HOLDER COIN 20MM SMD</t>
  </si>
  <si>
    <t>732-4980-1-ND</t>
  </si>
  <si>
    <t>150060VS75000</t>
  </si>
  <si>
    <t>LED GREEN CLEAR 0603 SMD</t>
  </si>
  <si>
    <t>TLMS1000-GS08</t>
  </si>
  <si>
    <t>LED RED 0603 SMD</t>
  </si>
  <si>
    <t>679-3547-ND</t>
  </si>
  <si>
    <t>SLB12814</t>
  </si>
  <si>
    <t>APEM Inc.</t>
  </si>
  <si>
    <t>SWITCH SLIDE SPDT 300MA 125V</t>
  </si>
  <si>
    <t>1-1825059-3-ND</t>
  </si>
  <si>
    <t>1-1825059-3</t>
  </si>
  <si>
    <t>TE Connectivity ALCOSWITCH Switches</t>
  </si>
  <si>
    <t>SWITCH SLIDE DIP SPST 100MA 24V</t>
  </si>
  <si>
    <t>1276-3178-1-ND</t>
  </si>
  <si>
    <t>CL31B475KAHNNWE</t>
  </si>
  <si>
    <t>Samsung Electro-Mechanics</t>
  </si>
  <si>
    <t>CAP CER 4.7UF 25V X7R 1206</t>
  </si>
  <si>
    <t>P150CCT-ND</t>
  </si>
  <si>
    <t>ERJ-6ENF1500V</t>
  </si>
  <si>
    <t>Panasonic Electronic Components</t>
  </si>
  <si>
    <t>RES SMD 150 OHM 1% 1/8W 0805</t>
  </si>
  <si>
    <t>541-3979-1-ND</t>
  </si>
  <si>
    <t>CRCW0805100RFKEAC</t>
  </si>
  <si>
    <t>Vishay Dale</t>
  </si>
  <si>
    <t>RES SMD 100 OHM 1% 1/8W 0805</t>
  </si>
  <si>
    <t>EsseivaN</t>
  </si>
  <si>
    <t>PCB Lampe solaire v1</t>
  </si>
  <si>
    <t>PCB Lampe solaire v2</t>
  </si>
  <si>
    <t>PCB TempoMetter v1</t>
  </si>
  <si>
    <t>Commande JLCPCB</t>
  </si>
  <si>
    <t>Unknown</t>
  </si>
  <si>
    <t>Starting row</t>
  </si>
  <si>
    <t>Art. number</t>
  </si>
  <si>
    <t>A129415CT-ND</t>
  </si>
  <si>
    <t>RES 22 OHM 1W 5% AXIAL</t>
  </si>
  <si>
    <t>495-5633-1-ND</t>
  </si>
  <si>
    <t>FIXED IND 470UH 510MA 1.9 OHM TH</t>
  </si>
  <si>
    <t>495-5623-1-ND</t>
  </si>
  <si>
    <t>FIXED IND 470UH 280MA 2.5 OHM TH</t>
  </si>
  <si>
    <t>732-8886-1-ND</t>
  </si>
  <si>
    <t>CAP ALUM 4.7UF 20% 400V RADIAL</t>
  </si>
  <si>
    <t>495-1433-ND</t>
  </si>
  <si>
    <t>VARISTOR 430V 3.5KA DISC 10MM</t>
  </si>
  <si>
    <t>173-36-289</t>
  </si>
  <si>
    <t>LNK304PN</t>
  </si>
  <si>
    <t>Power Integrations</t>
  </si>
  <si>
    <t>Switching controller IC DIL-8</t>
  </si>
  <si>
    <t>Commande Digikey 57887296</t>
  </si>
  <si>
    <t>Commande Digikey 57887297</t>
  </si>
  <si>
    <t>Commande Digikey 57887298</t>
  </si>
  <si>
    <t>Commande Digikey 57887299</t>
  </si>
  <si>
    <t>Commande Digikey 57887300</t>
  </si>
  <si>
    <t>Commande Digikey 57887301</t>
  </si>
  <si>
    <t>Commande Digikey 57887302</t>
  </si>
  <si>
    <t>Commande Digikey 57887303</t>
  </si>
  <si>
    <t>Commande Digikey 57887304</t>
  </si>
  <si>
    <t>Commande Digikey 57887305</t>
  </si>
  <si>
    <t>Commande Digikey 57887306</t>
  </si>
  <si>
    <t>Commande Digikey 57887307</t>
  </si>
  <si>
    <t>MFU0805.63CT-ND</t>
  </si>
  <si>
    <t>Vishay Beyschlag</t>
  </si>
  <si>
    <t>FUSE BOARD MNT 630MA 32VDC 0805</t>
  </si>
  <si>
    <t>MFU1206FF00630P100</t>
  </si>
  <si>
    <t>FUSE BOARD MNT 630MA 63VDC 1206</t>
  </si>
  <si>
    <t>F1</t>
  </si>
  <si>
    <t>C3..6</t>
  </si>
  <si>
    <t>C1</t>
  </si>
  <si>
    <t>C2</t>
  </si>
  <si>
    <t>U6</t>
  </si>
  <si>
    <t>U1</t>
  </si>
  <si>
    <t>P1</t>
  </si>
  <si>
    <t>U2</t>
  </si>
  <si>
    <t>U3</t>
  </si>
  <si>
    <t>P2, P3</t>
  </si>
  <si>
    <t>R13, R14</t>
  </si>
  <si>
    <t>T1, T2</t>
  </si>
  <si>
    <t>T3..7</t>
  </si>
  <si>
    <t>R2</t>
  </si>
  <si>
    <t>R3, R9, R10</t>
  </si>
  <si>
    <t>R5..8</t>
  </si>
  <si>
    <t>R12</t>
  </si>
  <si>
    <t>R11</t>
  </si>
  <si>
    <t>R2, R4</t>
  </si>
  <si>
    <t>K1</t>
  </si>
  <si>
    <t>X4</t>
  </si>
  <si>
    <t>U5</t>
  </si>
  <si>
    <t>SC1</t>
  </si>
  <si>
    <t>V1</t>
  </si>
  <si>
    <t>U4</t>
  </si>
  <si>
    <t>R1</t>
  </si>
  <si>
    <t>Résistance SMD 1k OHM 0805</t>
  </si>
  <si>
    <t>Résistance SMD 3.3k OHM 0805</t>
  </si>
  <si>
    <t>E-R-3301</t>
  </si>
  <si>
    <t>E-R-1001</t>
  </si>
  <si>
    <t>E-PCB-000-000</t>
  </si>
  <si>
    <t>E-PCB-000-001</t>
  </si>
  <si>
    <t>E-PCB-001-000</t>
  </si>
  <si>
    <t>E-PCB-002-000</t>
  </si>
  <si>
    <t>E-PCB-000-002</t>
  </si>
  <si>
    <t>PCB Lampe solaire v4</t>
  </si>
  <si>
    <t>301-18-567</t>
  </si>
  <si>
    <t>VEL-EC60217</t>
  </si>
  <si>
    <t>VELCRO</t>
  </si>
  <si>
    <t>Crochet et boucle adhésifs noir 20 mmx5 m</t>
  </si>
  <si>
    <t>0</t>
  </si>
  <si>
    <t>Ajout article</t>
  </si>
  <si>
    <t>155-79-878</t>
  </si>
  <si>
    <t>LIYV 0,50 MM² RED</t>
  </si>
  <si>
    <t>Kabeltronik</t>
  </si>
  <si>
    <t>Toron 0.5 mm² Toron à fil en cuivre étamé Rouge 100 m</t>
  </si>
  <si>
    <t>133-18-751</t>
  </si>
  <si>
    <t>FP300</t>
  </si>
  <si>
    <t>Beha-Amprobe</t>
  </si>
  <si>
    <t>Fusible 315 mA 1 kV FF Paquet à 4 pièces</t>
  </si>
  <si>
    <t>418973 - 62</t>
  </si>
  <si>
    <t>431015</t>
  </si>
  <si>
    <t>ESKA</t>
  </si>
  <si>
    <t>Fusible CMS ESKA 431015 rapide -F- CMS 1206 630 mA 125 V</t>
  </si>
  <si>
    <t>1558118 - 62</t>
  </si>
  <si>
    <t>435-0011-03-SP</t>
  </si>
  <si>
    <t>FLIR</t>
  </si>
  <si>
    <t>Caméra thermique FLIR 435-0011-03-SP -20 à +400 °C 160 x 120 pixels 8.7 Hz</t>
  </si>
  <si>
    <t>Dgikey xlsx</t>
  </si>
  <si>
    <t>Place</t>
  </si>
  <si>
    <t>None</t>
  </si>
  <si>
    <t>Config :</t>
  </si>
  <si>
    <t>Qty</t>
  </si>
  <si>
    <t>Man. Art.  Number</t>
  </si>
  <si>
    <t>Ref</t>
  </si>
  <si>
    <t>Reference</t>
  </si>
  <si>
    <t>Lampe solaire v4</t>
  </si>
  <si>
    <t>LampeSolaire_v4</t>
  </si>
  <si>
    <t>32867696371</t>
  </si>
  <si>
    <t>SHANGSIMOUDLECX</t>
  </si>
  <si>
    <t>ESP32 Development Board</t>
  </si>
  <si>
    <t>1</t>
  </si>
  <si>
    <t>32845056564</t>
  </si>
  <si>
    <t>QIACHIP</t>
  </si>
  <si>
    <t>433mhz RF Receiver Learning Code Decoding Receiving Module</t>
  </si>
  <si>
    <t>32673925190</t>
  </si>
  <si>
    <t>Antenna For 433mhz RF Receiver and transmitter</t>
  </si>
  <si>
    <t>32710723814</t>
  </si>
  <si>
    <t>433 Mhz Remote Control</t>
  </si>
  <si>
    <t>D002-XXXX</t>
  </si>
  <si>
    <t>D001-XXXX</t>
  </si>
  <si>
    <t>Valise transparente</t>
  </si>
  <si>
    <t>Malette ESD 144</t>
  </si>
  <si>
    <t>Malette ESD 96</t>
  </si>
  <si>
    <t>Rangement tiroirs 1</t>
  </si>
  <si>
    <t>Rangement tiroirs 2</t>
  </si>
  <si>
    <t>E-PCB-000</t>
  </si>
  <si>
    <t>E-PCB-001</t>
  </si>
  <si>
    <t>E-PCB-002</t>
  </si>
  <si>
    <t>E-PCB-003</t>
  </si>
  <si>
    <t>E-PCB-004</t>
  </si>
  <si>
    <t>PCB Lampe solaire</t>
  </si>
  <si>
    <t>PCB led adaptateur</t>
  </si>
  <si>
    <t>PCB Led adaptateur v1</t>
  </si>
  <si>
    <t>PCB TempoMetter</t>
  </si>
  <si>
    <t>D001-001</t>
  </si>
  <si>
    <t>D001-002</t>
  </si>
  <si>
    <t>D001-000</t>
  </si>
  <si>
    <t>Batterie Li-Po 3.7V 2000mAh</t>
  </si>
  <si>
    <t>Article infos updated</t>
  </si>
  <si>
    <t>8540829</t>
  </si>
  <si>
    <t>D001-003</t>
  </si>
  <si>
    <t>D001-004</t>
  </si>
  <si>
    <t>D001-005</t>
  </si>
  <si>
    <t>1287598</t>
  </si>
  <si>
    <t>D001-012</t>
  </si>
  <si>
    <t>Commande conrad</t>
  </si>
  <si>
    <t>1851909</t>
  </si>
  <si>
    <t>D001-013</t>
  </si>
  <si>
    <t>1332159</t>
  </si>
  <si>
    <t>D001-014</t>
  </si>
  <si>
    <t>2677151</t>
  </si>
  <si>
    <t>D001-015</t>
  </si>
  <si>
    <t>D001-016</t>
  </si>
  <si>
    <t>D001-017</t>
  </si>
  <si>
    <t>D001-024</t>
  </si>
  <si>
    <t>D001-025</t>
  </si>
  <si>
    <t>D001-026</t>
  </si>
  <si>
    <t>D001-027</t>
  </si>
  <si>
    <t>D001-032</t>
  </si>
  <si>
    <t>2682731</t>
  </si>
  <si>
    <t>D001-036</t>
  </si>
  <si>
    <t>D001-049</t>
  </si>
  <si>
    <t>D001-048</t>
  </si>
  <si>
    <t>Undo LampeSolaire_v1_2 because not done</t>
  </si>
  <si>
    <t>0.639</t>
  </si>
  <si>
    <t>32845729569</t>
  </si>
  <si>
    <t>Mayitr</t>
  </si>
  <si>
    <t>Jack Plugs Male conector 2.1mm x 5.5mm</t>
  </si>
  <si>
    <t>Female socket adapter 2.1mm x 5.5mm</t>
  </si>
  <si>
    <t>5</t>
  </si>
  <si>
    <t>10</t>
  </si>
  <si>
    <t>2896645</t>
  </si>
  <si>
    <t>D001-C104</t>
  </si>
  <si>
    <t>D001-C475</t>
  </si>
  <si>
    <t>D001-R1001</t>
  </si>
  <si>
    <t>2694097</t>
  </si>
  <si>
    <t>D001-R1003</t>
  </si>
  <si>
    <t>1576507</t>
  </si>
  <si>
    <t>D001-R1004</t>
  </si>
  <si>
    <t>2380458</t>
  </si>
  <si>
    <t>D001-R1103</t>
  </si>
  <si>
    <t>2447573</t>
  </si>
  <si>
    <t>D001-R1503</t>
  </si>
  <si>
    <t>2073701</t>
  </si>
  <si>
    <t>D001-R220</t>
  </si>
  <si>
    <t>D001-R3301</t>
  </si>
  <si>
    <t>2073779</t>
  </si>
  <si>
    <t>D001-R4701</t>
  </si>
  <si>
    <t>Update place D001-XXXX to D001-RXXXX for resistors</t>
  </si>
  <si>
    <t>Update place D001-XXXX to D001-CXXXX for capacitors</t>
  </si>
  <si>
    <t>JLCPCB Command</t>
  </si>
  <si>
    <t>D010-XXXX</t>
  </si>
  <si>
    <t>D020-XXXX</t>
  </si>
  <si>
    <t>D100-XXXX</t>
  </si>
  <si>
    <t>D101-XXXX</t>
  </si>
  <si>
    <t>Boite avec conteneurs transparents</t>
  </si>
  <si>
    <t>Envoi pour demande d'échange USB C</t>
  </si>
  <si>
    <t>Demande acceptée, USB C</t>
  </si>
  <si>
    <t>Bulk Add : Quantity</t>
  </si>
  <si>
    <t>Min in stock</t>
  </si>
  <si>
    <t>Bulk Add : Product Number</t>
  </si>
  <si>
    <t>MFU1206.63CT-ND</t>
  </si>
  <si>
    <t>PCB USB Tool</t>
  </si>
  <si>
    <t>PCB RF Transceiver</t>
  </si>
  <si>
    <t>E-PCB-005</t>
  </si>
  <si>
    <t>E-PCB-006</t>
  </si>
  <si>
    <t>E-PCB-007</t>
  </si>
  <si>
    <t>E-PCB-008</t>
  </si>
  <si>
    <t>E-PCB-009</t>
  </si>
  <si>
    <t>E-PCB-010</t>
  </si>
  <si>
    <t>USB Tool v1</t>
  </si>
  <si>
    <t>USB_Tool_v1</t>
  </si>
  <si>
    <t>RF Transceiver v1</t>
  </si>
  <si>
    <t>RF_Transceiver_v1</t>
  </si>
  <si>
    <t>596-1023-5-ND</t>
  </si>
  <si>
    <t>732-5350-ND</t>
  </si>
  <si>
    <t>486-1258-ND</t>
  </si>
  <si>
    <t>486-3662-ND</t>
  </si>
  <si>
    <t>A120350-ND</t>
  </si>
  <si>
    <t>A107340-ND</t>
  </si>
  <si>
    <t>1N4148TR</t>
  </si>
  <si>
    <t>0022284360</t>
  </si>
  <si>
    <t>3M5475-ND</t>
  </si>
  <si>
    <t>A106373-ND</t>
  </si>
  <si>
    <t>929974-01-36-RK</t>
  </si>
  <si>
    <t>FDN337NCT-ND</t>
  </si>
  <si>
    <t>MCP121T-315E/TTCT-ND</t>
  </si>
  <si>
    <t>NCP114ASN330T1GOSCT-ND</t>
  </si>
  <si>
    <t>SI2333CDS-T1-GE3CT-ND</t>
  </si>
  <si>
    <t>T93XA-100K-ND</t>
  </si>
  <si>
    <t>720-1805-1-ND</t>
  </si>
  <si>
    <t>Dgikey Bom</t>
  </si>
  <si>
    <t>Digikey Art. Number</t>
  </si>
  <si>
    <t>Distrelec Art. Number</t>
  </si>
  <si>
    <t>Farnell Art. Number</t>
  </si>
  <si>
    <t>Mouser Art. Number</t>
  </si>
  <si>
    <t>Conrad Art. Number</t>
  </si>
  <si>
    <t>Article Number</t>
  </si>
  <si>
    <t>Aliexpress Art. Number</t>
  </si>
  <si>
    <t>Banggood Art. Number</t>
  </si>
  <si>
    <t>Unit price2</t>
  </si>
  <si>
    <t>Unit price3</t>
  </si>
  <si>
    <t>Unit price4</t>
  </si>
  <si>
    <t>Unit price5</t>
  </si>
  <si>
    <t>Unit price6</t>
  </si>
  <si>
    <t>Unit price7</t>
  </si>
  <si>
    <t>32845729569A</t>
  </si>
  <si>
    <t>32845729569B</t>
  </si>
  <si>
    <t>EP1WS22RJ</t>
  </si>
  <si>
    <t>B82145A1474J000</t>
  </si>
  <si>
    <t>B82144A2474J000</t>
  </si>
  <si>
    <t>B72210S2271K101</t>
  </si>
  <si>
    <t>MFU0805FF00630P100</t>
  </si>
  <si>
    <t>Migration articles chez Digikey</t>
  </si>
  <si>
    <t>In next order</t>
  </si>
  <si>
    <t>Min Stock</t>
  </si>
  <si>
    <t>Total price</t>
  </si>
  <si>
    <t>Total</t>
  </si>
  <si>
    <t>Ret. Art. Number</t>
  </si>
  <si>
    <t>Ctrl + N</t>
  </si>
  <si>
    <t>Ctrl + K</t>
  </si>
  <si>
    <t>Ctrl + P</t>
  </si>
  <si>
    <t>Ctrl + O</t>
  </si>
  <si>
    <t>Fixed errors during file modification</t>
  </si>
  <si>
    <t>Default Art. Number</t>
  </si>
  <si>
    <t>Default Unit price</t>
  </si>
  <si>
    <t>Auto Order</t>
  </si>
  <si>
    <t>Unit price8</t>
  </si>
  <si>
    <t>Other Art. Number</t>
  </si>
  <si>
    <t>Components</t>
  </si>
  <si>
    <t>Places</t>
  </si>
  <si>
    <t>Manufacturer Part Number</t>
  </si>
  <si>
    <t>Digi-Key Part Number</t>
  </si>
  <si>
    <t>Customer Reference</t>
  </si>
  <si>
    <t>Reference Designator</t>
  </si>
  <si>
    <t>Packaging</t>
  </si>
  <si>
    <t>Part Status</t>
  </si>
  <si>
    <t>Unit Price</t>
  </si>
  <si>
    <t>Extended Price</t>
  </si>
  <si>
    <t>Quantity Available</t>
  </si>
  <si>
    <t>Mfg Std Lead Time</t>
  </si>
  <si>
    <t>RoHS Status</t>
  </si>
  <si>
    <t>Lead Free Status</t>
  </si>
  <si>
    <t>REACH Status</t>
  </si>
  <si>
    <t>US Tariff Status</t>
  </si>
  <si>
    <t/>
  </si>
  <si>
    <t>Tube</t>
  </si>
  <si>
    <t>Active</t>
  </si>
  <si>
    <t>0.92 Fr.</t>
  </si>
  <si>
    <t>12 Weeks</t>
  </si>
  <si>
    <t>RoHS Compliant</t>
  </si>
  <si>
    <t>Lead free</t>
  </si>
  <si>
    <t>REACH Unaffected</t>
  </si>
  <si>
    <t>Cut Tape (CT)</t>
  </si>
  <si>
    <t>2.64 Fr.</t>
  </si>
  <si>
    <t>26 Weeks</t>
  </si>
  <si>
    <t>0.11 Fr.</t>
  </si>
  <si>
    <t>Not Available</t>
  </si>
  <si>
    <t>1.48 Fr.</t>
  </si>
  <si>
    <t>10 Weeks</t>
  </si>
  <si>
    <t>Tariff Applied</t>
  </si>
  <si>
    <t>0.14 Fr.</t>
  </si>
  <si>
    <t>13 Weeks</t>
  </si>
  <si>
    <t>TLMS1000-GS08CT-ND</t>
  </si>
  <si>
    <t>0.52 Fr.</t>
  </si>
  <si>
    <t>1.42 Fr.</t>
  </si>
  <si>
    <t>21 Weeks</t>
  </si>
  <si>
    <t>0.85 Fr.</t>
  </si>
  <si>
    <t>15 Weeks</t>
  </si>
  <si>
    <t>0.96 Fr.</t>
  </si>
  <si>
    <t>Tariff Eligible</t>
  </si>
  <si>
    <t>0.10 Fr.</t>
  </si>
  <si>
    <t>18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</si>
</sst>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3" xfId="0" applyFill="1" applyBorder="1"/>
    <xf numFmtId="49" fontId="0" fillId="0" borderId="0" xfId="0" applyNumberFormat="1"/>
    <xf numFmtId="2" fontId="0" fillId="0" borderId="1" xfId="0" applyNumberFormat="1" applyBorder="1" applyAlignment="1">
      <alignment horizontal="left"/>
    </xf>
    <xf numFmtId="0" fontId="0" fillId="2" borderId="0" xfId="0" applyFill="1"/>
    <xf numFmtId="0" fontId="0" fillId="4" borderId="0" xfId="0" applyFill="1"/>
    <xf numFmtId="0" fontId="0" fillId="6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2" fontId="3" fillId="8" borderId="1" xfId="0" applyNumberFormat="1" applyFont="1" applyFill="1" applyBorder="1" applyAlignment="1">
      <alignment horizontal="left"/>
    </xf>
    <xf numFmtId="0" fontId="0" fillId="7" borderId="0" xfId="0" applyNumberFormat="1" applyFill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 applyNumberFormat="1"/>
    <xf numFmtId="0" fontId="3" fillId="8" borderId="0" xfId="0" applyFont="1" applyFill="1" applyBorder="1" applyAlignment="1">
      <alignment horizontal="left"/>
    </xf>
    <xf numFmtId="0" fontId="3" fillId="8" borderId="0" xfId="0" applyNumberFormat="1" applyFont="1" applyFill="1" applyBorder="1" applyAlignment="1">
      <alignment horizontal="left"/>
    </xf>
    <xf numFmtId="2" fontId="3" fillId="8" borderId="0" xfId="0" applyNumberFormat="1" applyFont="1" applyFill="1" applyBorder="1" applyAlignment="1">
      <alignment horizontal="left"/>
    </xf>
    <xf numFmtId="49" fontId="3" fillId="8" borderId="0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NumberFormat="1" applyFont="1" applyFill="1" applyBorder="1" applyAlignment="1">
      <alignment horizontal="left"/>
    </xf>
    <xf numFmtId="2" fontId="0" fillId="0" borderId="5" xfId="0" applyNumberFormat="1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left"/>
    </xf>
    <xf numFmtId="2" fontId="0" fillId="0" borderId="4" xfId="0" applyNumberFormat="1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5">
    <dxf>
      <fill>
        <patternFill>
          <bgColor rgb="FFFF0000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fill>
        <patternFill>
          <bgColor rgb="FFFF0000"/>
        </patternFill>
      </fill>
    </dxf>
    <dxf>
      <fill>
        <patternFill>
          <bgColor rgb="FFFF8F8F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>
          <bgColor theme="0" tint="-4.9989318521683403E-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64" formatCode="dd/mm/yyyy\ hh:mm:ss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AB4BC6-5566-447F-ADAA-203397440666}">
      <tableStyleElement type="wholeTable" dxfId="154"/>
      <tableStyleElement type="headerRow" dxfId="153"/>
    </tableStyle>
  </tableStyles>
  <colors>
    <mruColors>
      <color rgb="FFF1450F"/>
      <color rgb="FFFF9966"/>
      <color rgb="FFFF8F8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Add articles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Edit articles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Edit products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Make order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1</xdr:row>
          <xdr:rowOff>0</xdr:rowOff>
        </xdr:from>
        <xdr:to>
          <xdr:col>14</xdr:col>
          <xdr:colOff>0</xdr:colOff>
          <xdr:row>3</xdr:row>
          <xdr:rowOff>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4</xdr:row>
          <xdr:rowOff>0</xdr:rowOff>
        </xdr:from>
        <xdr:to>
          <xdr:col>14</xdr:col>
          <xdr:colOff>0</xdr:colOff>
          <xdr:row>6</xdr:row>
          <xdr:rowOff>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Insert line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7</xdr:row>
          <xdr:rowOff>0</xdr:rowOff>
        </xdr:from>
        <xdr:to>
          <xdr:col>14</xdr:col>
          <xdr:colOff>0</xdr:colOff>
          <xdr:row>9</xdr:row>
          <xdr:rowOff>0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Reset lines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10</xdr:row>
          <xdr:rowOff>0</xdr:rowOff>
        </xdr:from>
        <xdr:to>
          <xdr:col>14</xdr:col>
          <xdr:colOff>0</xdr:colOff>
          <xdr:row>12</xdr:row>
          <xdr:rowOff>0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4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13</xdr:col>
          <xdr:colOff>0</xdr:colOff>
          <xdr:row>4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B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Open menu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rc"/>
    </sheetNames>
    <definedNames>
      <definedName name="btn_AddArticle"/>
      <definedName name="btn_AddOrder"/>
      <definedName name="btn_ClearCommands"/>
      <definedName name="btn_CreateOrder"/>
      <definedName name="btn_EditArticles"/>
      <definedName name="btn_EditProduct"/>
      <definedName name="InsertCmdRow_Click"/>
      <definedName name="ResetFirstsLines_Click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00476-F82A-4D32-B44D-14BFB3EE84A5}" name="Table4" displayName="Table4" ref="A1:F185" totalsRowShown="0" headerRowDxfId="146">
  <autoFilter ref="A1:F185" xr:uid="{BDAE12D6-129D-4B55-B01B-D1493E590308}"/>
  <tableColumns count="6">
    <tableColumn id="1" xr3:uid="{F20AB9A4-F1CA-4493-AFCA-1ECFD6C72926}" name="Date" dataDxfId="145"/>
    <tableColumn id="2" xr3:uid="{9E5C5770-C960-45BB-8115-75DB62A3B16C}" name="Article Number" dataDxfId="144"/>
    <tableColumn id="5" xr3:uid="{16BFD56B-B56A-4848-9201-68C2F28CFA64}" name="Modification" dataDxfId="143"/>
    <tableColumn id="3" xr3:uid="{10BA92E7-A8AC-46B9-9939-48EDBF630513}" name="Stock Before" dataDxfId="142"/>
    <tableColumn id="4" xr3:uid="{89A58CF5-EDCB-4EF1-963E-E9EB1A0CCFEF}" name="Stock After" dataDxfId="141"/>
    <tableColumn id="6" xr3:uid="{FF179CF1-10A5-4445-94E5-D3770F8EB2DA}" name="INFO" dataDxfId="1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97E45-E9C7-4516-9302-D8263184412D}" name="Table1" displayName="Table1" ref="A1:Z100" totalsRowShown="0" headerRowDxfId="132" dataDxfId="131" tableBorderDxfId="130">
  <autoFilter ref="A1:Z100" xr:uid="{3C65767D-796D-455D-8592-2DCFC786B11E}"/>
  <sortState ref="A2:Z100">
    <sortCondition ref="A1:A100"/>
  </sortState>
  <tableColumns count="26">
    <tableColumn id="1" xr3:uid="{435165AF-465B-418C-8DDE-9CFA2D278BBE}" name="Article Number" dataDxfId="129"/>
    <tableColumn id="2" xr3:uid="{FBC6B9C9-57F8-45DA-AF22-C249E2B185F4}" name="Manufacturer" dataDxfId="128"/>
    <tableColumn id="3" xr3:uid="{288AF9C9-A6A1-4913-A84A-1B41F0951CD7}" name="Place" dataDxfId="127"/>
    <tableColumn id="4" xr3:uid="{991CB349-C1A2-4024-AD86-41FE070F01AA}" name="Description" dataDxfId="126"/>
    <tableColumn id="5" xr3:uid="{AF531B20-C2C7-43E4-88F6-C002EAFA6EF0}" name="In stock" dataDxfId="125"/>
    <tableColumn id="6" xr3:uid="{4AE22FEC-1D74-4166-880B-DE3C3B0F48C3}" name="Min in stock" dataDxfId="124">
      <calculatedColumnFormula>10</calculatedColumnFormula>
    </tableColumn>
    <tableColumn id="7" xr3:uid="{DDF25EC9-10A6-4A51-A3FF-5F173DC0429C}" name="Auto Order" dataDxfId="123">
      <calculatedColumnFormula>1</calculatedColumnFormula>
    </tableColumn>
    <tableColumn id="8" xr3:uid="{8FB77B6F-1796-445F-A628-6683E80A406B}" name="Default Art. Number" dataDxfId="122">
      <calculatedColumnFormula array="1">IF(ISERROR(INDEX(Articles!$J2:$W2, MATCH(FALSE, ISBLANK(Articles!$J2:$W2),0))),"N/A",INDEX(Articles!$J2:$W2, MATCH(FALSE, ISBLANK(Articles!$J2:$W2),0)))</calculatedColumnFormula>
    </tableColumn>
    <tableColumn id="9" xr3:uid="{FFD8B420-52D8-4860-B12E-57F5E09452F3}" name="Default Unit price" dataDxfId="121">
      <calculatedColumnFormula array="1">IF(ISERROR(OFFSET(INDEX(Articles!$J2:$Y2, MATCH(FALSE, ISBLANK(Articles!$J2:$Y2),0)),0,1)),"N/A",OFFSET(INDEX(Articles!$J2:$Y2, MATCH(FALSE, ISBLANK(Articles!$J2:$Y2),0)),0,1))</calculatedColumnFormula>
    </tableColumn>
    <tableColumn id="10" xr3:uid="{7E60C342-9987-408E-8654-849687FC9CF5}" name="Digikey Art. Number" dataDxfId="120"/>
    <tableColumn id="11" xr3:uid="{904ACEAE-3EBB-4B5A-B40F-F27BEC67197D}" name="Unit price" dataDxfId="119"/>
    <tableColumn id="12" xr3:uid="{1C8E6FC8-F976-4331-BE85-AE9F5CCE5385}" name="Farnell Art. Number" dataDxfId="118"/>
    <tableColumn id="13" xr3:uid="{9CEB0B0D-E776-4EE1-BA17-F20F36573DF1}" name="Unit price2" dataDxfId="117"/>
    <tableColumn id="14" xr3:uid="{4835AE8C-6AA4-4E3D-AA3C-47D081785B10}" name="Distrelec Art. Number" dataDxfId="116"/>
    <tableColumn id="15" xr3:uid="{CFC19F72-EB6A-4DA4-8140-6E03AC8C87E2}" name="Unit price3" dataDxfId="115"/>
    <tableColumn id="16" xr3:uid="{440F2FEC-A527-4DB9-8F02-E02C455DD168}" name="Conrad Art. Number" dataDxfId="114"/>
    <tableColumn id="17" xr3:uid="{C15F9ED7-FCDD-4ED8-8193-766AD4AACE12}" name="Unit price4" dataDxfId="113"/>
    <tableColumn id="18" xr3:uid="{E8BE4F49-80E3-4D58-8712-2588048DD5B2}" name="Mouser Art. Number" dataDxfId="112"/>
    <tableColumn id="19" xr3:uid="{71B82CF1-AA7C-485A-B22F-DFCA002E3E0B}" name="Unit price5" dataDxfId="111"/>
    <tableColumn id="20" xr3:uid="{B372D927-D0BD-4305-A32A-0C014ACEEBAB}" name="Aliexpress Art. Number" dataDxfId="110"/>
    <tableColumn id="21" xr3:uid="{56A9B167-940C-4D6B-8B5D-F91623F90BD6}" name="Unit price6" dataDxfId="109"/>
    <tableColumn id="22" xr3:uid="{2E67C835-F42C-4886-A3E6-A86A66CF03DE}" name="Banggood Art. Number" dataDxfId="108"/>
    <tableColumn id="23" xr3:uid="{96EE1B48-7059-4798-A1ED-B830DB9D7D70}" name="Unit price7" dataDxfId="107"/>
    <tableColumn id="24" xr3:uid="{DFC2A0A6-4951-479C-8775-526D9FDB26B4}" name="Other Art. Number" dataDxfId="106"/>
    <tableColumn id="25" xr3:uid="{09619815-DA2C-43CD-A998-2BAAC30ACE14}" name="Unit price8" dataDxfId="105"/>
    <tableColumn id="26" xr3:uid="{CBAAFE5B-29D9-4E86-8241-3FA6E46052BB}" name="In next order" dataDxfId="104">
      <calculatedColumnFormula>IF(Articles!$G2=1,IF(Articles!$E2&lt;Articles!$F2,1,""),"")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C509A-A40F-4A82-947D-97925FC66979}" name="Table13" displayName="Table13" ref="A1:F64" totalsRowShown="0" headerRowDxfId="103" dataDxfId="101" headerRowBorderDxfId="102">
  <autoFilter ref="A1:F64" xr:uid="{06E2CB8E-61AB-472E-BCF2-E6E1E6F7BC5B}"/>
  <sortState ref="A2:F64">
    <sortCondition ref="B1:B64"/>
  </sortState>
  <tableColumns count="6">
    <tableColumn id="1" xr3:uid="{8B723864-414F-452D-9283-19CAA018B66B}" name="Art. Number" dataDxfId="100"/>
    <tableColumn id="2" xr3:uid="{868F71A1-EA8D-4FE4-9E10-4FA4EE5293B1}" name="Man. Number" dataDxfId="99"/>
    <tableColumn id="3" xr3:uid="{2BE62D1D-359E-4098-A703-65FA8EB2A2EB}" name="Manufacturer" dataDxfId="98"/>
    <tableColumn id="4" xr3:uid="{AEC8A4D9-9242-49C2-8841-3FA0C13E4BF7}" name="Retailer" dataDxfId="97"/>
    <tableColumn id="5" xr3:uid="{727086BC-BBF9-470F-8005-62D7E303CEAD}" name="Description" dataDxfId="96"/>
    <tableColumn id="7" xr3:uid="{38960764-2FF5-4AE8-BD63-75EC1C594716}" name="Unit price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649B3B-3E5F-4D5F-A20D-27741775A0FA}" name="Table8" displayName="Table8" ref="A1:M4" totalsRowCount="1" headerRowDxfId="94" dataDxfId="92" headerRowBorderDxfId="93" tableBorderDxfId="91">
  <autoFilter ref="A1:M3" xr:uid="{46700432-4BF0-4DCB-9154-EC411D24C381}"/>
  <sortState ref="A2:M3">
    <sortCondition ref="A1:A3"/>
  </sortState>
  <tableColumns count="13">
    <tableColumn id="2" xr3:uid="{09884C69-0E00-49B1-878D-118ACDF0CE5A}" name="Art. Number" totalsRowLabel="Total" dataDxfId="90" totalsRowDxfId="89"/>
    <tableColumn id="1" xr3:uid="{B10D53AF-03D1-4287-B98C-B2EBD99019D4}" name="Ret. Art. Number" dataDxfId="88" totalsRowDxfId="87"/>
    <tableColumn id="3" xr3:uid="{4C487402-2AAB-4AF3-BE67-7394C36C842C}" name="Manufacturer" dataDxfId="86" totalsRowDxfId="85"/>
    <tableColumn id="4" xr3:uid="{8EC0DC8E-76AD-4B9F-83B7-1A0DD14BB27F}" name="Retailer" dataDxfId="84" totalsRowDxfId="83"/>
    <tableColumn id="5" xr3:uid="{F034F88F-58E3-461F-AA98-A329A317450C}" name="Place" dataDxfId="82" totalsRowDxfId="81"/>
    <tableColumn id="6" xr3:uid="{270626A5-5AC9-4B4B-BFA1-CB61FB278FF7}" name="Description" dataDxfId="80" totalsRowDxfId="79"/>
    <tableColumn id="7" xr3:uid="{6AED47F2-55E6-446F-831B-A118A7B0B1ED}" name="In stock" dataDxfId="78" totalsRowDxfId="77"/>
    <tableColumn id="8" xr3:uid="{AC92F839-E54E-493C-ABE5-5E0757E61859}" name="Min Stock" dataDxfId="76" totalsRowDxfId="75"/>
    <tableColumn id="11" xr3:uid="{FA19872E-A366-497E-9D69-828A97ECF042}" name="Unit price" dataDxfId="74" totalsRowDxfId="73"/>
    <tableColumn id="13" xr3:uid="{EA825846-8448-46C3-B6A4-847B2F364E4E}" name="Quantity" dataDxfId="72" totalsRowDxfId="71">
      <calculatedColumnFormula>ROUNDUP(Table8[[#This Row],[Min Stock]]-Table8[[#This Row],[In stock]],0)</calculatedColumnFormula>
    </tableColumn>
    <tableColumn id="12" xr3:uid="{6C84EE35-1734-410D-8E78-A4C0532259BC}" name="Total price" totalsRowFunction="sum" dataDxfId="70" totalsRowDxfId="69">
      <calculatedColumnFormula>Table8[[#This Row],[Quantity]]*Table8[[#This Row],[Unit price]]</calculatedColumnFormula>
    </tableColumn>
    <tableColumn id="9" xr3:uid="{CF148814-A309-4554-8503-283AD3C9BC12}" name="Bulk Add : Quantity" dataDxfId="68" totalsRowDxfId="67">
      <calculatedColumnFormula>Table8[[#This Row],[Quantity]]</calculatedColumnFormula>
    </tableColumn>
    <tableColumn id="10" xr3:uid="{B113FB1E-B792-4B87-9210-09F62D33E8F1}" name="Bulk Add : Product Number" dataDxfId="66" totalsRowDxfId="65">
      <calculatedColumnFormula>Table8[[#This Row],[Ret. Art. Number]]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D962F-591C-4742-BF22-9CD895EB425C}" name="Table14" displayName="Table14" ref="A1:H40" totalsRowShown="0" headerRowDxfId="61" dataDxfId="59" headerRowBorderDxfId="60">
  <autoFilter ref="A1:H40" xr:uid="{06E2CB8E-61AB-472E-BCF2-E6E1E6F7BC5B}">
    <filterColumn colId="3">
      <filters>
        <filter val="0.638888889"/>
        <filter val="1"/>
        <filter val="19"/>
        <filter val="2"/>
        <filter val="3"/>
        <filter val="4"/>
        <filter val="5"/>
      </filters>
    </filterColumn>
  </autoFilter>
  <sortState ref="A2:H40">
    <sortCondition ref="B1:B40"/>
  </sortState>
  <tableColumns count="8">
    <tableColumn id="2" xr3:uid="{A92087CE-B74E-49AD-99FE-90DBB817C1AC}" name="Man. Number" dataDxfId="58"/>
    <tableColumn id="5" xr3:uid="{B1418FC9-8422-4A82-9D50-1C20CEF4A1DB}" name="Description" dataDxfId="57">
      <calculatedColumnFormula>VLOOKUP(Table14[[#This Row],[Man. Number]],Articles!A:E,COLUMN(Articles!$D$1)-COLUMN(Articles!$A$1)+1,FALSE)</calculatedColumnFormula>
    </tableColumn>
    <tableColumn id="7" xr3:uid="{B4F56298-AB90-4AEC-8A42-97A994164D1F}" name="Reference" dataDxfId="56"/>
    <tableColumn id="8" xr3:uid="{D163A9E2-18FC-4EE8-99AB-60D6C92BBDB6}" name="Quantity" dataDxfId="55"/>
    <tableColumn id="6" xr3:uid="{1583B055-BD93-4929-B8EC-DA75D23B688F}" name="In stock" dataDxfId="54">
      <calculatedColumnFormula>VLOOKUP(Table14[[#This Row],[Man. Number]],Articles!A:E,COLUMN(Articles!$E$1)-COLUMN(Articles!$A$1)+1,FALSE)</calculatedColumnFormula>
    </tableColumn>
    <tableColumn id="1" xr3:uid="{47894B8D-4567-4D67-A4F3-0A1C0DC3D40D}" name="Available" dataDxfId="53">
      <calculatedColumnFormula>IF(Table14[[#This Row],[In stock]] &gt;= Table14[[#This Row],[Quantity]],"YES","NO")</calculatedColumnFormula>
    </tableColumn>
    <tableColumn id="3" xr3:uid="{CE7B326B-C514-42C5-AECC-1A2A4AAB375C}" name="Total quantity" dataDxfId="52">
      <calculatedColumnFormula>Table14[[#This Row],[Quantity]]*$K$1</calculatedColumnFormula>
    </tableColumn>
    <tableColumn id="4" xr3:uid="{3C7D2E86-E417-47F0-B642-14D96896F255}" name="Total available" dataDxfId="51">
      <calculatedColumnFormula>IF(Table14[[#This Row],[In stock]] &gt;= Table14[[#This Row],[Total quantity]],"YES","NO")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EBA36F-BA14-4DB1-9B84-1B04D5CA8D2C}" name="Table146" displayName="Table146" ref="A1:H15" totalsRowShown="0" headerRowDxfId="47" dataDxfId="45" headerRowBorderDxfId="46">
  <autoFilter ref="A1:H15" xr:uid="{06E2CB8E-61AB-472E-BCF2-E6E1E6F7BC5B}"/>
  <tableColumns count="8">
    <tableColumn id="2" xr3:uid="{9E0E6405-0958-4064-8395-03A32BA24ED3}" name="Man. Number" dataDxfId="44"/>
    <tableColumn id="5" xr3:uid="{BA21CA97-DCD9-408A-9894-96A639A19D11}" name="Description" dataDxfId="43">
      <calculatedColumnFormula>VLOOKUP(Table146[[#This Row],[Man. Number]],Articles!A:E,COLUMN(Articles!$D$1)-COLUMN(Articles!$A$1)+1,FALSE)</calculatedColumnFormula>
    </tableColumn>
    <tableColumn id="7" xr3:uid="{77B761F7-AF17-4A17-88C8-A5C9D5D27CDC}" name="Reference" dataDxfId="42"/>
    <tableColumn id="8" xr3:uid="{79E97D26-BF86-43B2-AEF5-CE725327DF74}" name="Quantity" dataDxfId="41"/>
    <tableColumn id="6" xr3:uid="{55CA5BD7-34A5-4A62-9044-29A0D9B81880}" name="In stock" dataDxfId="40">
      <calculatedColumnFormula>VLOOKUP(Table146[[#This Row],[Man. Number]],Articles!A:E,COLUMN(Articles!$E$1)-COLUMN(Articles!$A$1)+1,FALSE)</calculatedColumnFormula>
    </tableColumn>
    <tableColumn id="1" xr3:uid="{7F9C6D4D-8B19-4B0E-8A79-73C76C57E6CB}" name="Available" dataDxfId="39">
      <calculatedColumnFormula>IF(Table146[[#This Row],[In stock]] &gt;= Table146[[#This Row],[Quantity]],"YES","NO")</calculatedColumnFormula>
    </tableColumn>
    <tableColumn id="3" xr3:uid="{A3EA9E6B-B1AC-439E-A8AB-942C2E65E112}" name="Total quantity" dataDxfId="38">
      <calculatedColumnFormula>Table146[[#This Row],[Quantity]]*$K$1</calculatedColumnFormula>
    </tableColumn>
    <tableColumn id="4" xr3:uid="{04D63216-7DC3-4D59-A043-09BBD0852B90}" name="Total available" dataDxfId="37">
      <calculatedColumnFormula>IF(Table146[[#This Row],[In stock]] &gt;= Table146[[#This Row],[Total quantity]],"YES","NO")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80A157-A2A8-4C22-8CFD-5C6AD63DE608}" name="Table146810" displayName="Table146810" ref="A1:H2" totalsRowShown="0" headerRowDxfId="35" dataDxfId="33" headerRowBorderDxfId="34">
  <autoFilter ref="A1:H2" xr:uid="{06E2CB8E-61AB-472E-BCF2-E6E1E6F7BC5B}"/>
  <tableColumns count="8">
    <tableColumn id="2" xr3:uid="{E1B3591E-7FDF-432B-8B47-D1874E0B26F5}" name="Man. Number" dataDxfId="32"/>
    <tableColumn id="5" xr3:uid="{EE74CBB7-B4AE-4E4F-A276-4111D2262064}" name="Description" dataDxfId="31">
      <calculatedColumnFormula>VLOOKUP(Table146810[[#This Row],[Man. Number]],Articles!A:E,COLUMN(Articles!$D$1)-COLUMN(Articles!$A$1)+1,FALSE)</calculatedColumnFormula>
    </tableColumn>
    <tableColumn id="7" xr3:uid="{7774CA8B-8FBD-4AE8-8A5E-EED54B7EF35B}" name="Reference" dataDxfId="30"/>
    <tableColumn id="8" xr3:uid="{C50EC552-0304-4799-AAF5-38B8D35A381E}" name="Quantity" dataDxfId="29"/>
    <tableColumn id="6" xr3:uid="{F740468C-0E09-4D56-BD5D-693ECC8337EF}" name="In stock" dataDxfId="28">
      <calculatedColumnFormula>VLOOKUP(Table146810[[#This Row],[Man. Number]],Articles!A:E,COLUMN(Articles!$E$1)-COLUMN(Articles!$A$1)+1,FALSE)</calculatedColumnFormula>
    </tableColumn>
    <tableColumn id="1" xr3:uid="{7E4FC123-CAAA-4DFD-BD96-0C19111F4639}" name="Available" dataDxfId="27">
      <calculatedColumnFormula>IF(Table146810[[#This Row],[In stock]] &gt;= Table146810[[#This Row],[Quantity]],"YES","NO")</calculatedColumnFormula>
    </tableColumn>
    <tableColumn id="3" xr3:uid="{4A6F19BB-BD74-4582-AA81-751983BFF844}" name="Total quantity" dataDxfId="26">
      <calculatedColumnFormula>Table146810[[#This Row],[Quantity]]*$K$1</calculatedColumnFormula>
    </tableColumn>
    <tableColumn id="4" xr3:uid="{562176AD-2473-43BF-B998-A5B71A21527C}" name="Total available" dataDxfId="25">
      <calculatedColumnFormula>IF(Table146810[[#This Row],[In stock]] &gt;= Table146810[[#This Row],[Total quantity]],"YES","NO")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F5E1AD-E352-49B0-B13B-903285402E83}" name="Table146811" displayName="Table146811" ref="A1:H2" totalsRowShown="0" headerRowDxfId="23" dataDxfId="21" headerRowBorderDxfId="22">
  <autoFilter ref="A1:H2" xr:uid="{06E2CB8E-61AB-472E-BCF2-E6E1E6F7BC5B}"/>
  <tableColumns count="8">
    <tableColumn id="2" xr3:uid="{AD6FF1DB-33D0-406A-BC62-5C920E3086F8}" name="Man. Number" dataDxfId="20"/>
    <tableColumn id="5" xr3:uid="{DE30DEEA-B1F2-49E6-90FB-A3A09084BC7F}" name="Description" dataDxfId="19">
      <calculatedColumnFormula>VLOOKUP(Table146811[[#This Row],[Man. Number]],Articles!A:E,COLUMN(Articles!$D$1)-COLUMN(Articles!$A$1)+1,FALSE)</calculatedColumnFormula>
    </tableColumn>
    <tableColumn id="7" xr3:uid="{E29F3B01-1B5E-47D4-ACAE-0F635E3A7017}" name="Reference" dataDxfId="18"/>
    <tableColumn id="8" xr3:uid="{19242CC9-CDB5-49EB-B17E-553D3745B52B}" name="Quantity" dataDxfId="17"/>
    <tableColumn id="6" xr3:uid="{ECC39063-2325-4B34-AEC6-9D8392F57051}" name="In stock" dataDxfId="16">
      <calculatedColumnFormula>VLOOKUP(Table146811[[#This Row],[Man. Number]],Articles!A:E,COLUMN(Articles!$E$1)-COLUMN(Articles!$A$1)+1,FALSE)</calculatedColumnFormula>
    </tableColumn>
    <tableColumn id="1" xr3:uid="{4C77BBEA-BE9D-47A6-A8FA-309C09471A07}" name="Available" dataDxfId="15">
      <calculatedColumnFormula>IF(Table146811[[#This Row],[In stock]] &gt;= Table146811[[#This Row],[Quantity]],"YES","NO")</calculatedColumnFormula>
    </tableColumn>
    <tableColumn id="3" xr3:uid="{DDAA5D15-9725-490B-BD3A-48CD27933BE8}" name="Total quantity" dataDxfId="14">
      <calculatedColumnFormula>Table146811[[#This Row],[Quantity]]*$K$1</calculatedColumnFormula>
    </tableColumn>
    <tableColumn id="4" xr3:uid="{DF2985A7-E964-4DBC-B346-C3ABD3D6D1AC}" name="Total available" dataDxfId="13">
      <calculatedColumnFormula>IF(Table146811[[#This Row],[In stock]] &gt;= Table146811[[#This Row],[Total quantity]],"YES","NO")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E8F342-CA90-4972-AB98-564E2D2F487D}" name="Table1468" displayName="Table1468" ref="A1:H2" totalsRowShown="0" headerRowDxfId="11" dataDxfId="9" headerRowBorderDxfId="10">
  <autoFilter ref="A1:H2" xr:uid="{06E2CB8E-61AB-472E-BCF2-E6E1E6F7BC5B}"/>
  <tableColumns count="8">
    <tableColumn id="2" xr3:uid="{82F37E31-D1D4-4FFD-A09E-64F3B03018B7}" name="Man. Number" dataDxfId="8"/>
    <tableColumn id="5" xr3:uid="{524F6B01-486E-4166-AE6A-BDBA58BD1A60}" name="Description" dataDxfId="7">
      <calculatedColumnFormula>VLOOKUP(Table1468[[#This Row],[Man. Number]],Articles!A:E,COLUMN(Articles!$D$1)-COLUMN(Articles!$A$1)+1,FALSE)</calculatedColumnFormula>
    </tableColumn>
    <tableColumn id="7" xr3:uid="{0EDA27D7-E2B2-4D98-8FFC-602AD8A774D7}" name="Reference" dataDxfId="6"/>
    <tableColumn id="8" xr3:uid="{A834D686-252C-4BF4-9FDE-28A4A6AFDD1F}" name="Quantity" dataDxfId="5"/>
    <tableColumn id="6" xr3:uid="{66DB620F-4FDE-44EB-BF35-96CAEBE4C1C6}" name="In stock" dataDxfId="4">
      <calculatedColumnFormula>VLOOKUP(Table1468[[#This Row],[Man. Number]],Articles!A:E,COLUMN(Articles!$E$1)-COLUMN(Articles!$A$1)+1,FALSE)</calculatedColumnFormula>
    </tableColumn>
    <tableColumn id="1" xr3:uid="{245282B4-7ECB-44D1-B528-BBB44C658582}" name="Available" dataDxfId="3">
      <calculatedColumnFormula>IF(Table1468[[#This Row],[In stock]] &gt;= Table1468[[#This Row],[Quantity]],"YES","NO")</calculatedColumnFormula>
    </tableColumn>
    <tableColumn id="3" xr3:uid="{67B74FDC-0575-406A-89BB-0D882E866451}" name="Total quantity" dataDxfId="2">
      <calculatedColumnFormula>Table1468[[#This Row],[Quantity]]*$K$1</calculatedColumnFormula>
    </tableColumn>
    <tableColumn id="4" xr3:uid="{56337732-A0D6-4CED-A2E1-0A9BD957CBCA}" name="Total available" dataDxfId="1">
      <calculatedColumnFormula>IF(Table1468[[#This Row],[In stock]] &gt;= Table1468[[#This Row],[Total quantity]],"YES","NO")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226358-A437-44A8-89CD-F2B1C0353077}" name="Table6" displayName="Table6" ref="A6:C10" totalsRowShown="0">
  <autoFilter ref="A6:C10" xr:uid="{872FC7A3-44C5-4B5B-B3BD-3A0E54A1C252}"/>
  <tableColumns count="3">
    <tableColumn id="1" xr3:uid="{79A80DDF-8238-4698-90CE-9D2101A7FB4D}" name="Index"/>
    <tableColumn id="2" xr3:uid="{18AED83E-211C-4D49-8533-A66EA207A333}" name="Name"/>
    <tableColumn id="3" xr3:uid="{63C951D6-FF6F-4BF6-9A81-E207D05276DE}" name="Shee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7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F36D-F5FA-46FD-97BE-6722B1B28781}">
  <sheetPr codeName="Sheet5">
    <tabColor rgb="FF0070C0"/>
  </sheetPr>
  <dimension ref="A1:F185"/>
  <sheetViews>
    <sheetView tabSelected="1" workbookViewId="0">
      <pane ySplit="1" topLeftCell="A173" activePane="bottomLeft" state="frozen"/>
      <selection pane="bottomLeft" activeCell="E185" sqref="E185"/>
    </sheetView>
  </sheetViews>
  <sheetFormatPr defaultRowHeight="15" x14ac:dyDescent="0.25"/>
  <cols>
    <col min="1" max="1" width="18" style="50" bestFit="1" customWidth="1"/>
    <col min="2" max="2" width="56.42578125" style="3" bestFit="1" customWidth="1"/>
    <col min="3" max="3" width="14.7109375" style="11" bestFit="1" customWidth="1"/>
    <col min="4" max="4" width="14.42578125" style="11" bestFit="1" customWidth="1"/>
    <col min="5" max="5" width="13" style="11" bestFit="1" customWidth="1"/>
    <col min="6" max="6" width="48.28515625" style="3" bestFit="1" customWidth="1"/>
  </cols>
  <sheetData>
    <row r="1" spans="1:6" x14ac:dyDescent="0.25">
      <c r="A1" s="49" t="s">
        <v>170</v>
      </c>
      <c r="B1" s="3" t="s">
        <v>490</v>
      </c>
      <c r="C1" s="5" t="s">
        <v>176</v>
      </c>
      <c r="D1" s="5" t="s">
        <v>173</v>
      </c>
      <c r="E1" s="5" t="s">
        <v>174</v>
      </c>
      <c r="F1" s="3" t="s">
        <v>172</v>
      </c>
    </row>
    <row r="2" spans="1:6" x14ac:dyDescent="0.25">
      <c r="A2" s="50">
        <v>43331.621458333335</v>
      </c>
      <c r="B2" s="12"/>
      <c r="C2" s="10"/>
      <c r="D2" s="10"/>
      <c r="E2" s="10"/>
      <c r="F2" s="3" t="s">
        <v>171</v>
      </c>
    </row>
    <row r="3" spans="1:6" x14ac:dyDescent="0.25">
      <c r="A3" s="50">
        <v>43334.714467592596</v>
      </c>
      <c r="B3" s="3" t="s">
        <v>158</v>
      </c>
      <c r="C3" s="13">
        <v>-1</v>
      </c>
      <c r="D3" s="13">
        <v>0</v>
      </c>
      <c r="E3" s="13">
        <v>1</v>
      </c>
      <c r="F3" s="3" t="s">
        <v>199</v>
      </c>
    </row>
    <row r="4" spans="1:6" x14ac:dyDescent="0.25">
      <c r="A4" s="50">
        <v>43334.71466435185</v>
      </c>
      <c r="B4" s="3" t="s">
        <v>38</v>
      </c>
      <c r="C4" s="13">
        <v>-2</v>
      </c>
      <c r="D4" s="13">
        <v>0</v>
      </c>
      <c r="E4" s="13">
        <v>2</v>
      </c>
      <c r="F4" s="3" t="s">
        <v>199</v>
      </c>
    </row>
    <row r="5" spans="1:6" x14ac:dyDescent="0.25">
      <c r="A5" s="50">
        <v>43334.714861111112</v>
      </c>
      <c r="B5" s="3" t="s">
        <v>46</v>
      </c>
      <c r="C5" s="13">
        <v>-10</v>
      </c>
      <c r="D5" s="13">
        <v>6</v>
      </c>
      <c r="E5" s="13">
        <v>16</v>
      </c>
      <c r="F5" s="3" t="s">
        <v>199</v>
      </c>
    </row>
    <row r="6" spans="1:6" x14ac:dyDescent="0.25">
      <c r="A6" s="50">
        <v>43334.718541666669</v>
      </c>
      <c r="B6" s="3" t="s">
        <v>9</v>
      </c>
      <c r="C6" s="13">
        <v>1</v>
      </c>
      <c r="D6" s="13">
        <v>4</v>
      </c>
      <c r="E6" s="13">
        <v>3</v>
      </c>
      <c r="F6" s="3" t="s">
        <v>208</v>
      </c>
    </row>
    <row r="7" spans="1:6" x14ac:dyDescent="0.25">
      <c r="A7" s="50">
        <v>43334.718541666669</v>
      </c>
      <c r="B7" s="3" t="s">
        <v>12</v>
      </c>
      <c r="C7" s="13">
        <v>2</v>
      </c>
      <c r="D7" s="13">
        <v>48</v>
      </c>
      <c r="E7" s="13">
        <v>46</v>
      </c>
      <c r="F7" s="3" t="s">
        <v>208</v>
      </c>
    </row>
    <row r="8" spans="1:6" x14ac:dyDescent="0.25">
      <c r="A8" s="50">
        <v>43334.718541666669</v>
      </c>
      <c r="B8" s="3" t="s">
        <v>14</v>
      </c>
      <c r="C8" s="13">
        <v>1</v>
      </c>
      <c r="D8" s="13">
        <v>49</v>
      </c>
      <c r="E8" s="13">
        <v>48</v>
      </c>
      <c r="F8" s="3" t="s">
        <v>208</v>
      </c>
    </row>
    <row r="9" spans="1:6" x14ac:dyDescent="0.25">
      <c r="A9" s="50">
        <v>43334.718541666669</v>
      </c>
      <c r="B9" s="3" t="s">
        <v>16</v>
      </c>
      <c r="C9" s="13">
        <v>1</v>
      </c>
      <c r="D9" s="13">
        <v>14</v>
      </c>
      <c r="E9" s="13">
        <v>13</v>
      </c>
      <c r="F9" s="3" t="s">
        <v>208</v>
      </c>
    </row>
    <row r="10" spans="1:6" x14ac:dyDescent="0.25">
      <c r="A10" s="50">
        <v>43334.718541666669</v>
      </c>
      <c r="B10" s="3" t="s">
        <v>18</v>
      </c>
      <c r="C10" s="13">
        <v>1</v>
      </c>
      <c r="D10" s="13">
        <v>19</v>
      </c>
      <c r="E10" s="13">
        <v>18</v>
      </c>
      <c r="F10" s="3" t="s">
        <v>208</v>
      </c>
    </row>
    <row r="11" spans="1:6" x14ac:dyDescent="0.25">
      <c r="A11" s="50">
        <v>43334.718541666669</v>
      </c>
      <c r="B11" s="3" t="s">
        <v>22</v>
      </c>
      <c r="C11" s="13">
        <v>1</v>
      </c>
      <c r="D11" s="13">
        <v>9</v>
      </c>
      <c r="E11" s="13">
        <v>8</v>
      </c>
      <c r="F11" s="3" t="s">
        <v>208</v>
      </c>
    </row>
    <row r="12" spans="1:6" x14ac:dyDescent="0.25">
      <c r="A12" s="50">
        <v>43334.718541666669</v>
      </c>
      <c r="B12" s="3" t="s">
        <v>24</v>
      </c>
      <c r="C12" s="13">
        <v>1</v>
      </c>
      <c r="D12" s="13">
        <v>4</v>
      </c>
      <c r="E12" s="13">
        <v>3</v>
      </c>
      <c r="F12" s="3" t="s">
        <v>208</v>
      </c>
    </row>
    <row r="13" spans="1:6" x14ac:dyDescent="0.25">
      <c r="A13" s="50">
        <v>43334.718541666669</v>
      </c>
      <c r="B13" s="3" t="s">
        <v>27</v>
      </c>
      <c r="C13" s="13">
        <v>1</v>
      </c>
      <c r="D13" s="13">
        <v>9</v>
      </c>
      <c r="E13" s="13">
        <v>8</v>
      </c>
      <c r="F13" s="3" t="s">
        <v>208</v>
      </c>
    </row>
    <row r="14" spans="1:6" x14ac:dyDescent="0.25">
      <c r="A14" s="50">
        <v>43334.718541666669</v>
      </c>
      <c r="B14" s="3" t="s">
        <v>118</v>
      </c>
      <c r="C14" s="13">
        <v>19</v>
      </c>
      <c r="D14" s="13">
        <v>100</v>
      </c>
      <c r="E14" s="13">
        <v>81</v>
      </c>
      <c r="F14" s="3" t="s">
        <v>208</v>
      </c>
    </row>
    <row r="15" spans="1:6" x14ac:dyDescent="0.25">
      <c r="A15" s="50">
        <v>43334.718541666669</v>
      </c>
      <c r="B15" s="3" t="s">
        <v>117</v>
      </c>
      <c r="C15" s="13">
        <v>1</v>
      </c>
      <c r="D15" s="13">
        <v>4</v>
      </c>
      <c r="E15" s="13">
        <v>3</v>
      </c>
      <c r="F15" s="3" t="s">
        <v>208</v>
      </c>
    </row>
    <row r="16" spans="1:6" x14ac:dyDescent="0.25">
      <c r="A16" s="50">
        <v>43334.718541666669</v>
      </c>
      <c r="B16" s="3" t="s">
        <v>31</v>
      </c>
      <c r="C16" s="13">
        <v>1</v>
      </c>
      <c r="D16" s="13">
        <v>4</v>
      </c>
      <c r="E16" s="13">
        <v>3</v>
      </c>
      <c r="F16" s="3" t="s">
        <v>208</v>
      </c>
    </row>
    <row r="17" spans="1:6" x14ac:dyDescent="0.25">
      <c r="A17" s="50">
        <v>43334.718541666669</v>
      </c>
      <c r="B17" s="3" t="s">
        <v>34</v>
      </c>
      <c r="C17" s="13">
        <v>1</v>
      </c>
      <c r="D17" s="13">
        <v>4</v>
      </c>
      <c r="E17" s="13">
        <v>3</v>
      </c>
      <c r="F17" s="3" t="s">
        <v>208</v>
      </c>
    </row>
    <row r="18" spans="1:6" x14ac:dyDescent="0.25">
      <c r="A18" s="50">
        <v>43334.718541666669</v>
      </c>
      <c r="B18" s="3" t="s">
        <v>36</v>
      </c>
      <c r="C18" s="13">
        <v>7</v>
      </c>
      <c r="D18" s="13">
        <v>93</v>
      </c>
      <c r="E18" s="13">
        <v>86</v>
      </c>
      <c r="F18" s="3" t="s">
        <v>208</v>
      </c>
    </row>
    <row r="19" spans="1:6" x14ac:dyDescent="0.25">
      <c r="A19" s="50">
        <v>43334.718541666669</v>
      </c>
      <c r="B19" s="3" t="s">
        <v>38</v>
      </c>
      <c r="C19" s="13">
        <v>2</v>
      </c>
      <c r="D19" s="13">
        <v>2</v>
      </c>
      <c r="E19" s="13">
        <v>0</v>
      </c>
      <c r="F19" s="3" t="s">
        <v>208</v>
      </c>
    </row>
    <row r="20" spans="1:6" x14ac:dyDescent="0.25">
      <c r="A20" s="50">
        <v>43334.718541666669</v>
      </c>
      <c r="B20" s="3" t="s">
        <v>40</v>
      </c>
      <c r="C20" s="13">
        <v>0.63888888888888884</v>
      </c>
      <c r="D20" s="13">
        <v>1</v>
      </c>
      <c r="E20" s="13">
        <v>0.36111111111111116</v>
      </c>
      <c r="F20" s="3" t="s">
        <v>208</v>
      </c>
    </row>
    <row r="21" spans="1:6" x14ac:dyDescent="0.25">
      <c r="A21" s="50">
        <v>43334.718541666669</v>
      </c>
      <c r="B21" s="3" t="s">
        <v>43</v>
      </c>
      <c r="C21" s="13">
        <v>1</v>
      </c>
      <c r="D21" s="13">
        <v>24</v>
      </c>
      <c r="E21" s="13">
        <v>23</v>
      </c>
      <c r="F21" s="3" t="s">
        <v>208</v>
      </c>
    </row>
    <row r="22" spans="1:6" x14ac:dyDescent="0.25">
      <c r="A22" s="50">
        <v>43334.718541666669</v>
      </c>
      <c r="B22" s="3" t="s">
        <v>46</v>
      </c>
      <c r="C22" s="13">
        <v>4</v>
      </c>
      <c r="D22" s="13">
        <v>16</v>
      </c>
      <c r="E22" s="13">
        <v>12</v>
      </c>
      <c r="F22" s="3" t="s">
        <v>208</v>
      </c>
    </row>
    <row r="23" spans="1:6" x14ac:dyDescent="0.25">
      <c r="A23" s="50">
        <v>43334.718541666669</v>
      </c>
      <c r="B23" s="3" t="s">
        <v>49</v>
      </c>
      <c r="C23" s="13">
        <v>1</v>
      </c>
      <c r="D23" s="13">
        <v>1</v>
      </c>
      <c r="E23" s="13">
        <v>0</v>
      </c>
      <c r="F23" s="3" t="s">
        <v>208</v>
      </c>
    </row>
    <row r="24" spans="1:6" x14ac:dyDescent="0.25">
      <c r="A24" s="50">
        <v>43334.718541666669</v>
      </c>
      <c r="B24" s="3" t="s">
        <v>52</v>
      </c>
      <c r="C24" s="13">
        <v>1</v>
      </c>
      <c r="D24" s="13">
        <v>9</v>
      </c>
      <c r="E24" s="13">
        <v>8</v>
      </c>
      <c r="F24" s="3" t="s">
        <v>208</v>
      </c>
    </row>
    <row r="25" spans="1:6" x14ac:dyDescent="0.25">
      <c r="A25" s="50">
        <v>43334.718541666669</v>
      </c>
      <c r="B25" s="3" t="s">
        <v>188</v>
      </c>
      <c r="C25" s="13">
        <v>6</v>
      </c>
      <c r="D25" s="13">
        <v>100</v>
      </c>
      <c r="E25" s="13">
        <v>94</v>
      </c>
      <c r="F25" s="3" t="s">
        <v>208</v>
      </c>
    </row>
    <row r="26" spans="1:6" x14ac:dyDescent="0.25">
      <c r="A26" s="50">
        <v>43334.718541666669</v>
      </c>
      <c r="B26" s="3" t="s">
        <v>56</v>
      </c>
      <c r="C26" s="13">
        <v>1</v>
      </c>
      <c r="D26" s="13">
        <v>9</v>
      </c>
      <c r="E26" s="13">
        <v>8</v>
      </c>
      <c r="F26" s="3" t="s">
        <v>208</v>
      </c>
    </row>
    <row r="27" spans="1:6" x14ac:dyDescent="0.25">
      <c r="A27" s="50">
        <v>43334.718541666669</v>
      </c>
      <c r="B27" s="3" t="s">
        <v>59</v>
      </c>
      <c r="C27" s="13">
        <v>1</v>
      </c>
      <c r="D27" s="13">
        <v>19</v>
      </c>
      <c r="E27" s="13">
        <v>18</v>
      </c>
      <c r="F27" s="3" t="s">
        <v>208</v>
      </c>
    </row>
    <row r="28" spans="1:6" x14ac:dyDescent="0.25">
      <c r="A28" s="50">
        <v>43334.718541666669</v>
      </c>
      <c r="B28" s="3" t="s">
        <v>61</v>
      </c>
      <c r="C28" s="13">
        <v>1</v>
      </c>
      <c r="D28" s="13">
        <v>9</v>
      </c>
      <c r="E28" s="13">
        <v>8</v>
      </c>
      <c r="F28" s="3" t="s">
        <v>208</v>
      </c>
    </row>
    <row r="29" spans="1:6" x14ac:dyDescent="0.25">
      <c r="A29" s="50">
        <v>43334.718541666669</v>
      </c>
      <c r="B29" s="3" t="s">
        <v>63</v>
      </c>
      <c r="C29" s="13">
        <v>3</v>
      </c>
      <c r="D29" s="13">
        <v>7</v>
      </c>
      <c r="E29" s="13">
        <v>4</v>
      </c>
      <c r="F29" s="3" t="s">
        <v>208</v>
      </c>
    </row>
    <row r="30" spans="1:6" x14ac:dyDescent="0.25">
      <c r="A30" s="50">
        <v>43334.718541666669</v>
      </c>
      <c r="B30" s="3" t="s">
        <v>139</v>
      </c>
      <c r="C30" s="13">
        <v>1</v>
      </c>
      <c r="D30" s="13">
        <v>1</v>
      </c>
      <c r="E30" s="13">
        <v>0</v>
      </c>
      <c r="F30" s="3" t="s">
        <v>208</v>
      </c>
    </row>
    <row r="31" spans="1:6" x14ac:dyDescent="0.25">
      <c r="A31" s="50">
        <v>43334.718541666669</v>
      </c>
      <c r="B31" s="3" t="s">
        <v>77</v>
      </c>
      <c r="C31" s="13">
        <v>1</v>
      </c>
      <c r="D31" s="13">
        <v>1</v>
      </c>
      <c r="E31" s="13">
        <v>0</v>
      </c>
      <c r="F31" s="3" t="s">
        <v>208</v>
      </c>
    </row>
    <row r="32" spans="1:6" x14ac:dyDescent="0.25">
      <c r="A32" s="50">
        <v>43334.718541666669</v>
      </c>
      <c r="B32" s="3" t="s">
        <v>81</v>
      </c>
      <c r="C32" s="13">
        <v>1</v>
      </c>
      <c r="D32" s="13">
        <v>2</v>
      </c>
      <c r="E32" s="13">
        <v>1</v>
      </c>
      <c r="F32" s="3" t="s">
        <v>208</v>
      </c>
    </row>
    <row r="33" spans="1:6" x14ac:dyDescent="0.25">
      <c r="A33" s="50">
        <v>43334.718541666669</v>
      </c>
      <c r="B33" s="3" t="s">
        <v>158</v>
      </c>
      <c r="C33" s="13">
        <v>1</v>
      </c>
      <c r="D33" s="13">
        <v>1</v>
      </c>
      <c r="E33" s="13">
        <v>0</v>
      </c>
      <c r="F33" s="3" t="s">
        <v>208</v>
      </c>
    </row>
    <row r="34" spans="1:6" x14ac:dyDescent="0.25">
      <c r="A34" s="50">
        <v>43334.718541666669</v>
      </c>
      <c r="B34" s="3" t="s">
        <v>200</v>
      </c>
      <c r="C34" s="13">
        <v>1</v>
      </c>
      <c r="D34" s="13">
        <v>2</v>
      </c>
      <c r="E34" s="13">
        <v>1</v>
      </c>
      <c r="F34" s="3" t="s">
        <v>208</v>
      </c>
    </row>
    <row r="35" spans="1:6" x14ac:dyDescent="0.25">
      <c r="A35" s="50">
        <v>43334.718541666669</v>
      </c>
      <c r="B35" s="3" t="s">
        <v>201</v>
      </c>
      <c r="C35" s="13">
        <v>1</v>
      </c>
      <c r="D35" s="13">
        <v>1</v>
      </c>
      <c r="E35" s="13">
        <v>0</v>
      </c>
      <c r="F35" s="3" t="s">
        <v>208</v>
      </c>
    </row>
    <row r="36" spans="1:6" x14ac:dyDescent="0.25">
      <c r="A36" s="50">
        <v>43334.718541666669</v>
      </c>
      <c r="B36" s="3" t="s">
        <v>202</v>
      </c>
      <c r="C36" s="13">
        <v>1</v>
      </c>
      <c r="D36" s="13">
        <v>1</v>
      </c>
      <c r="E36" s="13">
        <v>0</v>
      </c>
      <c r="F36" s="3" t="s">
        <v>208</v>
      </c>
    </row>
    <row r="37" spans="1:6" x14ac:dyDescent="0.25">
      <c r="A37" s="50">
        <v>43334.718541666669</v>
      </c>
      <c r="B37" s="3" t="s">
        <v>203</v>
      </c>
      <c r="C37" s="13">
        <v>1</v>
      </c>
      <c r="D37" s="13">
        <v>9</v>
      </c>
      <c r="E37" s="13">
        <v>8</v>
      </c>
      <c r="F37" s="3" t="s">
        <v>208</v>
      </c>
    </row>
    <row r="38" spans="1:6" x14ac:dyDescent="0.25">
      <c r="A38" s="50">
        <v>43334.718541666669</v>
      </c>
      <c r="B38" s="3" t="s">
        <v>204</v>
      </c>
      <c r="C38" s="13">
        <v>1</v>
      </c>
      <c r="D38" s="13">
        <v>2</v>
      </c>
      <c r="E38" s="13">
        <v>1</v>
      </c>
      <c r="F38" s="3" t="s">
        <v>208</v>
      </c>
    </row>
    <row r="39" spans="1:6" x14ac:dyDescent="0.25">
      <c r="A39" s="50">
        <v>43334.7190162037</v>
      </c>
      <c r="B39" s="3" t="s">
        <v>54</v>
      </c>
      <c r="C39" s="13">
        <v>4</v>
      </c>
      <c r="D39" s="13">
        <v>4</v>
      </c>
      <c r="E39" s="13">
        <v>0</v>
      </c>
      <c r="F39" s="3" t="s">
        <v>205</v>
      </c>
    </row>
    <row r="40" spans="1:6" x14ac:dyDescent="0.25">
      <c r="A40" s="50">
        <v>43334.719236111108</v>
      </c>
      <c r="B40" s="3" t="s">
        <v>188</v>
      </c>
      <c r="C40" s="13">
        <v>-4</v>
      </c>
      <c r="D40" s="13">
        <v>94</v>
      </c>
      <c r="E40" s="13">
        <v>98</v>
      </c>
      <c r="F40" s="3" t="s">
        <v>205</v>
      </c>
    </row>
    <row r="41" spans="1:6" x14ac:dyDescent="0.25">
      <c r="A41" s="50">
        <v>43334.719768518517</v>
      </c>
      <c r="B41" s="3" t="s">
        <v>179</v>
      </c>
      <c r="C41" s="13">
        <v>1</v>
      </c>
      <c r="D41" s="13">
        <v>2</v>
      </c>
      <c r="E41" s="13">
        <v>1</v>
      </c>
      <c r="F41" s="3" t="s">
        <v>206</v>
      </c>
    </row>
    <row r="42" spans="1:6" x14ac:dyDescent="0.25">
      <c r="A42" s="50">
        <v>43334.72148148148</v>
      </c>
      <c r="B42" s="3">
        <v>61304011021</v>
      </c>
      <c r="C42" s="13">
        <v>-6</v>
      </c>
      <c r="D42" s="13">
        <v>3.85</v>
      </c>
      <c r="E42" s="13">
        <v>9.85</v>
      </c>
      <c r="F42" s="3" t="s">
        <v>207</v>
      </c>
    </row>
    <row r="43" spans="1:6" x14ac:dyDescent="0.25">
      <c r="A43" s="50">
        <v>43334.721782407411</v>
      </c>
      <c r="B43" s="3" t="s">
        <v>113</v>
      </c>
      <c r="C43" s="13">
        <v>6</v>
      </c>
      <c r="D43" s="13">
        <v>3.8</v>
      </c>
      <c r="E43" s="13">
        <v>-2.2000000000000002</v>
      </c>
      <c r="F43" s="3" t="s">
        <v>207</v>
      </c>
    </row>
    <row r="44" spans="1:6" x14ac:dyDescent="0.25">
      <c r="A44" s="50">
        <v>43334.721828703703</v>
      </c>
      <c r="B44" s="3" t="s">
        <v>40</v>
      </c>
      <c r="C44" s="13">
        <v>1</v>
      </c>
      <c r="D44" s="13">
        <v>0.36111111111111099</v>
      </c>
      <c r="E44" s="13">
        <v>-0.63888888888888906</v>
      </c>
      <c r="F44" s="3" t="s">
        <v>207</v>
      </c>
    </row>
    <row r="45" spans="1:6" x14ac:dyDescent="0.25">
      <c r="A45" s="50">
        <v>43334.721898148149</v>
      </c>
      <c r="B45" s="3" t="s">
        <v>188</v>
      </c>
      <c r="C45" s="13">
        <v>1</v>
      </c>
      <c r="D45" s="13">
        <v>98</v>
      </c>
      <c r="E45" s="13">
        <v>97</v>
      </c>
      <c r="F45" s="3" t="s">
        <v>207</v>
      </c>
    </row>
    <row r="46" spans="1:6" x14ac:dyDescent="0.25">
      <c r="A46" s="50">
        <v>43463.663310185184</v>
      </c>
      <c r="B46" s="3" t="s">
        <v>325</v>
      </c>
      <c r="C46" s="13">
        <v>10</v>
      </c>
      <c r="D46" s="13">
        <v>0</v>
      </c>
      <c r="E46" s="13">
        <v>10</v>
      </c>
      <c r="F46" s="3" t="s">
        <v>257</v>
      </c>
    </row>
    <row r="47" spans="1:6" x14ac:dyDescent="0.25">
      <c r="A47" s="50">
        <v>43464.637476851851</v>
      </c>
      <c r="B47" s="3" t="s">
        <v>179</v>
      </c>
      <c r="C47" s="13">
        <v>3</v>
      </c>
      <c r="D47" s="13">
        <v>1</v>
      </c>
      <c r="E47" s="13">
        <v>4</v>
      </c>
      <c r="F47" s="3" t="s">
        <v>275</v>
      </c>
    </row>
    <row r="48" spans="1:6" x14ac:dyDescent="0.25">
      <c r="A48" s="50">
        <v>43464.637476851851</v>
      </c>
      <c r="B48" s="3" t="s">
        <v>215</v>
      </c>
      <c r="C48" s="13">
        <v>5</v>
      </c>
      <c r="D48" s="13">
        <v>0</v>
      </c>
      <c r="E48" s="13">
        <v>5</v>
      </c>
      <c r="F48" s="3" t="s">
        <v>276</v>
      </c>
    </row>
    <row r="49" spans="1:6" x14ac:dyDescent="0.25">
      <c r="A49" s="50">
        <v>43464.637476851851</v>
      </c>
      <c r="B49" s="3" t="s">
        <v>216</v>
      </c>
      <c r="C49" s="13">
        <v>5</v>
      </c>
      <c r="D49" s="13">
        <v>0</v>
      </c>
      <c r="E49" s="13">
        <v>5</v>
      </c>
      <c r="F49" s="3" t="s">
        <v>277</v>
      </c>
    </row>
    <row r="50" spans="1:6" x14ac:dyDescent="0.25">
      <c r="A50" s="50">
        <v>43464.637476851851</v>
      </c>
      <c r="B50" s="3" t="s">
        <v>221</v>
      </c>
      <c r="C50" s="13">
        <v>25</v>
      </c>
      <c r="D50" s="13">
        <v>0</v>
      </c>
      <c r="E50" s="13">
        <v>25</v>
      </c>
      <c r="F50" s="3" t="s">
        <v>278</v>
      </c>
    </row>
    <row r="51" spans="1:6" x14ac:dyDescent="0.25">
      <c r="A51" s="50">
        <v>43464.637476851851</v>
      </c>
      <c r="B51" s="3" t="s">
        <v>225</v>
      </c>
      <c r="C51" s="13">
        <v>5</v>
      </c>
      <c r="D51" s="13">
        <v>0</v>
      </c>
      <c r="E51" s="13">
        <v>5</v>
      </c>
      <c r="F51" s="3" t="s">
        <v>279</v>
      </c>
    </row>
    <row r="52" spans="1:6" x14ac:dyDescent="0.25">
      <c r="A52" s="50">
        <v>43464.637476851851</v>
      </c>
      <c r="B52" s="3" t="s">
        <v>229</v>
      </c>
      <c r="C52" s="13">
        <v>10</v>
      </c>
      <c r="D52" s="13">
        <v>0</v>
      </c>
      <c r="E52" s="13">
        <v>10</v>
      </c>
      <c r="F52" s="3" t="s">
        <v>280</v>
      </c>
    </row>
    <row r="53" spans="1:6" x14ac:dyDescent="0.25">
      <c r="A53" s="50">
        <v>43464.637476851851</v>
      </c>
      <c r="B53" s="3" t="s">
        <v>231</v>
      </c>
      <c r="C53" s="13">
        <v>10</v>
      </c>
      <c r="D53" s="13">
        <v>0</v>
      </c>
      <c r="E53" s="13">
        <v>10</v>
      </c>
      <c r="F53" s="3" t="s">
        <v>281</v>
      </c>
    </row>
    <row r="54" spans="1:6" x14ac:dyDescent="0.25">
      <c r="A54" s="50">
        <v>43464.637476851851</v>
      </c>
      <c r="B54" s="3" t="s">
        <v>234</v>
      </c>
      <c r="C54" s="13">
        <v>5</v>
      </c>
      <c r="D54" s="13">
        <v>0</v>
      </c>
      <c r="E54" s="13">
        <v>5</v>
      </c>
      <c r="F54" s="3" t="s">
        <v>282</v>
      </c>
    </row>
    <row r="55" spans="1:6" x14ac:dyDescent="0.25">
      <c r="A55" s="50">
        <v>43464.637476851851</v>
      </c>
      <c r="B55" s="3" t="s">
        <v>238</v>
      </c>
      <c r="C55" s="13">
        <v>5</v>
      </c>
      <c r="D55" s="13">
        <v>0</v>
      </c>
      <c r="E55" s="13">
        <v>5</v>
      </c>
      <c r="F55" s="3" t="s">
        <v>283</v>
      </c>
    </row>
    <row r="56" spans="1:6" x14ac:dyDescent="0.25">
      <c r="A56" s="50">
        <v>43464.637476851851</v>
      </c>
      <c r="B56" s="3" t="s">
        <v>242</v>
      </c>
      <c r="C56" s="13">
        <v>20</v>
      </c>
      <c r="D56" s="13">
        <v>0</v>
      </c>
      <c r="E56" s="13">
        <v>20</v>
      </c>
      <c r="F56" s="3" t="s">
        <v>284</v>
      </c>
    </row>
    <row r="57" spans="1:6" x14ac:dyDescent="0.25">
      <c r="A57" s="50">
        <v>43464.637476851851</v>
      </c>
      <c r="B57" s="3" t="s">
        <v>250</v>
      </c>
      <c r="C57" s="13">
        <v>100</v>
      </c>
      <c r="D57" s="13">
        <v>0</v>
      </c>
      <c r="E57" s="13">
        <v>100</v>
      </c>
      <c r="F57" s="3" t="s">
        <v>285</v>
      </c>
    </row>
    <row r="58" spans="1:6" x14ac:dyDescent="0.25">
      <c r="A58" s="50">
        <v>43464.637476851851</v>
      </c>
      <c r="B58" s="3" t="s">
        <v>246</v>
      </c>
      <c r="C58" s="13">
        <v>100</v>
      </c>
      <c r="D58" s="13">
        <v>0</v>
      </c>
      <c r="E58" s="13">
        <v>100</v>
      </c>
      <c r="F58" s="3" t="s">
        <v>286</v>
      </c>
    </row>
    <row r="59" spans="1:6" x14ac:dyDescent="0.25">
      <c r="A59" s="50">
        <v>43470.960046296299</v>
      </c>
      <c r="B59" s="3" t="s">
        <v>215</v>
      </c>
      <c r="C59" s="13">
        <v>1</v>
      </c>
      <c r="D59" s="13">
        <v>5</v>
      </c>
      <c r="E59" s="13">
        <v>4</v>
      </c>
      <c r="F59" s="3" t="s">
        <v>213</v>
      </c>
    </row>
    <row r="60" spans="1:6" x14ac:dyDescent="0.25">
      <c r="A60" s="50">
        <v>43470.960046296299</v>
      </c>
      <c r="B60" s="3" t="s">
        <v>216</v>
      </c>
      <c r="C60" s="13">
        <v>1</v>
      </c>
      <c r="D60" s="13">
        <v>5</v>
      </c>
      <c r="E60" s="13">
        <v>4</v>
      </c>
      <c r="F60" s="3" t="s">
        <v>213</v>
      </c>
    </row>
    <row r="61" spans="1:6" x14ac:dyDescent="0.25">
      <c r="A61" s="50">
        <v>43470.960046296299</v>
      </c>
      <c r="B61" s="3" t="s">
        <v>221</v>
      </c>
      <c r="C61" s="13">
        <v>1</v>
      </c>
      <c r="D61" s="13">
        <v>25</v>
      </c>
      <c r="E61" s="13">
        <v>24</v>
      </c>
      <c r="F61" s="3" t="s">
        <v>213</v>
      </c>
    </row>
    <row r="62" spans="1:6" x14ac:dyDescent="0.25">
      <c r="A62" s="50">
        <v>43470.960046296299</v>
      </c>
      <c r="B62" s="3" t="s">
        <v>225</v>
      </c>
      <c r="C62" s="13">
        <v>1</v>
      </c>
      <c r="D62" s="13">
        <v>5</v>
      </c>
      <c r="E62" s="13">
        <v>4</v>
      </c>
      <c r="F62" s="3" t="s">
        <v>213</v>
      </c>
    </row>
    <row r="63" spans="1:6" x14ac:dyDescent="0.25">
      <c r="A63" s="50">
        <v>43470.960046296299</v>
      </c>
      <c r="B63" s="3" t="s">
        <v>229</v>
      </c>
      <c r="C63" s="13">
        <v>1</v>
      </c>
      <c r="D63" s="13">
        <v>10</v>
      </c>
      <c r="E63" s="13">
        <v>9</v>
      </c>
      <c r="F63" s="3" t="s">
        <v>213</v>
      </c>
    </row>
    <row r="64" spans="1:6" x14ac:dyDescent="0.25">
      <c r="A64" s="50">
        <v>43470.960046296299</v>
      </c>
      <c r="B64" s="3" t="s">
        <v>231</v>
      </c>
      <c r="C64" s="13">
        <v>1</v>
      </c>
      <c r="D64" s="13">
        <v>10</v>
      </c>
      <c r="E64" s="13">
        <v>9</v>
      </c>
      <c r="F64" s="3" t="s">
        <v>213</v>
      </c>
    </row>
    <row r="65" spans="1:6" x14ac:dyDescent="0.25">
      <c r="A65" s="50">
        <v>43470.960046296299</v>
      </c>
      <c r="B65" s="3" t="s">
        <v>234</v>
      </c>
      <c r="C65" s="13">
        <v>1</v>
      </c>
      <c r="D65" s="13">
        <v>5</v>
      </c>
      <c r="E65" s="13">
        <v>4</v>
      </c>
      <c r="F65" s="3" t="s">
        <v>213</v>
      </c>
    </row>
    <row r="66" spans="1:6" x14ac:dyDescent="0.25">
      <c r="A66" s="50">
        <v>43470.960046296299</v>
      </c>
      <c r="B66" s="3" t="s">
        <v>238</v>
      </c>
      <c r="C66" s="13">
        <v>1</v>
      </c>
      <c r="D66" s="13">
        <v>5</v>
      </c>
      <c r="E66" s="13">
        <v>4</v>
      </c>
      <c r="F66" s="3" t="s">
        <v>213</v>
      </c>
    </row>
    <row r="67" spans="1:6" x14ac:dyDescent="0.25">
      <c r="A67" s="50">
        <v>43470.960046296299</v>
      </c>
      <c r="B67" s="3" t="s">
        <v>242</v>
      </c>
      <c r="C67" s="13">
        <v>3</v>
      </c>
      <c r="D67" s="13">
        <v>20</v>
      </c>
      <c r="E67" s="13">
        <v>17</v>
      </c>
      <c r="F67" s="3" t="s">
        <v>213</v>
      </c>
    </row>
    <row r="68" spans="1:6" x14ac:dyDescent="0.25">
      <c r="A68" s="50">
        <v>43470.960046296299</v>
      </c>
      <c r="B68" s="3" t="s">
        <v>188</v>
      </c>
      <c r="C68" s="13">
        <v>4</v>
      </c>
      <c r="D68" s="13">
        <v>97</v>
      </c>
      <c r="E68" s="13">
        <v>93</v>
      </c>
      <c r="F68" s="3" t="s">
        <v>213</v>
      </c>
    </row>
    <row r="69" spans="1:6" x14ac:dyDescent="0.25">
      <c r="A69" s="50">
        <v>43470.960046296299</v>
      </c>
      <c r="B69" s="3" t="s">
        <v>36</v>
      </c>
      <c r="C69" s="13">
        <v>2</v>
      </c>
      <c r="D69" s="13">
        <v>86</v>
      </c>
      <c r="E69" s="13">
        <v>84</v>
      </c>
      <c r="F69" s="3" t="s">
        <v>213</v>
      </c>
    </row>
    <row r="70" spans="1:6" x14ac:dyDescent="0.25">
      <c r="A70" s="50">
        <v>43470.960046296299</v>
      </c>
      <c r="B70" s="3" t="s">
        <v>246</v>
      </c>
      <c r="C70" s="13">
        <v>1</v>
      </c>
      <c r="D70" s="13">
        <v>100</v>
      </c>
      <c r="E70" s="13">
        <v>99</v>
      </c>
      <c r="F70" s="3" t="s">
        <v>213</v>
      </c>
    </row>
    <row r="71" spans="1:6" x14ac:dyDescent="0.25">
      <c r="A71" s="50">
        <v>43470.960046296299</v>
      </c>
      <c r="B71" s="3" t="s">
        <v>250</v>
      </c>
      <c r="C71" s="13">
        <v>1</v>
      </c>
      <c r="D71" s="13">
        <v>100</v>
      </c>
      <c r="E71" s="13">
        <v>99</v>
      </c>
      <c r="F71" s="3" t="s">
        <v>213</v>
      </c>
    </row>
    <row r="72" spans="1:6" x14ac:dyDescent="0.25">
      <c r="A72" s="50">
        <v>43470.960046296299</v>
      </c>
      <c r="B72" s="3" t="s">
        <v>325</v>
      </c>
      <c r="C72" s="13">
        <v>1</v>
      </c>
      <c r="D72" s="13">
        <v>10</v>
      </c>
      <c r="E72" s="13">
        <v>9</v>
      </c>
      <c r="F72" s="3" t="s">
        <v>213</v>
      </c>
    </row>
    <row r="73" spans="1:6" x14ac:dyDescent="0.25">
      <c r="A73" s="50">
        <v>43497.628275462965</v>
      </c>
      <c r="B73" s="3" t="s">
        <v>329</v>
      </c>
      <c r="C73" s="13" t="s">
        <v>332</v>
      </c>
      <c r="D73" s="13">
        <v>0</v>
      </c>
      <c r="E73" s="13" t="s">
        <v>332</v>
      </c>
      <c r="F73" s="3" t="s">
        <v>333</v>
      </c>
    </row>
    <row r="74" spans="1:6" x14ac:dyDescent="0.25">
      <c r="A74" s="50">
        <v>43497.784837962965</v>
      </c>
      <c r="B74" s="3" t="s">
        <v>335</v>
      </c>
      <c r="C74" s="13" t="s">
        <v>332</v>
      </c>
      <c r="D74" s="13">
        <v>0</v>
      </c>
      <c r="E74" s="13" t="s">
        <v>332</v>
      </c>
      <c r="F74" s="3" t="s">
        <v>333</v>
      </c>
    </row>
    <row r="75" spans="1:6" x14ac:dyDescent="0.25">
      <c r="A75" s="50">
        <v>43500.455185185187</v>
      </c>
      <c r="B75" s="3" t="s">
        <v>339</v>
      </c>
      <c r="C75" s="13" t="s">
        <v>332</v>
      </c>
      <c r="D75" s="13">
        <v>0</v>
      </c>
      <c r="E75" s="13" t="s">
        <v>332</v>
      </c>
      <c r="F75" s="3" t="s">
        <v>333</v>
      </c>
    </row>
    <row r="76" spans="1:6" x14ac:dyDescent="0.25">
      <c r="A76" s="50">
        <v>43500.457152777781</v>
      </c>
      <c r="B76" s="3" t="s">
        <v>343</v>
      </c>
      <c r="C76" s="13" t="s">
        <v>332</v>
      </c>
      <c r="D76" s="13">
        <v>0</v>
      </c>
      <c r="E76" s="13" t="s">
        <v>332</v>
      </c>
      <c r="F76" s="3" t="s">
        <v>333</v>
      </c>
    </row>
    <row r="77" spans="1:6" x14ac:dyDescent="0.25">
      <c r="A77" s="50">
        <v>43500.458449074074</v>
      </c>
      <c r="B77" s="3" t="s">
        <v>347</v>
      </c>
      <c r="C77" s="13" t="s">
        <v>332</v>
      </c>
      <c r="D77" s="13">
        <v>0</v>
      </c>
      <c r="E77" s="13" t="s">
        <v>332</v>
      </c>
      <c r="F77" s="3" t="s">
        <v>333</v>
      </c>
    </row>
    <row r="78" spans="1:6" x14ac:dyDescent="0.25">
      <c r="A78" s="50">
        <v>43502.505069444444</v>
      </c>
      <c r="B78" s="3" t="s">
        <v>360</v>
      </c>
      <c r="C78" s="13" t="s">
        <v>363</v>
      </c>
      <c r="D78" s="13">
        <v>0</v>
      </c>
      <c r="E78" s="13" t="s">
        <v>363</v>
      </c>
      <c r="F78" s="3" t="s">
        <v>333</v>
      </c>
    </row>
    <row r="79" spans="1:6" x14ac:dyDescent="0.25">
      <c r="A79" s="50">
        <v>43502.508912037039</v>
      </c>
      <c r="B79" s="3" t="s">
        <v>364</v>
      </c>
      <c r="C79" s="13" t="s">
        <v>363</v>
      </c>
      <c r="D79" s="13">
        <v>0</v>
      </c>
      <c r="E79" s="13" t="s">
        <v>363</v>
      </c>
      <c r="F79" s="3" t="s">
        <v>333</v>
      </c>
    </row>
    <row r="80" spans="1:6" x14ac:dyDescent="0.25">
      <c r="A80" s="50">
        <v>43502.509687500002</v>
      </c>
      <c r="B80" s="3" t="s">
        <v>367</v>
      </c>
      <c r="C80" s="13" t="s">
        <v>363</v>
      </c>
      <c r="D80" s="13">
        <v>0</v>
      </c>
      <c r="E80" s="13" t="s">
        <v>363</v>
      </c>
      <c r="F80" s="3" t="s">
        <v>333</v>
      </c>
    </row>
    <row r="81" spans="1:6" x14ac:dyDescent="0.25">
      <c r="A81" s="50">
        <v>43502.509965277779</v>
      </c>
      <c r="B81" s="3" t="s">
        <v>369</v>
      </c>
      <c r="C81" s="13" t="s">
        <v>363</v>
      </c>
      <c r="D81" s="13">
        <v>0</v>
      </c>
      <c r="E81" s="13" t="s">
        <v>363</v>
      </c>
      <c r="F81" s="3" t="s">
        <v>333</v>
      </c>
    </row>
    <row r="82" spans="1:6" x14ac:dyDescent="0.25">
      <c r="A82" s="50">
        <v>43506.582777777781</v>
      </c>
      <c r="B82" s="3" t="s">
        <v>201</v>
      </c>
      <c r="C82" s="13" t="s">
        <v>65</v>
      </c>
      <c r="D82" s="13" t="s">
        <v>65</v>
      </c>
      <c r="E82" s="13" t="s">
        <v>65</v>
      </c>
      <c r="F82" s="3" t="s">
        <v>391</v>
      </c>
    </row>
    <row r="83" spans="1:6" x14ac:dyDescent="0.25">
      <c r="A83" s="50">
        <v>43506.584803240738</v>
      </c>
      <c r="B83" s="3" t="s">
        <v>18</v>
      </c>
      <c r="C83" s="13" t="s">
        <v>65</v>
      </c>
      <c r="D83" s="13" t="s">
        <v>65</v>
      </c>
      <c r="E83" s="13" t="s">
        <v>65</v>
      </c>
      <c r="F83" s="3" t="s">
        <v>391</v>
      </c>
    </row>
    <row r="84" spans="1:6" x14ac:dyDescent="0.25">
      <c r="A84" s="50">
        <v>43506.584965277776</v>
      </c>
      <c r="B84" s="3" t="s">
        <v>101</v>
      </c>
      <c r="C84" s="13" t="s">
        <v>65</v>
      </c>
      <c r="D84" s="13" t="s">
        <v>65</v>
      </c>
      <c r="E84" s="13" t="s">
        <v>65</v>
      </c>
      <c r="F84" s="3" t="s">
        <v>391</v>
      </c>
    </row>
    <row r="85" spans="1:6" x14ac:dyDescent="0.25">
      <c r="A85" s="50">
        <v>43506.585150462961</v>
      </c>
      <c r="B85" s="3" t="s">
        <v>100</v>
      </c>
      <c r="C85" s="13" t="s">
        <v>65</v>
      </c>
      <c r="D85" s="13" t="s">
        <v>65</v>
      </c>
      <c r="E85" s="13" t="s">
        <v>65</v>
      </c>
      <c r="F85" s="3" t="s">
        <v>391</v>
      </c>
    </row>
    <row r="86" spans="1:6" x14ac:dyDescent="0.25">
      <c r="A86" s="50">
        <v>43506.59097222222</v>
      </c>
      <c r="B86" s="3" t="s">
        <v>347</v>
      </c>
      <c r="C86" s="13">
        <v>1</v>
      </c>
      <c r="D86" s="13">
        <v>0</v>
      </c>
      <c r="E86" s="13" t="s">
        <v>363</v>
      </c>
      <c r="F86" s="3" t="s">
        <v>398</v>
      </c>
    </row>
    <row r="87" spans="1:6" x14ac:dyDescent="0.25">
      <c r="A87" s="50">
        <v>43506.591550925928</v>
      </c>
      <c r="B87" s="3" t="s">
        <v>9</v>
      </c>
      <c r="C87" s="13" t="s">
        <v>65</v>
      </c>
      <c r="D87" s="13" t="s">
        <v>65</v>
      </c>
      <c r="E87" s="13" t="s">
        <v>65</v>
      </c>
      <c r="F87" s="3" t="s">
        <v>391</v>
      </c>
    </row>
    <row r="88" spans="1:6" x14ac:dyDescent="0.25">
      <c r="A88" s="50">
        <v>43506.592916666668</v>
      </c>
      <c r="B88" s="3" t="s">
        <v>24</v>
      </c>
      <c r="C88" s="13" t="s">
        <v>65</v>
      </c>
      <c r="D88" s="13" t="s">
        <v>65</v>
      </c>
      <c r="E88" s="13" t="s">
        <v>65</v>
      </c>
      <c r="F88" s="3" t="s">
        <v>391</v>
      </c>
    </row>
    <row r="89" spans="1:6" x14ac:dyDescent="0.25">
      <c r="A89" s="50">
        <v>43506.593032407407</v>
      </c>
      <c r="B89" s="3" t="s">
        <v>22</v>
      </c>
      <c r="C89" s="13" t="s">
        <v>65</v>
      </c>
      <c r="D89" s="13" t="s">
        <v>65</v>
      </c>
      <c r="E89" s="13" t="s">
        <v>65</v>
      </c>
      <c r="F89" s="3" t="s">
        <v>391</v>
      </c>
    </row>
    <row r="90" spans="1:6" x14ac:dyDescent="0.25">
      <c r="A90" s="50">
        <v>43506.593159722222</v>
      </c>
      <c r="B90" s="3" t="s">
        <v>27</v>
      </c>
      <c r="C90" s="13" t="s">
        <v>65</v>
      </c>
      <c r="D90" s="13" t="s">
        <v>65</v>
      </c>
      <c r="E90" s="13" t="s">
        <v>65</v>
      </c>
      <c r="F90" s="3" t="s">
        <v>391</v>
      </c>
    </row>
    <row r="91" spans="1:6" x14ac:dyDescent="0.25">
      <c r="A91" s="50">
        <v>43506.593275462961</v>
      </c>
      <c r="B91" s="3" t="s">
        <v>136</v>
      </c>
      <c r="C91" s="13" t="s">
        <v>65</v>
      </c>
      <c r="D91" s="13" t="s">
        <v>65</v>
      </c>
      <c r="E91" s="13" t="s">
        <v>65</v>
      </c>
      <c r="F91" s="3" t="s">
        <v>391</v>
      </c>
    </row>
    <row r="92" spans="1:6" x14ac:dyDescent="0.25">
      <c r="A92" s="50">
        <v>43506.593391203707</v>
      </c>
      <c r="B92" s="3" t="s">
        <v>221</v>
      </c>
      <c r="C92" s="13" t="s">
        <v>65</v>
      </c>
      <c r="D92" s="13" t="s">
        <v>65</v>
      </c>
      <c r="E92" s="13" t="s">
        <v>65</v>
      </c>
      <c r="F92" s="3" t="s">
        <v>391</v>
      </c>
    </row>
    <row r="93" spans="1:6" x14ac:dyDescent="0.25">
      <c r="A93" s="50">
        <v>43506.5937037037</v>
      </c>
      <c r="B93" s="3" t="s">
        <v>150</v>
      </c>
      <c r="C93" s="13" t="s">
        <v>65</v>
      </c>
      <c r="D93" s="13" t="s">
        <v>65</v>
      </c>
      <c r="E93" s="13" t="s">
        <v>65</v>
      </c>
      <c r="F93" s="3" t="s">
        <v>391</v>
      </c>
    </row>
    <row r="94" spans="1:6" x14ac:dyDescent="0.25">
      <c r="A94" s="50">
        <v>43506.593958333331</v>
      </c>
      <c r="B94" s="3" t="s">
        <v>147</v>
      </c>
      <c r="C94" s="13" t="s">
        <v>65</v>
      </c>
      <c r="D94" s="13" t="s">
        <v>65</v>
      </c>
      <c r="E94" s="13" t="s">
        <v>65</v>
      </c>
      <c r="F94" s="3" t="s">
        <v>391</v>
      </c>
    </row>
    <row r="95" spans="1:6" x14ac:dyDescent="0.25">
      <c r="A95" s="50">
        <v>43506.594108796293</v>
      </c>
      <c r="B95" s="3" t="s">
        <v>215</v>
      </c>
      <c r="C95" s="13" t="s">
        <v>65</v>
      </c>
      <c r="D95" s="13" t="s">
        <v>65</v>
      </c>
      <c r="E95" s="13" t="s">
        <v>65</v>
      </c>
      <c r="F95" s="3" t="s">
        <v>391</v>
      </c>
    </row>
    <row r="96" spans="1:6" x14ac:dyDescent="0.25">
      <c r="A96" s="50">
        <v>43506.594305555554</v>
      </c>
      <c r="B96" s="3" t="s">
        <v>216</v>
      </c>
      <c r="C96" s="13" t="s">
        <v>65</v>
      </c>
      <c r="D96" s="13" t="s">
        <v>65</v>
      </c>
      <c r="E96" s="13" t="s">
        <v>65</v>
      </c>
      <c r="F96" s="3" t="s">
        <v>391</v>
      </c>
    </row>
    <row r="97" spans="1:6" x14ac:dyDescent="0.25">
      <c r="A97" s="50">
        <v>43506.594652777778</v>
      </c>
      <c r="B97" s="3" t="s">
        <v>139</v>
      </c>
      <c r="C97" s="13" t="s">
        <v>65</v>
      </c>
      <c r="D97" s="13" t="s">
        <v>65</v>
      </c>
      <c r="E97" s="13" t="s">
        <v>65</v>
      </c>
      <c r="F97" s="3" t="s">
        <v>391</v>
      </c>
    </row>
    <row r="98" spans="1:6" x14ac:dyDescent="0.25">
      <c r="A98" s="50">
        <v>43506.596284722225</v>
      </c>
      <c r="B98" s="3" t="s">
        <v>20</v>
      </c>
      <c r="C98" s="13" t="s">
        <v>65</v>
      </c>
      <c r="D98" s="13" t="s">
        <v>65</v>
      </c>
      <c r="E98" s="13" t="s">
        <v>65</v>
      </c>
      <c r="F98" s="3" t="s">
        <v>391</v>
      </c>
    </row>
    <row r="99" spans="1:6" x14ac:dyDescent="0.25">
      <c r="A99" s="50">
        <v>43506.596585648149</v>
      </c>
      <c r="B99" s="3" t="s">
        <v>231</v>
      </c>
      <c r="C99" s="13" t="s">
        <v>65</v>
      </c>
      <c r="D99" s="13" t="s">
        <v>65</v>
      </c>
      <c r="E99" s="13" t="s">
        <v>65</v>
      </c>
      <c r="F99" s="3" t="s">
        <v>391</v>
      </c>
    </row>
    <row r="100" spans="1:6" x14ac:dyDescent="0.25">
      <c r="A100" s="50">
        <v>43506.596724537034</v>
      </c>
      <c r="B100" s="3" t="s">
        <v>229</v>
      </c>
      <c r="C100" s="13" t="s">
        <v>65</v>
      </c>
      <c r="D100" s="13" t="s">
        <v>65</v>
      </c>
      <c r="E100" s="13" t="s">
        <v>65</v>
      </c>
      <c r="F100" s="3" t="s">
        <v>391</v>
      </c>
    </row>
    <row r="101" spans="1:6" x14ac:dyDescent="0.25">
      <c r="A101" s="50">
        <v>43506.62771990741</v>
      </c>
      <c r="B101" s="3" t="s">
        <v>9</v>
      </c>
      <c r="C101" s="13">
        <v>1</v>
      </c>
      <c r="D101" s="13">
        <v>3</v>
      </c>
      <c r="E101" s="13">
        <v>4</v>
      </c>
      <c r="F101" s="3" t="s">
        <v>416</v>
      </c>
    </row>
    <row r="102" spans="1:6" x14ac:dyDescent="0.25">
      <c r="A102" s="50">
        <v>43506.62771990741</v>
      </c>
      <c r="B102" s="3" t="s">
        <v>12</v>
      </c>
      <c r="C102" s="13">
        <v>2</v>
      </c>
      <c r="D102" s="13">
        <v>46</v>
      </c>
      <c r="E102" s="13">
        <v>48</v>
      </c>
      <c r="F102" s="3" t="s">
        <v>416</v>
      </c>
    </row>
    <row r="103" spans="1:6" x14ac:dyDescent="0.25">
      <c r="A103" s="50">
        <v>43506.62771990741</v>
      </c>
      <c r="B103" s="3" t="s">
        <v>14</v>
      </c>
      <c r="C103" s="13">
        <v>1</v>
      </c>
      <c r="D103" s="13">
        <v>48</v>
      </c>
      <c r="E103" s="13">
        <v>49</v>
      </c>
      <c r="F103" s="3" t="s">
        <v>416</v>
      </c>
    </row>
    <row r="104" spans="1:6" x14ac:dyDescent="0.25">
      <c r="A104" s="50">
        <v>43506.62771990741</v>
      </c>
      <c r="B104" s="3" t="s">
        <v>16</v>
      </c>
      <c r="C104" s="13">
        <v>1</v>
      </c>
      <c r="D104" s="13">
        <v>13</v>
      </c>
      <c r="E104" s="13">
        <v>14</v>
      </c>
      <c r="F104" s="3" t="s">
        <v>416</v>
      </c>
    </row>
    <row r="105" spans="1:6" x14ac:dyDescent="0.25">
      <c r="A105" s="50">
        <v>43506.62771990741</v>
      </c>
      <c r="B105" s="3" t="s">
        <v>18</v>
      </c>
      <c r="C105" s="13">
        <v>1</v>
      </c>
      <c r="D105" s="13">
        <v>18</v>
      </c>
      <c r="E105" s="13">
        <v>19</v>
      </c>
      <c r="F105" s="3" t="s">
        <v>416</v>
      </c>
    </row>
    <row r="106" spans="1:6" x14ac:dyDescent="0.25">
      <c r="A106" s="50">
        <v>43506.62771990741</v>
      </c>
      <c r="B106" s="3" t="s">
        <v>22</v>
      </c>
      <c r="C106" s="13">
        <v>1</v>
      </c>
      <c r="D106" s="13">
        <v>8</v>
      </c>
      <c r="E106" s="13">
        <v>9</v>
      </c>
      <c r="F106" s="3" t="s">
        <v>416</v>
      </c>
    </row>
    <row r="107" spans="1:6" x14ac:dyDescent="0.25">
      <c r="A107" s="50">
        <v>43506.62771990741</v>
      </c>
      <c r="B107" s="3" t="s">
        <v>24</v>
      </c>
      <c r="C107" s="13">
        <v>1</v>
      </c>
      <c r="D107" s="13">
        <v>3</v>
      </c>
      <c r="E107" s="13">
        <v>4</v>
      </c>
      <c r="F107" s="3" t="s">
        <v>416</v>
      </c>
    </row>
    <row r="108" spans="1:6" x14ac:dyDescent="0.25">
      <c r="A108" s="50">
        <v>43506.62771990741</v>
      </c>
      <c r="B108" s="3" t="s">
        <v>27</v>
      </c>
      <c r="C108" s="13">
        <v>1</v>
      </c>
      <c r="D108" s="13">
        <v>8</v>
      </c>
      <c r="E108" s="13">
        <v>9</v>
      </c>
      <c r="F108" s="3" t="s">
        <v>416</v>
      </c>
    </row>
    <row r="109" spans="1:6" x14ac:dyDescent="0.25">
      <c r="A109" s="50">
        <v>43506.62771990741</v>
      </c>
      <c r="B109" s="3" t="s">
        <v>118</v>
      </c>
      <c r="C109" s="13">
        <v>19</v>
      </c>
      <c r="D109" s="13">
        <v>81</v>
      </c>
      <c r="E109" s="13">
        <v>100</v>
      </c>
      <c r="F109" s="3" t="s">
        <v>416</v>
      </c>
    </row>
    <row r="110" spans="1:6" x14ac:dyDescent="0.25">
      <c r="A110" s="50">
        <v>43506.62771990741</v>
      </c>
      <c r="B110" s="3" t="s">
        <v>117</v>
      </c>
      <c r="C110" s="13">
        <v>1</v>
      </c>
      <c r="D110" s="13">
        <v>3</v>
      </c>
      <c r="E110" s="13">
        <v>4</v>
      </c>
      <c r="F110" s="3" t="s">
        <v>416</v>
      </c>
    </row>
    <row r="111" spans="1:6" x14ac:dyDescent="0.25">
      <c r="A111" s="50">
        <v>43506.62771990741</v>
      </c>
      <c r="B111" s="3" t="s">
        <v>31</v>
      </c>
      <c r="C111" s="13">
        <v>1</v>
      </c>
      <c r="D111" s="13">
        <v>3</v>
      </c>
      <c r="E111" s="13">
        <v>4</v>
      </c>
      <c r="F111" s="3" t="s">
        <v>416</v>
      </c>
    </row>
    <row r="112" spans="1:6" x14ac:dyDescent="0.25">
      <c r="A112" s="50">
        <v>43506.62771990741</v>
      </c>
      <c r="B112" s="3" t="s">
        <v>34</v>
      </c>
      <c r="C112" s="13">
        <v>1</v>
      </c>
      <c r="D112" s="13">
        <v>3</v>
      </c>
      <c r="E112" s="13">
        <v>4</v>
      </c>
      <c r="F112" s="3" t="s">
        <v>416</v>
      </c>
    </row>
    <row r="113" spans="1:6" x14ac:dyDescent="0.25">
      <c r="A113" s="50">
        <v>43506.62771990741</v>
      </c>
      <c r="B113" s="3" t="s">
        <v>36</v>
      </c>
      <c r="C113" s="13">
        <v>7</v>
      </c>
      <c r="D113" s="13">
        <v>84</v>
      </c>
      <c r="E113" s="13">
        <v>91</v>
      </c>
      <c r="F113" s="3" t="s">
        <v>416</v>
      </c>
    </row>
    <row r="114" spans="1:6" x14ac:dyDescent="0.25">
      <c r="A114" s="50">
        <v>43506.62771990741</v>
      </c>
      <c r="B114" s="3" t="s">
        <v>38</v>
      </c>
      <c r="C114" s="13">
        <v>2</v>
      </c>
      <c r="D114" s="13">
        <v>0</v>
      </c>
      <c r="E114" s="13">
        <v>2</v>
      </c>
      <c r="F114" s="3" t="s">
        <v>416</v>
      </c>
    </row>
    <row r="115" spans="1:6" x14ac:dyDescent="0.25">
      <c r="A115" s="50">
        <v>43506.62771990741</v>
      </c>
      <c r="B115" s="3" t="s">
        <v>40</v>
      </c>
      <c r="C115" s="13" t="s">
        <v>417</v>
      </c>
      <c r="D115" s="13">
        <v>-0.63900000000000001</v>
      </c>
      <c r="E115" s="13">
        <v>0</v>
      </c>
      <c r="F115" s="3" t="s">
        <v>416</v>
      </c>
    </row>
    <row r="116" spans="1:6" x14ac:dyDescent="0.25">
      <c r="A116" s="50">
        <v>43506.62771990741</v>
      </c>
      <c r="B116" s="3" t="s">
        <v>43</v>
      </c>
      <c r="C116" s="13">
        <v>1</v>
      </c>
      <c r="D116" s="13">
        <v>23</v>
      </c>
      <c r="E116" s="13">
        <v>24</v>
      </c>
      <c r="F116" s="3" t="s">
        <v>416</v>
      </c>
    </row>
    <row r="117" spans="1:6" x14ac:dyDescent="0.25">
      <c r="A117" s="50">
        <v>43506.62771990741</v>
      </c>
      <c r="B117" s="3" t="s">
        <v>46</v>
      </c>
      <c r="C117" s="13">
        <v>4</v>
      </c>
      <c r="D117" s="13">
        <v>12</v>
      </c>
      <c r="E117" s="13">
        <v>16</v>
      </c>
      <c r="F117" s="3" t="s">
        <v>416</v>
      </c>
    </row>
    <row r="118" spans="1:6" x14ac:dyDescent="0.25">
      <c r="A118" s="50">
        <v>43506.62771990741</v>
      </c>
      <c r="B118" s="3" t="s">
        <v>49</v>
      </c>
      <c r="C118" s="13">
        <v>1</v>
      </c>
      <c r="D118" s="13">
        <v>0</v>
      </c>
      <c r="E118" s="13">
        <v>1</v>
      </c>
      <c r="F118" s="3" t="s">
        <v>416</v>
      </c>
    </row>
    <row r="119" spans="1:6" x14ac:dyDescent="0.25">
      <c r="A119" s="50">
        <v>43506.62771990741</v>
      </c>
      <c r="B119" s="3" t="s">
        <v>52</v>
      </c>
      <c r="C119" s="13">
        <v>1</v>
      </c>
      <c r="D119" s="13">
        <v>8</v>
      </c>
      <c r="E119" s="13">
        <v>9</v>
      </c>
      <c r="F119" s="3" t="s">
        <v>416</v>
      </c>
    </row>
    <row r="120" spans="1:6" x14ac:dyDescent="0.25">
      <c r="A120" s="50">
        <v>43506.62771990741</v>
      </c>
      <c r="B120" s="3" t="s">
        <v>188</v>
      </c>
      <c r="C120" s="13">
        <v>6</v>
      </c>
      <c r="D120" s="13">
        <v>93</v>
      </c>
      <c r="E120" s="13">
        <v>99</v>
      </c>
      <c r="F120" s="3" t="s">
        <v>416</v>
      </c>
    </row>
    <row r="121" spans="1:6" x14ac:dyDescent="0.25">
      <c r="A121" s="50">
        <v>43506.62771990741</v>
      </c>
      <c r="B121" s="3" t="s">
        <v>56</v>
      </c>
      <c r="C121" s="13">
        <v>1</v>
      </c>
      <c r="D121" s="13">
        <v>8</v>
      </c>
      <c r="E121" s="13">
        <v>9</v>
      </c>
      <c r="F121" s="3" t="s">
        <v>416</v>
      </c>
    </row>
    <row r="122" spans="1:6" x14ac:dyDescent="0.25">
      <c r="A122" s="50">
        <v>43506.62771990741</v>
      </c>
      <c r="B122" s="3" t="s">
        <v>59</v>
      </c>
      <c r="C122" s="13">
        <v>1</v>
      </c>
      <c r="D122" s="13">
        <v>18</v>
      </c>
      <c r="E122" s="13">
        <v>19</v>
      </c>
      <c r="F122" s="3" t="s">
        <v>416</v>
      </c>
    </row>
    <row r="123" spans="1:6" x14ac:dyDescent="0.25">
      <c r="A123" s="50">
        <v>43506.62771990741</v>
      </c>
      <c r="B123" s="3" t="s">
        <v>61</v>
      </c>
      <c r="C123" s="13">
        <v>1</v>
      </c>
      <c r="D123" s="13">
        <v>8</v>
      </c>
      <c r="E123" s="13">
        <v>9</v>
      </c>
      <c r="F123" s="3" t="s">
        <v>416</v>
      </c>
    </row>
    <row r="124" spans="1:6" x14ac:dyDescent="0.25">
      <c r="A124" s="50">
        <v>43506.62771990741</v>
      </c>
      <c r="B124" s="3" t="s">
        <v>63</v>
      </c>
      <c r="C124" s="13">
        <v>3</v>
      </c>
      <c r="D124" s="13">
        <v>4</v>
      </c>
      <c r="E124" s="13">
        <v>7</v>
      </c>
      <c r="F124" s="3" t="s">
        <v>416</v>
      </c>
    </row>
    <row r="125" spans="1:6" x14ac:dyDescent="0.25">
      <c r="A125" s="50">
        <v>43506.62771990741</v>
      </c>
      <c r="B125" s="3" t="s">
        <v>139</v>
      </c>
      <c r="C125" s="13">
        <v>1</v>
      </c>
      <c r="D125" s="13">
        <v>0</v>
      </c>
      <c r="E125" s="13">
        <v>1</v>
      </c>
      <c r="F125" s="3" t="s">
        <v>416</v>
      </c>
    </row>
    <row r="126" spans="1:6" x14ac:dyDescent="0.25">
      <c r="A126" s="50">
        <v>43506.62771990741</v>
      </c>
      <c r="B126" s="3" t="s">
        <v>77</v>
      </c>
      <c r="C126" s="13">
        <v>1</v>
      </c>
      <c r="D126" s="13">
        <v>0</v>
      </c>
      <c r="E126" s="13">
        <v>1</v>
      </c>
      <c r="F126" s="3" t="s">
        <v>416</v>
      </c>
    </row>
    <row r="127" spans="1:6" x14ac:dyDescent="0.25">
      <c r="A127" s="50">
        <v>43506.62771990741</v>
      </c>
      <c r="B127" s="3" t="s">
        <v>81</v>
      </c>
      <c r="C127" s="13">
        <v>1</v>
      </c>
      <c r="D127" s="13">
        <v>1</v>
      </c>
      <c r="E127" s="13">
        <v>2</v>
      </c>
      <c r="F127" s="3" t="s">
        <v>416</v>
      </c>
    </row>
    <row r="128" spans="1:6" x14ac:dyDescent="0.25">
      <c r="A128" s="50">
        <v>43506.62771990741</v>
      </c>
      <c r="B128" s="3" t="s">
        <v>158</v>
      </c>
      <c r="C128" s="13">
        <v>1</v>
      </c>
      <c r="D128" s="13">
        <v>0</v>
      </c>
      <c r="E128" s="13">
        <v>1</v>
      </c>
      <c r="F128" s="3" t="s">
        <v>416</v>
      </c>
    </row>
    <row r="129" spans="1:6" x14ac:dyDescent="0.25">
      <c r="A129" s="50">
        <v>43506.62771990741</v>
      </c>
      <c r="B129" s="3">
        <v>1004068</v>
      </c>
      <c r="C129" s="13">
        <v>1</v>
      </c>
      <c r="D129" s="13">
        <v>1</v>
      </c>
      <c r="E129" s="13">
        <v>2</v>
      </c>
      <c r="F129" s="3" t="s">
        <v>416</v>
      </c>
    </row>
    <row r="130" spans="1:6" x14ac:dyDescent="0.25">
      <c r="A130" s="50">
        <v>43506.62771990741</v>
      </c>
      <c r="B130" s="3">
        <v>90990</v>
      </c>
      <c r="C130" s="13">
        <v>1</v>
      </c>
      <c r="D130" s="13">
        <v>0</v>
      </c>
      <c r="E130" s="13">
        <v>1</v>
      </c>
      <c r="F130" s="3" t="s">
        <v>416</v>
      </c>
    </row>
    <row r="131" spans="1:6" x14ac:dyDescent="0.25">
      <c r="A131" s="50">
        <v>43506.62771990741</v>
      </c>
      <c r="B131" s="3">
        <v>912951</v>
      </c>
      <c r="C131" s="13">
        <v>1</v>
      </c>
      <c r="D131" s="13">
        <v>0</v>
      </c>
      <c r="E131" s="13">
        <v>1</v>
      </c>
      <c r="F131" s="3" t="s">
        <v>416</v>
      </c>
    </row>
    <row r="132" spans="1:6" x14ac:dyDescent="0.25">
      <c r="A132" s="50">
        <v>43506.62771990741</v>
      </c>
      <c r="B132" s="3">
        <v>1181876</v>
      </c>
      <c r="C132" s="13">
        <v>1</v>
      </c>
      <c r="D132" s="13">
        <v>8</v>
      </c>
      <c r="E132" s="13">
        <v>9</v>
      </c>
      <c r="F132" s="3" t="s">
        <v>416</v>
      </c>
    </row>
    <row r="133" spans="1:6" x14ac:dyDescent="0.25">
      <c r="A133" s="50">
        <v>43506.62771990741</v>
      </c>
      <c r="B133" s="3">
        <v>965083</v>
      </c>
      <c r="C133" s="13">
        <v>1</v>
      </c>
      <c r="D133" s="13">
        <v>1</v>
      </c>
      <c r="E133" s="13">
        <v>2</v>
      </c>
      <c r="F133" s="3" t="s">
        <v>416</v>
      </c>
    </row>
    <row r="134" spans="1:6" x14ac:dyDescent="0.25">
      <c r="A134" s="50">
        <v>43512.96502314815</v>
      </c>
      <c r="B134" s="3" t="s">
        <v>418</v>
      </c>
      <c r="C134" s="13"/>
      <c r="D134" s="13">
        <v>0</v>
      </c>
      <c r="E134" s="13"/>
      <c r="F134" s="3" t="s">
        <v>333</v>
      </c>
    </row>
    <row r="135" spans="1:6" x14ac:dyDescent="0.25">
      <c r="A135" s="50">
        <v>43512.966874999998</v>
      </c>
      <c r="B135" s="3" t="s">
        <v>418</v>
      </c>
      <c r="C135" s="13" t="s">
        <v>422</v>
      </c>
      <c r="D135" s="13">
        <v>0</v>
      </c>
      <c r="E135" s="13" t="s">
        <v>422</v>
      </c>
      <c r="F135" s="3" t="s">
        <v>333</v>
      </c>
    </row>
    <row r="136" spans="1:6" x14ac:dyDescent="0.25">
      <c r="A136" s="50">
        <v>43519.51699074074</v>
      </c>
      <c r="B136" s="3" t="s">
        <v>326</v>
      </c>
      <c r="C136" s="13" t="s">
        <v>423</v>
      </c>
      <c r="D136" s="13">
        <v>0</v>
      </c>
      <c r="E136" s="13">
        <v>10</v>
      </c>
      <c r="F136" s="3" t="s">
        <v>443</v>
      </c>
    </row>
    <row r="137" spans="1:6" x14ac:dyDescent="0.25">
      <c r="A137" s="50">
        <v>43519.517534722225</v>
      </c>
      <c r="B137" s="3" t="s">
        <v>36</v>
      </c>
      <c r="C137" s="13" t="s">
        <v>65</v>
      </c>
      <c r="D137" s="13" t="s">
        <v>65</v>
      </c>
      <c r="E137" s="13" t="s">
        <v>65</v>
      </c>
      <c r="F137" s="3" t="s">
        <v>442</v>
      </c>
    </row>
    <row r="138" spans="1:6" x14ac:dyDescent="0.25">
      <c r="A138" s="50">
        <v>43519.51771990741</v>
      </c>
      <c r="B138" s="3" t="s">
        <v>12</v>
      </c>
      <c r="C138" s="13" t="s">
        <v>65</v>
      </c>
      <c r="D138" s="13" t="s">
        <v>65</v>
      </c>
      <c r="E138" s="13" t="s">
        <v>65</v>
      </c>
      <c r="F138" s="3" t="s">
        <v>442</v>
      </c>
    </row>
    <row r="139" spans="1:6" x14ac:dyDescent="0.25">
      <c r="A139" s="50">
        <v>43519.518425925926</v>
      </c>
      <c r="B139" s="3" t="s">
        <v>36</v>
      </c>
      <c r="C139" s="13" t="s">
        <v>65</v>
      </c>
      <c r="D139" s="13" t="s">
        <v>65</v>
      </c>
      <c r="E139" s="13" t="s">
        <v>65</v>
      </c>
      <c r="F139" s="3" t="s">
        <v>441</v>
      </c>
    </row>
    <row r="140" spans="1:6" x14ac:dyDescent="0.25">
      <c r="A140" s="50">
        <v>43519.518472222226</v>
      </c>
      <c r="B140" s="3" t="s">
        <v>12</v>
      </c>
      <c r="C140" s="13" t="s">
        <v>65</v>
      </c>
      <c r="D140" s="13" t="s">
        <v>65</v>
      </c>
      <c r="E140" s="13" t="s">
        <v>65</v>
      </c>
      <c r="F140" s="3" t="s">
        <v>441</v>
      </c>
    </row>
    <row r="141" spans="1:6" x14ac:dyDescent="0.25">
      <c r="A141" s="50">
        <v>43519.518576388888</v>
      </c>
      <c r="B141" s="3" t="s">
        <v>321</v>
      </c>
      <c r="C141" s="13" t="s">
        <v>65</v>
      </c>
      <c r="D141" s="13" t="s">
        <v>65</v>
      </c>
      <c r="E141" s="13" t="s">
        <v>65</v>
      </c>
      <c r="F141" s="3" t="s">
        <v>441</v>
      </c>
    </row>
    <row r="142" spans="1:6" x14ac:dyDescent="0.25">
      <c r="A142" s="50">
        <v>43519.518599537034</v>
      </c>
      <c r="B142" s="3" t="s">
        <v>63</v>
      </c>
      <c r="C142" s="13" t="s">
        <v>65</v>
      </c>
      <c r="D142" s="13" t="s">
        <v>65</v>
      </c>
      <c r="E142" s="13" t="s">
        <v>65</v>
      </c>
      <c r="F142" s="3" t="s">
        <v>441</v>
      </c>
    </row>
    <row r="143" spans="1:6" x14ac:dyDescent="0.25">
      <c r="A143" s="50">
        <v>43519.518622685187</v>
      </c>
      <c r="B143" s="3" t="s">
        <v>61</v>
      </c>
      <c r="C143" s="13" t="s">
        <v>65</v>
      </c>
      <c r="D143" s="13" t="s">
        <v>65</v>
      </c>
      <c r="E143" s="13" t="s">
        <v>65</v>
      </c>
      <c r="F143" s="3" t="s">
        <v>441</v>
      </c>
    </row>
    <row r="144" spans="1:6" x14ac:dyDescent="0.25">
      <c r="A144" s="50">
        <v>43519.518657407411</v>
      </c>
      <c r="B144" s="3" t="s">
        <v>59</v>
      </c>
      <c r="C144" s="13" t="s">
        <v>65</v>
      </c>
      <c r="D144" s="13" t="s">
        <v>65</v>
      </c>
      <c r="E144" s="13" t="s">
        <v>65</v>
      </c>
      <c r="F144" s="3" t="s">
        <v>441</v>
      </c>
    </row>
    <row r="145" spans="1:6" x14ac:dyDescent="0.25">
      <c r="A145" s="50">
        <v>43519.518703703703</v>
      </c>
      <c r="B145" s="3" t="s">
        <v>52</v>
      </c>
      <c r="C145" s="13" t="s">
        <v>65</v>
      </c>
      <c r="D145" s="13" t="s">
        <v>65</v>
      </c>
      <c r="E145" s="13" t="s">
        <v>65</v>
      </c>
      <c r="F145" s="3" t="s">
        <v>441</v>
      </c>
    </row>
    <row r="146" spans="1:6" x14ac:dyDescent="0.25">
      <c r="A146" s="50">
        <v>43519.518750000003</v>
      </c>
      <c r="B146" s="3" t="s">
        <v>56</v>
      </c>
      <c r="C146" s="13" t="s">
        <v>65</v>
      </c>
      <c r="D146" s="13" t="s">
        <v>65</v>
      </c>
      <c r="E146" s="13" t="s">
        <v>65</v>
      </c>
      <c r="F146" s="3" t="s">
        <v>441</v>
      </c>
    </row>
    <row r="147" spans="1:6" x14ac:dyDescent="0.25">
      <c r="A147" s="50">
        <v>43519.518773148149</v>
      </c>
      <c r="B147" s="3" t="s">
        <v>320</v>
      </c>
      <c r="C147" s="13" t="s">
        <v>65</v>
      </c>
      <c r="D147" s="13" t="s">
        <v>65</v>
      </c>
      <c r="E147" s="13" t="s">
        <v>65</v>
      </c>
      <c r="F147" s="3" t="s">
        <v>441</v>
      </c>
    </row>
    <row r="148" spans="1:6" x14ac:dyDescent="0.25">
      <c r="A148" s="50">
        <v>43519.518935185188</v>
      </c>
      <c r="B148" s="3" t="s">
        <v>54</v>
      </c>
      <c r="C148" s="13" t="s">
        <v>65</v>
      </c>
      <c r="D148" s="13" t="s">
        <v>65</v>
      </c>
      <c r="E148" s="13" t="s">
        <v>65</v>
      </c>
      <c r="F148" s="3" t="s">
        <v>441</v>
      </c>
    </row>
    <row r="149" spans="1:6" x14ac:dyDescent="0.25">
      <c r="A149" s="50">
        <v>43519.51903935185</v>
      </c>
      <c r="B149" s="3" t="s">
        <v>54</v>
      </c>
      <c r="C149" s="13" t="s">
        <v>65</v>
      </c>
      <c r="D149" s="13" t="s">
        <v>65</v>
      </c>
      <c r="E149" s="13" t="s">
        <v>65</v>
      </c>
      <c r="F149" s="3" t="s">
        <v>441</v>
      </c>
    </row>
    <row r="150" spans="1:6" x14ac:dyDescent="0.25">
      <c r="A150" s="50">
        <v>43540.741203703707</v>
      </c>
      <c r="B150" s="3" t="s">
        <v>347</v>
      </c>
      <c r="C150" s="13">
        <v>-1</v>
      </c>
      <c r="D150" s="13">
        <v>1</v>
      </c>
      <c r="E150" s="13">
        <v>0</v>
      </c>
      <c r="F150" s="3" t="s">
        <v>449</v>
      </c>
    </row>
    <row r="151" spans="1:6" x14ac:dyDescent="0.25">
      <c r="A151" s="50">
        <v>43569.402199074073</v>
      </c>
      <c r="B151" s="3" t="s">
        <v>347</v>
      </c>
      <c r="C151" s="13" t="s">
        <v>363</v>
      </c>
      <c r="D151" s="13">
        <v>0</v>
      </c>
      <c r="E151" s="13">
        <v>1</v>
      </c>
      <c r="F151" s="3" t="s">
        <v>450</v>
      </c>
    </row>
    <row r="152" spans="1:6" x14ac:dyDescent="0.25">
      <c r="A152" s="50">
        <v>43572.368414351855</v>
      </c>
      <c r="B152" s="3" t="s">
        <v>290</v>
      </c>
      <c r="C152" s="13" t="s">
        <v>65</v>
      </c>
      <c r="D152" s="13" t="s">
        <v>65</v>
      </c>
      <c r="E152" s="13" t="s">
        <v>65</v>
      </c>
      <c r="F152" s="3" t="s">
        <v>391</v>
      </c>
    </row>
    <row r="153" spans="1:6" x14ac:dyDescent="0.25">
      <c r="A153" s="50">
        <v>43574.645150462966</v>
      </c>
      <c r="B153" s="3" t="s">
        <v>272</v>
      </c>
      <c r="C153" s="13" t="s">
        <v>332</v>
      </c>
      <c r="D153" s="13">
        <v>0</v>
      </c>
      <c r="E153" s="13" t="s">
        <v>332</v>
      </c>
      <c r="F153" s="3" t="s">
        <v>506</v>
      </c>
    </row>
    <row r="154" spans="1:6" x14ac:dyDescent="0.25">
      <c r="A154" s="50">
        <v>43574.645150462966</v>
      </c>
      <c r="B154" s="3">
        <v>61304011021</v>
      </c>
      <c r="C154" s="13" t="s">
        <v>332</v>
      </c>
      <c r="D154" s="13">
        <v>0</v>
      </c>
      <c r="E154" s="13" t="s">
        <v>332</v>
      </c>
      <c r="F154" s="3" t="s">
        <v>506</v>
      </c>
    </row>
    <row r="155" spans="1:6" x14ac:dyDescent="0.25">
      <c r="A155" s="50">
        <v>43574.645150462966</v>
      </c>
      <c r="B155" s="3" t="s">
        <v>117</v>
      </c>
      <c r="C155" s="13" t="s">
        <v>332</v>
      </c>
      <c r="D155" s="13">
        <v>0</v>
      </c>
      <c r="E155" s="13" t="s">
        <v>332</v>
      </c>
      <c r="F155" s="3" t="s">
        <v>506</v>
      </c>
    </row>
    <row r="156" spans="1:6" x14ac:dyDescent="0.25">
      <c r="A156" s="50">
        <v>43574.645150462966</v>
      </c>
      <c r="B156" s="3" t="s">
        <v>31</v>
      </c>
      <c r="C156" s="13" t="s">
        <v>332</v>
      </c>
      <c r="D156" s="13">
        <v>0</v>
      </c>
      <c r="E156" s="13" t="s">
        <v>332</v>
      </c>
      <c r="F156" s="3" t="s">
        <v>506</v>
      </c>
    </row>
    <row r="157" spans="1:6" x14ac:dyDescent="0.25">
      <c r="A157" s="50">
        <v>43574.645150462966</v>
      </c>
      <c r="B157" s="3" t="s">
        <v>123</v>
      </c>
      <c r="C157" s="13" t="s">
        <v>332</v>
      </c>
      <c r="D157" s="13">
        <v>0</v>
      </c>
      <c r="E157" s="13" t="s">
        <v>332</v>
      </c>
      <c r="F157" s="3" t="s">
        <v>506</v>
      </c>
    </row>
    <row r="158" spans="1:6" x14ac:dyDescent="0.25">
      <c r="A158" s="50">
        <v>43574.645150462966</v>
      </c>
      <c r="B158" s="3" t="s">
        <v>118</v>
      </c>
      <c r="C158" s="13" t="s">
        <v>332</v>
      </c>
      <c r="D158" s="13">
        <v>0</v>
      </c>
      <c r="E158" s="13" t="s">
        <v>332</v>
      </c>
      <c r="F158" s="3" t="s">
        <v>506</v>
      </c>
    </row>
    <row r="159" spans="1:6" x14ac:dyDescent="0.25">
      <c r="A159" s="50">
        <v>43574.645150462966</v>
      </c>
      <c r="B159" s="3" t="s">
        <v>473</v>
      </c>
      <c r="C159" s="13" t="s">
        <v>332</v>
      </c>
      <c r="D159" s="13">
        <v>0</v>
      </c>
      <c r="E159" s="13" t="s">
        <v>332</v>
      </c>
      <c r="F159" s="3" t="s">
        <v>506</v>
      </c>
    </row>
    <row r="160" spans="1:6" x14ac:dyDescent="0.25">
      <c r="A160" s="50">
        <v>43574.645162037035</v>
      </c>
      <c r="B160" s="3" t="s">
        <v>474</v>
      </c>
      <c r="C160" s="13" t="s">
        <v>332</v>
      </c>
      <c r="D160" s="13">
        <v>0</v>
      </c>
      <c r="E160" s="13" t="s">
        <v>332</v>
      </c>
      <c r="F160" s="3" t="s">
        <v>506</v>
      </c>
    </row>
    <row r="161" spans="1:6" x14ac:dyDescent="0.25">
      <c r="A161" s="50">
        <v>43574.645162037035</v>
      </c>
      <c r="B161" s="3" t="s">
        <v>38</v>
      </c>
      <c r="C161" s="13" t="s">
        <v>332</v>
      </c>
      <c r="D161" s="13">
        <v>0</v>
      </c>
      <c r="E161" s="13" t="s">
        <v>332</v>
      </c>
      <c r="F161" s="3" t="s">
        <v>506</v>
      </c>
    </row>
    <row r="162" spans="1:6" x14ac:dyDescent="0.25">
      <c r="A162" s="50">
        <v>43574.645162037035</v>
      </c>
      <c r="B162" s="3" t="s">
        <v>133</v>
      </c>
      <c r="C162" s="13" t="s">
        <v>332</v>
      </c>
      <c r="D162" s="13">
        <v>0</v>
      </c>
      <c r="E162" s="13" t="s">
        <v>332</v>
      </c>
      <c r="F162" s="3" t="s">
        <v>506</v>
      </c>
    </row>
    <row r="163" spans="1:6" x14ac:dyDescent="0.25">
      <c r="A163" s="50">
        <v>43574.645162037035</v>
      </c>
      <c r="B163" s="3" t="s">
        <v>90</v>
      </c>
      <c r="C163" s="13" t="s">
        <v>332</v>
      </c>
      <c r="D163" s="13">
        <v>0</v>
      </c>
      <c r="E163" s="13" t="s">
        <v>332</v>
      </c>
      <c r="F163" s="3" t="s">
        <v>506</v>
      </c>
    </row>
    <row r="164" spans="1:6" x14ac:dyDescent="0.25">
      <c r="A164" s="50">
        <v>43574.645162037035</v>
      </c>
      <c r="B164" s="3" t="s">
        <v>477</v>
      </c>
      <c r="C164" s="13" t="s">
        <v>332</v>
      </c>
      <c r="D164" s="13">
        <v>0</v>
      </c>
      <c r="E164" s="13" t="s">
        <v>332</v>
      </c>
      <c r="F164" s="3" t="s">
        <v>506</v>
      </c>
    </row>
    <row r="165" spans="1:6" x14ac:dyDescent="0.25">
      <c r="A165" s="50">
        <v>43574.645162037035</v>
      </c>
      <c r="B165" s="3" t="s">
        <v>46</v>
      </c>
      <c r="C165" s="13" t="s">
        <v>332</v>
      </c>
      <c r="D165" s="13">
        <v>0</v>
      </c>
      <c r="E165" s="13" t="s">
        <v>332</v>
      </c>
      <c r="F165" s="3" t="s">
        <v>506</v>
      </c>
    </row>
    <row r="166" spans="1:6" x14ac:dyDescent="0.25">
      <c r="A166" s="50">
        <v>43574.645162037035</v>
      </c>
      <c r="B166" s="3" t="s">
        <v>24</v>
      </c>
      <c r="C166" s="13" t="s">
        <v>332</v>
      </c>
      <c r="D166" s="13">
        <v>0</v>
      </c>
      <c r="E166" s="13" t="s">
        <v>332</v>
      </c>
      <c r="F166" s="3" t="s">
        <v>506</v>
      </c>
    </row>
    <row r="167" spans="1:6" x14ac:dyDescent="0.25">
      <c r="A167" s="50">
        <v>43574.645162037035</v>
      </c>
      <c r="B167" s="3" t="s">
        <v>27</v>
      </c>
      <c r="C167" s="13" t="s">
        <v>332</v>
      </c>
      <c r="D167" s="13">
        <v>0</v>
      </c>
      <c r="E167" s="13" t="s">
        <v>332</v>
      </c>
      <c r="F167" s="3" t="s">
        <v>506</v>
      </c>
    </row>
    <row r="168" spans="1:6" x14ac:dyDescent="0.25">
      <c r="A168" s="50">
        <v>43574.645173611112</v>
      </c>
      <c r="B168" s="3" t="s">
        <v>43</v>
      </c>
      <c r="C168" s="13" t="s">
        <v>332</v>
      </c>
      <c r="D168" s="13">
        <v>0</v>
      </c>
      <c r="E168" s="13" t="s">
        <v>332</v>
      </c>
      <c r="F168" s="3" t="s">
        <v>506</v>
      </c>
    </row>
    <row r="169" spans="1:6" x14ac:dyDescent="0.25">
      <c r="A169" s="50">
        <v>43574.645173611112</v>
      </c>
      <c r="B169" s="3" t="s">
        <v>49</v>
      </c>
      <c r="C169" s="13" t="s">
        <v>332</v>
      </c>
      <c r="D169" s="13">
        <v>0</v>
      </c>
      <c r="E169" s="13" t="s">
        <v>332</v>
      </c>
      <c r="F169" s="3" t="s">
        <v>506</v>
      </c>
    </row>
    <row r="170" spans="1:6" x14ac:dyDescent="0.25">
      <c r="A170" s="50">
        <v>43574.645173611112</v>
      </c>
      <c r="B170" s="3" t="s">
        <v>36</v>
      </c>
      <c r="C170" s="13" t="s">
        <v>332</v>
      </c>
      <c r="D170" s="13">
        <v>0</v>
      </c>
      <c r="E170" s="13" t="s">
        <v>332</v>
      </c>
      <c r="F170" s="3" t="s">
        <v>506</v>
      </c>
    </row>
    <row r="171" spans="1:6" x14ac:dyDescent="0.25">
      <c r="A171" s="50">
        <v>43574.754791666666</v>
      </c>
      <c r="B171" s="3" t="s">
        <v>272</v>
      </c>
      <c r="C171" s="13">
        <v>1</v>
      </c>
      <c r="D171" s="13">
        <v>4</v>
      </c>
      <c r="E171" s="13" t="s">
        <v>422</v>
      </c>
      <c r="F171" s="3" t="s">
        <v>516</v>
      </c>
    </row>
    <row r="172" spans="1:6" x14ac:dyDescent="0.25">
      <c r="A172" s="50">
        <v>43574.755428240744</v>
      </c>
      <c r="B172" s="3">
        <v>61304011021</v>
      </c>
      <c r="C172" s="13" t="s">
        <v>363</v>
      </c>
      <c r="D172" s="13">
        <v>8.85</v>
      </c>
      <c r="E172" s="13">
        <v>9.85</v>
      </c>
      <c r="F172" s="3" t="s">
        <v>516</v>
      </c>
    </row>
    <row r="173" spans="1:6" x14ac:dyDescent="0.25">
      <c r="A173" s="50">
        <v>43574.755497685182</v>
      </c>
      <c r="B173" s="3" t="s">
        <v>117</v>
      </c>
      <c r="C173" s="13" t="s">
        <v>363</v>
      </c>
      <c r="D173" s="13">
        <v>3</v>
      </c>
      <c r="E173" s="13">
        <v>4</v>
      </c>
      <c r="F173" s="3" t="s">
        <v>516</v>
      </c>
    </row>
    <row r="174" spans="1:6" x14ac:dyDescent="0.25">
      <c r="A174" s="50">
        <v>43574.755694444444</v>
      </c>
      <c r="B174" s="3" t="s">
        <v>31</v>
      </c>
      <c r="C174" s="13" t="s">
        <v>363</v>
      </c>
      <c r="D174" s="13">
        <v>3</v>
      </c>
      <c r="E174" s="13">
        <v>4</v>
      </c>
      <c r="F174" s="3" t="s">
        <v>516</v>
      </c>
    </row>
    <row r="175" spans="1:6" x14ac:dyDescent="0.25">
      <c r="A175" s="50">
        <v>43574.755856481483</v>
      </c>
      <c r="B175" s="3" t="s">
        <v>123</v>
      </c>
      <c r="C175" s="13" t="s">
        <v>363</v>
      </c>
      <c r="D175" s="13">
        <v>18</v>
      </c>
      <c r="E175" s="13">
        <v>19</v>
      </c>
      <c r="F175" s="3" t="s">
        <v>516</v>
      </c>
    </row>
    <row r="176" spans="1:6" x14ac:dyDescent="0.25">
      <c r="A176" s="50">
        <v>43574.755891203706</v>
      </c>
      <c r="B176" s="3" t="s">
        <v>118</v>
      </c>
      <c r="C176" s="13" t="s">
        <v>363</v>
      </c>
      <c r="D176" s="13">
        <v>99</v>
      </c>
      <c r="E176" s="13">
        <v>100</v>
      </c>
      <c r="F176" s="3" t="s">
        <v>516</v>
      </c>
    </row>
    <row r="177" spans="1:6" x14ac:dyDescent="0.25">
      <c r="A177" s="50">
        <v>43574.756099537037</v>
      </c>
      <c r="B177" s="3" t="s">
        <v>38</v>
      </c>
      <c r="C177" s="13" t="s">
        <v>363</v>
      </c>
      <c r="D177" s="13">
        <v>1</v>
      </c>
      <c r="E177" s="13">
        <v>2</v>
      </c>
      <c r="F177" s="3" t="s">
        <v>516</v>
      </c>
    </row>
    <row r="178" spans="1:6" x14ac:dyDescent="0.25">
      <c r="A178" s="50">
        <v>43574.756180555552</v>
      </c>
      <c r="B178" s="3" t="s">
        <v>133</v>
      </c>
      <c r="C178" s="13" t="s">
        <v>363</v>
      </c>
      <c r="D178" s="13">
        <v>9</v>
      </c>
      <c r="E178" s="13">
        <v>10</v>
      </c>
      <c r="F178" s="3" t="s">
        <v>516</v>
      </c>
    </row>
    <row r="179" spans="1:6" x14ac:dyDescent="0.25">
      <c r="A179" s="50">
        <v>43574.756296296298</v>
      </c>
      <c r="B179" s="3" t="s">
        <v>90</v>
      </c>
      <c r="C179" s="13" t="s">
        <v>363</v>
      </c>
      <c r="D179" s="13">
        <v>-1</v>
      </c>
      <c r="E179" s="13">
        <v>0</v>
      </c>
      <c r="F179" s="3" t="s">
        <v>516</v>
      </c>
    </row>
    <row r="180" spans="1:6" x14ac:dyDescent="0.25">
      <c r="A180" s="50">
        <v>43574.75640046296</v>
      </c>
      <c r="B180" s="3" t="s">
        <v>46</v>
      </c>
      <c r="C180" s="13" t="s">
        <v>363</v>
      </c>
      <c r="D180" s="13">
        <v>15</v>
      </c>
      <c r="E180" s="13">
        <v>16</v>
      </c>
      <c r="F180" s="3" t="s">
        <v>516</v>
      </c>
    </row>
    <row r="181" spans="1:6" x14ac:dyDescent="0.25">
      <c r="A181" s="50">
        <v>43574.756585648145</v>
      </c>
      <c r="B181" s="3" t="s">
        <v>24</v>
      </c>
      <c r="C181" s="13" t="s">
        <v>363</v>
      </c>
      <c r="D181" s="13">
        <v>3</v>
      </c>
      <c r="E181" s="13">
        <v>4</v>
      </c>
      <c r="F181" s="3" t="s">
        <v>516</v>
      </c>
    </row>
    <row r="182" spans="1:6" x14ac:dyDescent="0.25">
      <c r="A182" s="50">
        <v>43574.756793981483</v>
      </c>
      <c r="B182" s="3" t="s">
        <v>27</v>
      </c>
      <c r="C182" s="13" t="s">
        <v>363</v>
      </c>
      <c r="D182" s="13">
        <v>8</v>
      </c>
      <c r="E182" s="13">
        <v>9</v>
      </c>
      <c r="F182" s="3" t="s">
        <v>516</v>
      </c>
    </row>
    <row r="183" spans="1:6" x14ac:dyDescent="0.25">
      <c r="A183" s="50">
        <v>43574.756944444445</v>
      </c>
      <c r="B183" s="3" t="s">
        <v>43</v>
      </c>
      <c r="C183" s="13" t="s">
        <v>363</v>
      </c>
      <c r="D183" s="13">
        <v>23</v>
      </c>
      <c r="E183" s="13">
        <v>24</v>
      </c>
      <c r="F183" s="3" t="s">
        <v>516</v>
      </c>
    </row>
    <row r="184" spans="1:6" x14ac:dyDescent="0.25">
      <c r="A184" s="50">
        <v>43574.757152777776</v>
      </c>
      <c r="B184" s="3" t="s">
        <v>49</v>
      </c>
      <c r="C184" s="13" t="s">
        <v>363</v>
      </c>
      <c r="D184" s="13">
        <v>0</v>
      </c>
      <c r="E184" s="13">
        <v>1</v>
      </c>
      <c r="F184" s="3" t="s">
        <v>516</v>
      </c>
    </row>
    <row r="185" spans="1:6" x14ac:dyDescent="0.25">
      <c r="A185" s="50">
        <v>43574.757256944446</v>
      </c>
      <c r="B185" s="3" t="s">
        <v>36</v>
      </c>
      <c r="C185" s="13" t="s">
        <v>363</v>
      </c>
      <c r="D185" s="13">
        <v>90</v>
      </c>
      <c r="E185" s="13">
        <v>91</v>
      </c>
      <c r="F185" s="3" t="s">
        <v>516</v>
      </c>
    </row>
  </sheetData>
  <conditionalFormatting sqref="B40">
    <cfRule type="duplicateValues" dxfId="152" priority="6"/>
  </conditionalFormatting>
  <conditionalFormatting sqref="B41">
    <cfRule type="duplicateValues" dxfId="151" priority="5"/>
  </conditionalFormatting>
  <conditionalFormatting sqref="B42">
    <cfRule type="duplicateValues" dxfId="150" priority="4"/>
  </conditionalFormatting>
  <conditionalFormatting sqref="B43">
    <cfRule type="duplicateValues" dxfId="149" priority="3"/>
  </conditionalFormatting>
  <conditionalFormatting sqref="B44">
    <cfRule type="duplicateValues" dxfId="148" priority="2"/>
  </conditionalFormatting>
  <conditionalFormatting sqref="B45">
    <cfRule type="duplicateValues" dxfId="147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708C-2AF7-4A45-8EEB-3D20225C7C88}">
  <sheetPr codeName="Sheet14">
    <tabColor theme="9" tint="0.59999389629810485"/>
  </sheetPr>
  <dimension ref="A1:Z100"/>
  <sheetViews>
    <sheetView topLeftCell="L1" zoomScaleNormal="100" workbookViewId="0">
      <pane ySplit="1" topLeftCell="A91" activePane="bottomLeft" state="frozen"/>
      <selection activeCell="F1" sqref="F1"/>
      <selection pane="bottomLeft" activeCell="L91" sqref="A91:XFD91"/>
    </sheetView>
  </sheetViews>
  <sheetFormatPr defaultRowHeight="15" x14ac:dyDescent="0.25"/>
  <cols>
    <col min="1" max="1" width="26.85546875" bestFit="1" customWidth="1"/>
    <col min="2" max="2" width="38.85546875" bestFit="1" customWidth="1"/>
    <col min="3" max="3" width="11.140625" bestFit="1" customWidth="1"/>
    <col min="4" max="4" width="80.85546875" bestFit="1" customWidth="1"/>
    <col min="5" max="5" width="10" bestFit="1" customWidth="1"/>
    <col min="6" max="6" width="14" bestFit="1" customWidth="1"/>
    <col min="7" max="7" width="13.140625" bestFit="1" customWidth="1"/>
    <col min="8" max="8" width="21.5703125" style="34" bestFit="1" customWidth="1"/>
    <col min="9" max="9" width="19.140625" style="33" bestFit="1" customWidth="1"/>
    <col min="10" max="10" width="32.5703125" style="17" bestFit="1" customWidth="1"/>
    <col min="11" max="11" width="12" style="33" bestFit="1" customWidth="1"/>
    <col min="12" max="12" width="21.140625" style="17" bestFit="1" customWidth="1"/>
    <col min="13" max="13" width="13" style="33" bestFit="1" customWidth="1"/>
    <col min="14" max="14" width="22.85546875" style="17" bestFit="1" customWidth="1"/>
    <col min="15" max="15" width="13" style="33" bestFit="1" customWidth="1"/>
    <col min="16" max="16" width="21.28515625" style="17" bestFit="1" customWidth="1"/>
    <col min="17" max="17" width="13" style="33" bestFit="1" customWidth="1"/>
    <col min="18" max="18" width="21.85546875" style="17" bestFit="1" customWidth="1"/>
    <col min="19" max="19" width="13" style="33" bestFit="1" customWidth="1"/>
    <col min="20" max="20" width="24.42578125" style="17" bestFit="1" customWidth="1"/>
    <col min="21" max="21" width="13" style="33" bestFit="1" customWidth="1"/>
    <col min="22" max="22" width="23.85546875" style="17" bestFit="1" customWidth="1"/>
    <col min="23" max="23" width="13" style="33" bestFit="1" customWidth="1"/>
    <col min="24" max="24" width="19.85546875" style="33" customWidth="1"/>
    <col min="25" max="25" width="13" style="33" customWidth="1"/>
    <col min="26" max="26" width="14.7109375" bestFit="1" customWidth="1"/>
    <col min="27" max="27" width="17.140625" customWidth="1"/>
    <col min="28" max="28" width="10.28515625" bestFit="1" customWidth="1"/>
    <col min="33" max="33" width="10" bestFit="1" customWidth="1"/>
    <col min="34" max="34" width="12" bestFit="1" customWidth="1"/>
    <col min="35" max="35" width="14" bestFit="1" customWidth="1"/>
    <col min="36" max="36" width="17.140625" bestFit="1" customWidth="1"/>
  </cols>
  <sheetData>
    <row r="1" spans="1:26" ht="15.75" thickBot="1" x14ac:dyDescent="0.3">
      <c r="A1" s="35" t="s">
        <v>490</v>
      </c>
      <c r="B1" s="35" t="s">
        <v>6</v>
      </c>
      <c r="C1" s="35" t="s">
        <v>351</v>
      </c>
      <c r="D1" s="35" t="s">
        <v>2</v>
      </c>
      <c r="E1" s="35" t="s">
        <v>3</v>
      </c>
      <c r="F1" s="35" t="s">
        <v>452</v>
      </c>
      <c r="G1" s="35" t="s">
        <v>519</v>
      </c>
      <c r="H1" s="36" t="s">
        <v>517</v>
      </c>
      <c r="I1" s="37" t="s">
        <v>518</v>
      </c>
      <c r="J1" s="38" t="s">
        <v>485</v>
      </c>
      <c r="K1" s="37" t="s">
        <v>8</v>
      </c>
      <c r="L1" s="38" t="s">
        <v>487</v>
      </c>
      <c r="M1" s="37" t="s">
        <v>493</v>
      </c>
      <c r="N1" s="38" t="s">
        <v>486</v>
      </c>
      <c r="O1" s="37" t="s">
        <v>494</v>
      </c>
      <c r="P1" s="38" t="s">
        <v>489</v>
      </c>
      <c r="Q1" s="37" t="s">
        <v>495</v>
      </c>
      <c r="R1" s="38" t="s">
        <v>488</v>
      </c>
      <c r="S1" s="37" t="s">
        <v>496</v>
      </c>
      <c r="T1" s="38" t="s">
        <v>491</v>
      </c>
      <c r="U1" s="37" t="s">
        <v>497</v>
      </c>
      <c r="V1" s="38" t="s">
        <v>492</v>
      </c>
      <c r="W1" s="37" t="s">
        <v>498</v>
      </c>
      <c r="X1" s="37" t="s">
        <v>521</v>
      </c>
      <c r="Y1" s="37" t="s">
        <v>520</v>
      </c>
      <c r="Z1" s="35" t="s">
        <v>507</v>
      </c>
    </row>
    <row r="2" spans="1:26" x14ac:dyDescent="0.25">
      <c r="A2" s="39">
        <v>90990</v>
      </c>
      <c r="B2" s="40" t="s">
        <v>65</v>
      </c>
      <c r="C2" s="40" t="s">
        <v>352</v>
      </c>
      <c r="D2" s="40" t="s">
        <v>390</v>
      </c>
      <c r="E2" s="40">
        <v>1</v>
      </c>
      <c r="F2" s="40">
        <f>10</f>
        <v>10</v>
      </c>
      <c r="G2" s="40">
        <f>1</f>
        <v>1</v>
      </c>
      <c r="H2" s="41" t="str">
        <f t="array" ref="H2">IF(ISERROR(INDEX(Articles!$J2:$W2, MATCH(FALSE, ISBLANK(Articles!$J2:$W2),0))),"N/A",INDEX(Articles!$J2:$W2, MATCH(FALSE, ISBLANK(Articles!$J2:$W2),0)))</f>
        <v>90990</v>
      </c>
      <c r="I2" s="42">
        <f t="array" aca="1" ref="I2" ca="1">IF(ISERROR(OFFSET(INDEX(Articles!$J2:$Y2, MATCH(FALSE, ISBLANK(Articles!$J2:$Y2),0)),0,1)),"N/A",OFFSET(INDEX(Articles!$J2:$Y2, MATCH(FALSE, ISBLANK(Articles!$J2:$Y2),0)),0,1))</f>
        <v>13.1</v>
      </c>
      <c r="J2" s="39"/>
      <c r="K2" s="42"/>
      <c r="L2" s="39"/>
      <c r="M2" s="42"/>
      <c r="N2" s="39"/>
      <c r="O2" s="42"/>
      <c r="P2" s="39"/>
      <c r="Q2" s="42"/>
      <c r="R2" s="39"/>
      <c r="S2" s="42"/>
      <c r="T2" s="39"/>
      <c r="U2" s="42"/>
      <c r="V2" s="39" t="s">
        <v>201</v>
      </c>
      <c r="W2" s="42">
        <v>13.1</v>
      </c>
      <c r="X2" s="42"/>
      <c r="Y2" s="42"/>
      <c r="Z2" s="40">
        <f>IF(Articles!$G2=1,IF(Articles!$E2&lt;Articles!$F2,1,""),"")</f>
        <v>1</v>
      </c>
    </row>
    <row r="3" spans="1:26" x14ac:dyDescent="0.25">
      <c r="A3" s="43">
        <v>912951</v>
      </c>
      <c r="B3" s="44" t="s">
        <v>65</v>
      </c>
      <c r="C3" s="44" t="s">
        <v>352</v>
      </c>
      <c r="D3" s="44" t="s">
        <v>85</v>
      </c>
      <c r="E3" s="44">
        <v>1</v>
      </c>
      <c r="F3" s="44">
        <f>10</f>
        <v>10</v>
      </c>
      <c r="G3" s="44">
        <f>1</f>
        <v>1</v>
      </c>
      <c r="H3" s="45">
        <f t="array" ref="H3">IF(ISERROR(INDEX(Articles!$J3:$W3, MATCH(FALSE, ISBLANK(Articles!$J3:$W3),0))),"N/A",INDEX(Articles!$J3:$W3, MATCH(FALSE, ISBLANK(Articles!$J3:$W3),0)))</f>
        <v>912951</v>
      </c>
      <c r="I3" s="46">
        <f t="array" aca="1" ref="I3" ca="1">IF(ISERROR(OFFSET(INDEX(Articles!$J3:$Y3, MATCH(FALSE, ISBLANK(Articles!$J3:$Y3),0)),0,1)),"N/A",OFFSET(INDEX(Articles!$J3:$Y3, MATCH(FALSE, ISBLANK(Articles!$J3:$Y3),0)),0,1))</f>
        <v>3.43</v>
      </c>
      <c r="J3" s="43"/>
      <c r="K3" s="46"/>
      <c r="L3" s="43"/>
      <c r="M3" s="46"/>
      <c r="N3" s="43"/>
      <c r="O3" s="46"/>
      <c r="P3" s="43"/>
      <c r="Q3" s="46"/>
      <c r="R3" s="43"/>
      <c r="S3" s="46"/>
      <c r="T3" s="43"/>
      <c r="U3" s="46"/>
      <c r="V3" s="43">
        <v>912951</v>
      </c>
      <c r="W3" s="46">
        <v>3.43</v>
      </c>
      <c r="X3" s="46"/>
      <c r="Y3" s="46"/>
      <c r="Z3" s="44">
        <f>IF(Articles!$G3=1,IF(Articles!$E3&lt;Articles!$F3,1,""),"")</f>
        <v>1</v>
      </c>
    </row>
    <row r="4" spans="1:26" x14ac:dyDescent="0.25">
      <c r="A4" s="43">
        <v>965083</v>
      </c>
      <c r="B4" s="44" t="s">
        <v>65</v>
      </c>
      <c r="C4" s="44" t="s">
        <v>352</v>
      </c>
      <c r="D4" s="44" t="s">
        <v>87</v>
      </c>
      <c r="E4" s="44">
        <v>2</v>
      </c>
      <c r="F4" s="44">
        <f>10</f>
        <v>10</v>
      </c>
      <c r="G4" s="44">
        <f>1</f>
        <v>1</v>
      </c>
      <c r="H4" s="45">
        <f t="array" ref="H4">IF(ISERROR(INDEX(Articles!$J4:$W4, MATCH(FALSE, ISBLANK(Articles!$J4:$W4),0))),"N/A",INDEX(Articles!$J4:$W4, MATCH(FALSE, ISBLANK(Articles!$J4:$W4),0)))</f>
        <v>965083</v>
      </c>
      <c r="I4" s="46">
        <f t="array" aca="1" ref="I4" ca="1">IF(ISERROR(OFFSET(INDEX(Articles!$J4:$Y4, MATCH(FALSE, ISBLANK(Articles!$J4:$Y4),0)),0,1)),"N/A",OFFSET(INDEX(Articles!$J4:$Y4, MATCH(FALSE, ISBLANK(Articles!$J4:$Y4),0)),0,1))</f>
        <v>3.18</v>
      </c>
      <c r="J4" s="43"/>
      <c r="K4" s="46"/>
      <c r="L4" s="43"/>
      <c r="M4" s="46"/>
      <c r="N4" s="43"/>
      <c r="O4" s="46"/>
      <c r="P4" s="43"/>
      <c r="Q4" s="46"/>
      <c r="R4" s="43"/>
      <c r="S4" s="46"/>
      <c r="T4" s="43"/>
      <c r="U4" s="46"/>
      <c r="V4" s="43">
        <v>965083</v>
      </c>
      <c r="W4" s="46">
        <v>3.18</v>
      </c>
      <c r="X4" s="46"/>
      <c r="Y4" s="46"/>
      <c r="Z4" s="44">
        <f>IF(Articles!$G4=1,IF(Articles!$E4&lt;Articles!$F4,1,""),"")</f>
        <v>1</v>
      </c>
    </row>
    <row r="5" spans="1:26" x14ac:dyDescent="0.25">
      <c r="A5" s="43">
        <v>1004068</v>
      </c>
      <c r="B5" s="44" t="s">
        <v>65</v>
      </c>
      <c r="C5" s="44" t="s">
        <v>352</v>
      </c>
      <c r="D5" s="44" t="s">
        <v>83</v>
      </c>
      <c r="E5" s="44">
        <v>2</v>
      </c>
      <c r="F5" s="44">
        <f>10</f>
        <v>10</v>
      </c>
      <c r="G5" s="44">
        <f>1</f>
        <v>1</v>
      </c>
      <c r="H5" s="45">
        <f t="array" ref="H5">IF(ISERROR(INDEX(Articles!$J5:$W5, MATCH(FALSE, ISBLANK(Articles!$J5:$W5),0))),"N/A",INDEX(Articles!$J5:$W5, MATCH(FALSE, ISBLANK(Articles!$J5:$W5),0)))</f>
        <v>1004068</v>
      </c>
      <c r="I5" s="46">
        <f t="array" aca="1" ref="I5" ca="1">IF(ISERROR(OFFSET(INDEX(Articles!$J5:$Y5, MATCH(FALSE, ISBLANK(Articles!$J5:$Y5),0)),0,1)),"N/A",OFFSET(INDEX(Articles!$J5:$Y5, MATCH(FALSE, ISBLANK(Articles!$J5:$Y5),0)),0,1))</f>
        <v>3.49</v>
      </c>
      <c r="J5" s="43"/>
      <c r="K5" s="46"/>
      <c r="L5" s="43"/>
      <c r="M5" s="46"/>
      <c r="N5" s="43"/>
      <c r="O5" s="46"/>
      <c r="P5" s="43"/>
      <c r="Q5" s="46"/>
      <c r="R5" s="43"/>
      <c r="S5" s="46"/>
      <c r="T5" s="43"/>
      <c r="U5" s="46"/>
      <c r="V5" s="43">
        <v>1004068</v>
      </c>
      <c r="W5" s="46">
        <v>3.49</v>
      </c>
      <c r="X5" s="46"/>
      <c r="Y5" s="46"/>
      <c r="Z5" s="44">
        <f>IF(Articles!$G5=1,IF(Articles!$E5&lt;Articles!$F5,1,""),"")</f>
        <v>1</v>
      </c>
    </row>
    <row r="6" spans="1:26" x14ac:dyDescent="0.25">
      <c r="A6" s="43">
        <v>1181876</v>
      </c>
      <c r="B6" s="44" t="s">
        <v>65</v>
      </c>
      <c r="C6" s="44" t="s">
        <v>352</v>
      </c>
      <c r="D6" s="44" t="s">
        <v>86</v>
      </c>
      <c r="E6" s="44">
        <v>9</v>
      </c>
      <c r="F6" s="44">
        <f>10</f>
        <v>10</v>
      </c>
      <c r="G6" s="44">
        <f>1</f>
        <v>1</v>
      </c>
      <c r="H6" s="45">
        <f t="array" ref="H6">IF(ISERROR(INDEX(Articles!$J6:$W6, MATCH(FALSE, ISBLANK(Articles!$J6:$W6),0))),"N/A",INDEX(Articles!$J6:$W6, MATCH(FALSE, ISBLANK(Articles!$J6:$W6),0)))</f>
        <v>1181876</v>
      </c>
      <c r="I6" s="46">
        <f t="array" aca="1" ref="I6" ca="1">IF(ISERROR(OFFSET(INDEX(Articles!$J6:$Y6, MATCH(FALSE, ISBLANK(Articles!$J6:$Y6),0)),0,1)),"N/A",OFFSET(INDEX(Articles!$J6:$Y6, MATCH(FALSE, ISBLANK(Articles!$J6:$Y6),0)),0,1))</f>
        <v>3.79</v>
      </c>
      <c r="J6" s="43"/>
      <c r="K6" s="46"/>
      <c r="L6" s="43"/>
      <c r="M6" s="46"/>
      <c r="N6" s="43"/>
      <c r="O6" s="46"/>
      <c r="P6" s="43"/>
      <c r="Q6" s="46"/>
      <c r="R6" s="43"/>
      <c r="S6" s="46"/>
      <c r="T6" s="43"/>
      <c r="U6" s="46"/>
      <c r="V6" s="43">
        <v>1181876</v>
      </c>
      <c r="W6" s="46">
        <v>3.79</v>
      </c>
      <c r="X6" s="46"/>
      <c r="Y6" s="46"/>
      <c r="Z6" s="44">
        <f>IF(Articles!$G6=1,IF(Articles!$E6&lt;Articles!$F6,1,""),"")</f>
        <v>1</v>
      </c>
    </row>
    <row r="7" spans="1:26" x14ac:dyDescent="0.25">
      <c r="A7" s="43">
        <v>61304011021</v>
      </c>
      <c r="B7" s="44" t="s">
        <v>112</v>
      </c>
      <c r="C7" s="44" t="s">
        <v>352</v>
      </c>
      <c r="D7" s="44" t="s">
        <v>110</v>
      </c>
      <c r="E7" s="44">
        <v>9.85</v>
      </c>
      <c r="F7" s="44">
        <f>10</f>
        <v>10</v>
      </c>
      <c r="G7" s="44">
        <f>1</f>
        <v>1</v>
      </c>
      <c r="H7" s="45" t="str">
        <f t="array" ref="H7">IF(ISERROR(INDEX(Articles!$J7:$W7, MATCH(FALSE, ISBLANK(Articles!$J7:$W7),0))),"N/A",INDEX(Articles!$J7:$W7, MATCH(FALSE, ISBLANK(Articles!$J7:$W7),0)))</f>
        <v>732-5350-ND</v>
      </c>
      <c r="I7" s="46">
        <f t="array" aca="1" ref="I7" ca="1">IF(ISERROR(OFFSET(INDEX(Articles!$J7:$Y7, MATCH(FALSE, ISBLANK(Articles!$J7:$Y7),0)),0,1)),"N/A",OFFSET(INDEX(Articles!$J7:$Y7, MATCH(FALSE, ISBLANK(Articles!$J7:$Y7),0)),0,1))</f>
        <v>1.44</v>
      </c>
      <c r="J7" s="43" t="s">
        <v>468</v>
      </c>
      <c r="K7" s="46">
        <v>1.44</v>
      </c>
      <c r="L7" s="43" t="s">
        <v>111</v>
      </c>
      <c r="M7" s="46">
        <v>1.58</v>
      </c>
      <c r="N7" s="43"/>
      <c r="O7" s="46"/>
      <c r="P7" s="43"/>
      <c r="Q7" s="46"/>
      <c r="R7" s="43"/>
      <c r="S7" s="46"/>
      <c r="T7" s="43"/>
      <c r="U7" s="46"/>
      <c r="V7" s="43"/>
      <c r="W7" s="46">
        <v>1.58</v>
      </c>
      <c r="X7" s="46"/>
      <c r="Y7" s="46"/>
      <c r="Z7" s="44">
        <f>IF(Articles!$G7=1,IF(Articles!$E7&lt;Articles!$F7,1,""),"")</f>
        <v>1</v>
      </c>
    </row>
    <row r="8" spans="1:26" x14ac:dyDescent="0.25">
      <c r="A8" s="43">
        <v>860021374008</v>
      </c>
      <c r="B8" s="44" t="s">
        <v>258</v>
      </c>
      <c r="C8" s="44" t="s">
        <v>352</v>
      </c>
      <c r="D8" s="44" t="s">
        <v>268</v>
      </c>
      <c r="E8" s="44">
        <v>4</v>
      </c>
      <c r="F8" s="44">
        <f>10</f>
        <v>10</v>
      </c>
      <c r="G8" s="44">
        <f>1</f>
        <v>1</v>
      </c>
      <c r="H8" s="45" t="str">
        <f t="array" ref="H8">IF(ISERROR(INDEX(Articles!$J8:$W8, MATCH(FALSE, ISBLANK(Articles!$J8:$W8),0))),"N/A",INDEX(Articles!$J8:$W8, MATCH(FALSE, ISBLANK(Articles!$J8:$W8),0)))</f>
        <v>732-8886-1-ND</v>
      </c>
      <c r="I8" s="46">
        <f t="array" aca="1" ref="I8" ca="1">IF(ISERROR(OFFSET(INDEX(Articles!$J8:$Y8, MATCH(FALSE, ISBLANK(Articles!$J8:$Y8),0)),0,1)),"N/A",OFFSET(INDEX(Articles!$J8:$Y8, MATCH(FALSE, ISBLANK(Articles!$J8:$Y8),0)),0,1))</f>
        <v>0.43</v>
      </c>
      <c r="J8" s="43" t="s">
        <v>267</v>
      </c>
      <c r="K8" s="46">
        <v>0.43</v>
      </c>
      <c r="L8" s="43"/>
      <c r="M8" s="46"/>
      <c r="N8" s="43"/>
      <c r="O8" s="46"/>
      <c r="P8" s="43"/>
      <c r="Q8" s="46"/>
      <c r="R8" s="43"/>
      <c r="S8" s="46"/>
      <c r="T8" s="43"/>
      <c r="U8" s="46"/>
      <c r="V8" s="43"/>
      <c r="W8" s="46"/>
      <c r="X8" s="46"/>
      <c r="Y8" s="46"/>
      <c r="Z8" s="44">
        <f>IF(Articles!$G8=1,IF(Articles!$E8&lt;Articles!$F8,1,""),"")</f>
        <v>1</v>
      </c>
    </row>
    <row r="9" spans="1:26" x14ac:dyDescent="0.25">
      <c r="A9" s="43" t="s">
        <v>117</v>
      </c>
      <c r="B9" s="44" t="s">
        <v>93</v>
      </c>
      <c r="C9" s="44" t="s">
        <v>352</v>
      </c>
      <c r="D9" s="44" t="s">
        <v>29</v>
      </c>
      <c r="E9" s="44">
        <v>4</v>
      </c>
      <c r="F9" s="44">
        <f>10</f>
        <v>10</v>
      </c>
      <c r="G9" s="44">
        <f>1</f>
        <v>1</v>
      </c>
      <c r="H9" s="45" t="str">
        <f t="array" ref="H9">IF(ISERROR(INDEX(Articles!$J9:$W9, MATCH(FALSE, ISBLANK(Articles!$J9:$W9),0))),"N/A",INDEX(Articles!$J9:$W9, MATCH(FALSE, ISBLANK(Articles!$J9:$W9),0)))</f>
        <v>486-1258-ND</v>
      </c>
      <c r="I9" s="46">
        <f t="array" aca="1" ref="I9" ca="1">IF(ISERROR(OFFSET(INDEX(Articles!$J9:$Y9, MATCH(FALSE, ISBLANK(Articles!$J9:$Y9),0)),0,1)),"N/A",OFFSET(INDEX(Articles!$J9:$Y9, MATCH(FALSE, ISBLANK(Articles!$J9:$Y9),0)),0,1))</f>
        <v>0.91</v>
      </c>
      <c r="J9" s="43" t="s">
        <v>469</v>
      </c>
      <c r="K9" s="46">
        <v>0.91</v>
      </c>
      <c r="L9" s="43">
        <v>1162740</v>
      </c>
      <c r="M9" s="46">
        <v>0.505</v>
      </c>
      <c r="N9" s="43"/>
      <c r="O9" s="46"/>
      <c r="P9" s="43"/>
      <c r="Q9" s="46"/>
      <c r="R9" s="43"/>
      <c r="S9" s="46"/>
      <c r="T9" s="43"/>
      <c r="U9" s="46"/>
      <c r="V9" s="43"/>
      <c r="W9" s="46">
        <v>0.505</v>
      </c>
      <c r="X9" s="46"/>
      <c r="Y9" s="46"/>
      <c r="Z9" s="44">
        <f>IF(Articles!$G9=1,IF(Articles!$E9&lt;Articles!$F9,1,""),"")</f>
        <v>1</v>
      </c>
    </row>
    <row r="10" spans="1:26" x14ac:dyDescent="0.25">
      <c r="A10" s="43" t="s">
        <v>31</v>
      </c>
      <c r="B10" s="44" t="s">
        <v>93</v>
      </c>
      <c r="C10" s="44" t="s">
        <v>352</v>
      </c>
      <c r="D10" s="44" t="s">
        <v>30</v>
      </c>
      <c r="E10" s="44">
        <v>4</v>
      </c>
      <c r="F10" s="44">
        <f>10</f>
        <v>10</v>
      </c>
      <c r="G10" s="44">
        <f>1</f>
        <v>1</v>
      </c>
      <c r="H10" s="45" t="str">
        <f t="array" ref="H10">IF(ISERROR(INDEX(Articles!$J10:$W10, MATCH(FALSE, ISBLANK(Articles!$J10:$W10),0))),"N/A",INDEX(Articles!$J10:$W10, MATCH(FALSE, ISBLANK(Articles!$J10:$W10),0)))</f>
        <v>486-3662-ND</v>
      </c>
      <c r="I10" s="46">
        <f t="array" aca="1" ref="I10" ca="1">IF(ISERROR(OFFSET(INDEX(Articles!$J10:$Y10, MATCH(FALSE, ISBLANK(Articles!$J10:$Y10),0)),0,1)),"N/A",OFFSET(INDEX(Articles!$J10:$Y10, MATCH(FALSE, ISBLANK(Articles!$J10:$Y10),0)),0,1))</f>
        <v>1.27</v>
      </c>
      <c r="J10" s="43" t="s">
        <v>470</v>
      </c>
      <c r="K10" s="46">
        <v>1.27</v>
      </c>
      <c r="L10" s="43">
        <v>1829519</v>
      </c>
      <c r="M10" s="46">
        <v>0.78900000000000003</v>
      </c>
      <c r="N10" s="43"/>
      <c r="O10" s="46"/>
      <c r="P10" s="43"/>
      <c r="Q10" s="46"/>
      <c r="R10" s="43"/>
      <c r="S10" s="46"/>
      <c r="T10" s="43"/>
      <c r="U10" s="46"/>
      <c r="V10" s="43"/>
      <c r="W10" s="46">
        <v>0.78900000000000003</v>
      </c>
      <c r="X10" s="46"/>
      <c r="Y10" s="46"/>
      <c r="Z10" s="44">
        <f>IF(Articles!$G10=1,IF(Articles!$E10&lt;Articles!$F10,1,""),"")</f>
        <v>1</v>
      </c>
    </row>
    <row r="11" spans="1:26" x14ac:dyDescent="0.25">
      <c r="A11" s="43" t="s">
        <v>179</v>
      </c>
      <c r="B11" s="44" t="s">
        <v>177</v>
      </c>
      <c r="C11" s="44" t="s">
        <v>352</v>
      </c>
      <c r="D11" s="44" t="s">
        <v>180</v>
      </c>
      <c r="E11" s="44">
        <v>4</v>
      </c>
      <c r="F11" s="44">
        <f>10</f>
        <v>10</v>
      </c>
      <c r="G11" s="44">
        <f>1</f>
        <v>1</v>
      </c>
      <c r="H11" s="45" t="str">
        <f t="array" ref="H11">IF(ISERROR(INDEX(Articles!$J11:$W11, MATCH(FALSE, ISBLANK(Articles!$J11:$W11),0))),"N/A",INDEX(Articles!$J11:$W11, MATCH(FALSE, ISBLANK(Articles!$J11:$W11),0)))</f>
        <v>F10794-ND</v>
      </c>
      <c r="I11" s="46">
        <f t="array" aca="1" ref="I11" ca="1">IF(ISERROR(OFFSET(INDEX(Articles!$J11:$Y11, MATCH(FALSE, ISBLANK(Articles!$J11:$Y11),0)),0,1)),"N/A",OFFSET(INDEX(Articles!$J11:$Y11, MATCH(FALSE, ISBLANK(Articles!$J11:$Y11),0)),0,1))</f>
        <v>1.82</v>
      </c>
      <c r="J11" s="43" t="s">
        <v>178</v>
      </c>
      <c r="K11" s="46">
        <v>1.82</v>
      </c>
      <c r="L11" s="43"/>
      <c r="M11" s="46"/>
      <c r="N11" s="43"/>
      <c r="O11" s="46"/>
      <c r="P11" s="43"/>
      <c r="Q11" s="46"/>
      <c r="R11" s="43"/>
      <c r="S11" s="46"/>
      <c r="T11" s="43"/>
      <c r="U11" s="46"/>
      <c r="V11" s="43"/>
      <c r="W11" s="46"/>
      <c r="X11" s="46"/>
      <c r="Y11" s="46"/>
      <c r="Z11" s="44">
        <f>IF(Articles!$G11=1,IF(Articles!$E11&lt;Articles!$F11,1,""),"")</f>
        <v>1</v>
      </c>
    </row>
    <row r="12" spans="1:26" x14ac:dyDescent="0.25">
      <c r="A12" s="44" t="s">
        <v>156</v>
      </c>
      <c r="B12" s="44" t="s">
        <v>162</v>
      </c>
      <c r="C12" s="44" t="s">
        <v>352</v>
      </c>
      <c r="D12" s="44" t="s">
        <v>157</v>
      </c>
      <c r="E12" s="44">
        <v>10</v>
      </c>
      <c r="F12" s="44">
        <f>10</f>
        <v>10</v>
      </c>
      <c r="G12" s="44">
        <f>1</f>
        <v>1</v>
      </c>
      <c r="H12" s="45" t="str">
        <f t="array" ref="H12">IF(ISERROR(INDEX(Articles!$J12:$W12, MATCH(FALSE, ISBLANK(Articles!$J12:$W12),0))),"N/A",INDEX(Articles!$J12:$W12, MATCH(FALSE, ISBLANK(Articles!$J12:$W12),0)))</f>
        <v>609-4052-1-ND</v>
      </c>
      <c r="I12" s="46">
        <f t="array" aca="1" ref="I12" ca="1">IF(ISERROR(OFFSET(INDEX(Articles!$J12:$Y12, MATCH(FALSE, ISBLANK(Articles!$J12:$Y12),0)),0,1)),"N/A",OFFSET(INDEX(Articles!$J12:$Y12, MATCH(FALSE, ISBLANK(Articles!$J12:$Y12),0)),0,1))</f>
        <v>0.66500000000000004</v>
      </c>
      <c r="J12" s="43" t="s">
        <v>155</v>
      </c>
      <c r="K12" s="46">
        <v>0.66500000000000004</v>
      </c>
      <c r="L12" s="43"/>
      <c r="M12" s="46"/>
      <c r="N12" s="43"/>
      <c r="O12" s="46"/>
      <c r="P12" s="43"/>
      <c r="Q12" s="46"/>
      <c r="R12" s="43"/>
      <c r="S12" s="46"/>
      <c r="T12" s="43"/>
      <c r="U12" s="46"/>
      <c r="V12" s="43"/>
      <c r="W12" s="46"/>
      <c r="X12" s="46"/>
      <c r="Y12" s="46"/>
      <c r="Z12" s="44" t="str">
        <f>IF(Articles!$G12=1,IF(Articles!$E12&lt;Articles!$F12,1,""),"")</f>
        <v/>
      </c>
    </row>
    <row r="13" spans="1:26" x14ac:dyDescent="0.25">
      <c r="A13" s="43" t="s">
        <v>238</v>
      </c>
      <c r="B13" s="44" t="s">
        <v>239</v>
      </c>
      <c r="C13" s="44" t="s">
        <v>352</v>
      </c>
      <c r="D13" s="44" t="s">
        <v>240</v>
      </c>
      <c r="E13" s="44">
        <v>4</v>
      </c>
      <c r="F13" s="44">
        <f>10</f>
        <v>10</v>
      </c>
      <c r="G13" s="44">
        <f>1</f>
        <v>1</v>
      </c>
      <c r="H13" s="45" t="str">
        <f t="array" ref="H13">IF(ISERROR(INDEX(Articles!$J13:$W13, MATCH(FALSE, ISBLANK(Articles!$J13:$W13),0))),"N/A",INDEX(Articles!$J13:$W13, MATCH(FALSE, ISBLANK(Articles!$J13:$W13),0)))</f>
        <v>1-1825059-3-ND</v>
      </c>
      <c r="I13" s="46">
        <f t="array" aca="1" ref="I13" ca="1">IF(ISERROR(OFFSET(INDEX(Articles!$J13:$Y13, MATCH(FALSE, ISBLANK(Articles!$J13:$Y13),0)),0,1)),"N/A",OFFSET(INDEX(Articles!$J13:$Y13, MATCH(FALSE, ISBLANK(Articles!$J13:$Y13),0)),0,1))</f>
        <v>0.85</v>
      </c>
      <c r="J13" s="43" t="s">
        <v>237</v>
      </c>
      <c r="K13" s="46">
        <v>0.85</v>
      </c>
      <c r="L13" s="43"/>
      <c r="M13" s="46"/>
      <c r="N13" s="43"/>
      <c r="O13" s="46"/>
      <c r="P13" s="43"/>
      <c r="Q13" s="46"/>
      <c r="R13" s="43"/>
      <c r="S13" s="46"/>
      <c r="T13" s="43"/>
      <c r="U13" s="46"/>
      <c r="V13" s="43"/>
      <c r="W13" s="46"/>
      <c r="X13" s="46"/>
      <c r="Y13" s="46"/>
      <c r="Z13" s="44">
        <f>IF(Articles!$G13=1,IF(Articles!$E13&lt;Articles!$F13,1,""),"")</f>
        <v>1</v>
      </c>
    </row>
    <row r="14" spans="1:26" x14ac:dyDescent="0.25">
      <c r="A14" s="43" t="s">
        <v>123</v>
      </c>
      <c r="B14" s="44" t="s">
        <v>91</v>
      </c>
      <c r="C14" s="44" t="s">
        <v>352</v>
      </c>
      <c r="D14" s="44" t="s">
        <v>122</v>
      </c>
      <c r="E14" s="44">
        <v>19</v>
      </c>
      <c r="F14" s="44">
        <f>10</f>
        <v>10</v>
      </c>
      <c r="G14" s="44">
        <f>1</f>
        <v>1</v>
      </c>
      <c r="H14" s="45" t="str">
        <f t="array" ref="H14">IF(ISERROR(INDEX(Articles!$J14:$W14, MATCH(FALSE, ISBLANK(Articles!$J14:$W14),0))),"N/A",INDEX(Articles!$J14:$W14, MATCH(FALSE, ISBLANK(Articles!$J14:$W14),0)))</f>
        <v>A120350-ND</v>
      </c>
      <c r="I14" s="46">
        <f t="array" aca="1" ref="I14" ca="1">IF(ISERROR(OFFSET(INDEX(Articles!$J14:$Y14, MATCH(FALSE, ISBLANK(Articles!$J14:$Y14),0)),0,1)),"N/A",OFFSET(INDEX(Articles!$J14:$Y14, MATCH(FALSE, ISBLANK(Articles!$J14:$Y14),0)),0,1))</f>
        <v>0.28000000000000003</v>
      </c>
      <c r="J14" s="43" t="s">
        <v>471</v>
      </c>
      <c r="K14" s="46">
        <v>0.28000000000000003</v>
      </c>
      <c r="L14" s="43" t="s">
        <v>124</v>
      </c>
      <c r="M14" s="46">
        <v>0.191</v>
      </c>
      <c r="N14" s="43"/>
      <c r="O14" s="46"/>
      <c r="P14" s="43"/>
      <c r="Q14" s="46"/>
      <c r="R14" s="43"/>
      <c r="S14" s="46"/>
      <c r="T14" s="43"/>
      <c r="U14" s="46"/>
      <c r="V14" s="43"/>
      <c r="W14" s="46">
        <v>0.191</v>
      </c>
      <c r="X14" s="46"/>
      <c r="Y14" s="46"/>
      <c r="Z14" s="44" t="str">
        <f>IF(Articles!$G14=1,IF(Articles!$E14&lt;Articles!$F14,1,""),"")</f>
        <v/>
      </c>
    </row>
    <row r="15" spans="1:26" x14ac:dyDescent="0.25">
      <c r="A15" s="44" t="s">
        <v>139</v>
      </c>
      <c r="B15" s="44" t="s">
        <v>69</v>
      </c>
      <c r="C15" s="44" t="s">
        <v>411</v>
      </c>
      <c r="D15" s="44" t="s">
        <v>68</v>
      </c>
      <c r="E15" s="44">
        <v>1</v>
      </c>
      <c r="F15" s="44">
        <f>10</f>
        <v>10</v>
      </c>
      <c r="G15" s="44">
        <f>1</f>
        <v>1</v>
      </c>
      <c r="H15" s="45" t="str">
        <f t="array" ref="H15">IF(ISERROR(INDEX(Articles!$J15:$W15, MATCH(FALSE, ISBLANK(Articles!$J15:$W15),0))),"N/A",INDEX(Articles!$J15:$W15, MATCH(FALSE, ISBLANK(Articles!$J15:$W15),0)))</f>
        <v>PB1175CT-ND</v>
      </c>
      <c r="I15" s="46">
        <f t="array" aca="1" ref="I15" ca="1">IF(ISERROR(OFFSET(INDEX(Articles!$J15:$Y15, MATCH(FALSE, ISBLANK(Articles!$J15:$Y15),0)),0,1)),"N/A",OFFSET(INDEX(Articles!$J15:$Y15, MATCH(FALSE, ISBLANK(Articles!$J15:$Y15),0)),0,1))</f>
        <v>4.88</v>
      </c>
      <c r="J15" s="43" t="s">
        <v>67</v>
      </c>
      <c r="K15" s="46">
        <v>4.88</v>
      </c>
      <c r="L15" s="43"/>
      <c r="M15" s="46"/>
      <c r="N15" s="43"/>
      <c r="O15" s="46"/>
      <c r="P15" s="43"/>
      <c r="Q15" s="46"/>
      <c r="R15" s="43"/>
      <c r="S15" s="46"/>
      <c r="T15" s="43"/>
      <c r="U15" s="46"/>
      <c r="V15" s="43"/>
      <c r="W15" s="46"/>
      <c r="X15" s="46"/>
      <c r="Y15" s="46"/>
      <c r="Z15" s="44">
        <f>IF(Articles!$G15=1,IF(Articles!$E15&lt;Articles!$F15,1,""),"")</f>
        <v>1</v>
      </c>
    </row>
    <row r="16" spans="1:26" x14ac:dyDescent="0.25">
      <c r="A16" s="43" t="s">
        <v>229</v>
      </c>
      <c r="B16" s="44" t="s">
        <v>160</v>
      </c>
      <c r="C16" s="44" t="s">
        <v>415</v>
      </c>
      <c r="D16" s="44" t="s">
        <v>230</v>
      </c>
      <c r="E16" s="44">
        <v>9</v>
      </c>
      <c r="F16" s="44">
        <f>10</f>
        <v>10</v>
      </c>
      <c r="G16" s="44">
        <f>1</f>
        <v>1</v>
      </c>
      <c r="H16" s="45" t="str">
        <f t="array" ref="H16">IF(ISERROR(INDEX(Articles!$J16:$W16, MATCH(FALSE, ISBLANK(Articles!$J16:$W16),0))),"N/A",INDEX(Articles!$J16:$W16, MATCH(FALSE, ISBLANK(Articles!$J16:$W16),0)))</f>
        <v>732-4980-1-ND</v>
      </c>
      <c r="I16" s="46">
        <f t="array" aca="1" ref="I16" ca="1">IF(ISERROR(OFFSET(INDEX(Articles!$J16:$Y16, MATCH(FALSE, ISBLANK(Articles!$J16:$Y16),0)),0,1)),"N/A",OFFSET(INDEX(Articles!$J16:$Y16, MATCH(FALSE, ISBLANK(Articles!$J16:$Y16),0)),0,1))</f>
        <v>0.14000000000000001</v>
      </c>
      <c r="J16" s="43" t="s">
        <v>228</v>
      </c>
      <c r="K16" s="46">
        <v>0.14000000000000001</v>
      </c>
      <c r="L16" s="43"/>
      <c r="M16" s="46"/>
      <c r="N16" s="43"/>
      <c r="O16" s="46"/>
      <c r="P16" s="43"/>
      <c r="Q16" s="46"/>
      <c r="R16" s="43"/>
      <c r="S16" s="46"/>
      <c r="T16" s="43"/>
      <c r="U16" s="46"/>
      <c r="V16" s="43"/>
      <c r="W16" s="46"/>
      <c r="X16" s="46"/>
      <c r="Y16" s="46"/>
      <c r="Z16" s="44">
        <f>IF(Articles!$G16=1,IF(Articles!$E16&lt;Articles!$F16,1,""),"")</f>
        <v>1</v>
      </c>
    </row>
    <row r="17" spans="1:26" x14ac:dyDescent="0.25">
      <c r="A17" s="44" t="s">
        <v>141</v>
      </c>
      <c r="B17" s="44" t="s">
        <v>160</v>
      </c>
      <c r="C17" s="44" t="s">
        <v>352</v>
      </c>
      <c r="D17" s="44" t="s">
        <v>142</v>
      </c>
      <c r="E17" s="44">
        <v>5</v>
      </c>
      <c r="F17" s="44">
        <f>10</f>
        <v>10</v>
      </c>
      <c r="G17" s="44">
        <f>1</f>
        <v>1</v>
      </c>
      <c r="H17" s="45" t="str">
        <f t="array" ref="H17">IF(ISERROR(INDEX(Articles!$J17:$W17, MATCH(FALSE, ISBLANK(Articles!$J17:$W17),0))),"N/A",INDEX(Articles!$J17:$W17, MATCH(FALSE, ISBLANK(Articles!$J17:$W17),0)))</f>
        <v>732-4998-1-ND</v>
      </c>
      <c r="I17" s="46">
        <f t="array" aca="1" ref="I17" ca="1">IF(ISERROR(OFFSET(INDEX(Articles!$J17:$Y17, MATCH(FALSE, ISBLANK(Articles!$J17:$Y17),0)),0,1)),"N/A",OFFSET(INDEX(Articles!$J17:$Y17, MATCH(FALSE, ISBLANK(Articles!$J17:$Y17),0)),0,1))</f>
        <v>0.45</v>
      </c>
      <c r="J17" s="43" t="s">
        <v>140</v>
      </c>
      <c r="K17" s="46">
        <v>0.45</v>
      </c>
      <c r="L17" s="43"/>
      <c r="M17" s="46"/>
      <c r="N17" s="43"/>
      <c r="O17" s="46"/>
      <c r="P17" s="43"/>
      <c r="Q17" s="46"/>
      <c r="R17" s="43"/>
      <c r="S17" s="46"/>
      <c r="T17" s="43"/>
      <c r="U17" s="46"/>
      <c r="V17" s="43"/>
      <c r="W17" s="46"/>
      <c r="X17" s="46"/>
      <c r="Y17" s="46"/>
      <c r="Z17" s="44">
        <f>IF(Articles!$G17=1,IF(Articles!$E17&lt;Articles!$F17,1,""),"")</f>
        <v>1</v>
      </c>
    </row>
    <row r="18" spans="1:26" x14ac:dyDescent="0.25">
      <c r="A18" s="43" t="s">
        <v>118</v>
      </c>
      <c r="B18" s="44" t="s">
        <v>91</v>
      </c>
      <c r="C18" s="44" t="s">
        <v>352</v>
      </c>
      <c r="D18" s="44" t="s">
        <v>28</v>
      </c>
      <c r="E18" s="44">
        <v>100</v>
      </c>
      <c r="F18" s="44">
        <f>10</f>
        <v>10</v>
      </c>
      <c r="G18" s="44">
        <f>1</f>
        <v>1</v>
      </c>
      <c r="H18" s="45" t="str">
        <f t="array" ref="H18">IF(ISERROR(INDEX(Articles!$J18:$W18, MATCH(FALSE, ISBLANK(Articles!$J18:$W18),0))),"N/A",INDEX(Articles!$J18:$W18, MATCH(FALSE, ISBLANK(Articles!$J18:$W18),0)))</f>
        <v>A107340-ND</v>
      </c>
      <c r="I18" s="46">
        <f t="array" aca="1" ref="I18" ca="1">IF(ISERROR(OFFSET(INDEX(Articles!$J18:$Y18, MATCH(FALSE, ISBLANK(Articles!$J18:$Y18),0)),0,1)),"N/A",OFFSET(INDEX(Articles!$J18:$Y18, MATCH(FALSE, ISBLANK(Articles!$J18:$Y18),0)),0,1))</f>
        <v>0.26</v>
      </c>
      <c r="J18" s="43" t="s">
        <v>472</v>
      </c>
      <c r="K18" s="46">
        <v>0.26</v>
      </c>
      <c r="L18" s="43" t="s">
        <v>164</v>
      </c>
      <c r="M18" s="46">
        <v>0.112</v>
      </c>
      <c r="N18" s="43"/>
      <c r="O18" s="46"/>
      <c r="P18" s="43"/>
      <c r="Q18" s="46"/>
      <c r="R18" s="43"/>
      <c r="S18" s="46"/>
      <c r="T18" s="43"/>
      <c r="U18" s="46"/>
      <c r="V18" s="43"/>
      <c r="W18" s="46">
        <v>0.112</v>
      </c>
      <c r="X18" s="46"/>
      <c r="Y18" s="46"/>
      <c r="Z18" s="44" t="str">
        <f>IF(Articles!$G18=1,IF(Articles!$E18&lt;Articles!$F18,1,""),"")</f>
        <v/>
      </c>
    </row>
    <row r="19" spans="1:26" x14ac:dyDescent="0.25">
      <c r="A19" s="43" t="s">
        <v>97</v>
      </c>
      <c r="B19" s="44" t="s">
        <v>45</v>
      </c>
      <c r="C19" s="44" t="s">
        <v>352</v>
      </c>
      <c r="D19" s="44" t="s">
        <v>98</v>
      </c>
      <c r="E19" s="44">
        <v>100</v>
      </c>
      <c r="F19" s="44">
        <f>10</f>
        <v>10</v>
      </c>
      <c r="G19" s="44">
        <f>1</f>
        <v>1</v>
      </c>
      <c r="H19" s="45" t="str">
        <f t="array" ref="H19">IF(ISERROR(INDEX(Articles!$J19:$W19, MATCH(FALSE, ISBLANK(Articles!$J19:$W19),0))),"N/A",INDEX(Articles!$J19:$W19, MATCH(FALSE, ISBLANK(Articles!$J19:$W19),0)))</f>
        <v>9843680</v>
      </c>
      <c r="I19" s="46">
        <f t="array" aca="1" ref="I19" ca="1">IF(ISERROR(OFFSET(INDEX(Articles!$J19:$Y19, MATCH(FALSE, ISBLANK(Articles!$J19:$Y19),0)),0,1)),"N/A",OFFSET(INDEX(Articles!$J19:$Y19, MATCH(FALSE, ISBLANK(Articles!$J19:$Y19),0)),0,1))</f>
        <v>5.8900000000000001E-2</v>
      </c>
      <c r="J19" s="43"/>
      <c r="K19" s="46"/>
      <c r="L19" s="43" t="s">
        <v>159</v>
      </c>
      <c r="M19" s="46">
        <v>5.8900000000000001E-2</v>
      </c>
      <c r="N19" s="43"/>
      <c r="O19" s="46"/>
      <c r="P19" s="43"/>
      <c r="Q19" s="46"/>
      <c r="R19" s="43"/>
      <c r="S19" s="46"/>
      <c r="T19" s="43"/>
      <c r="U19" s="46"/>
      <c r="V19" s="43"/>
      <c r="W19" s="46">
        <v>5.8900000000000001E-2</v>
      </c>
      <c r="X19" s="46"/>
      <c r="Y19" s="46"/>
      <c r="Z19" s="44" t="str">
        <f>IF(Articles!$G19=1,IF(Articles!$E19&lt;Articles!$F19,1,""),"")</f>
        <v/>
      </c>
    </row>
    <row r="20" spans="1:26" x14ac:dyDescent="0.25">
      <c r="A20" s="43" t="s">
        <v>113</v>
      </c>
      <c r="B20" s="44" t="s">
        <v>33</v>
      </c>
      <c r="C20" s="44" t="s">
        <v>352</v>
      </c>
      <c r="D20" s="44" t="s">
        <v>116</v>
      </c>
      <c r="E20" s="44">
        <v>-2.2000000000000002</v>
      </c>
      <c r="F20" s="44">
        <f>10</f>
        <v>10</v>
      </c>
      <c r="G20" s="44">
        <f>1</f>
        <v>1</v>
      </c>
      <c r="H20" s="45" t="str">
        <f t="array" ref="H20">IF(ISERROR(INDEX(Articles!$J20:$W20, MATCH(FALSE, ISBLANK(Articles!$J20:$W20),0))),"N/A",INDEX(Articles!$J20:$W20, MATCH(FALSE, ISBLANK(Articles!$J20:$W20),0)))</f>
        <v>2725179</v>
      </c>
      <c r="I20" s="46">
        <f t="array" aca="1" ref="I20" ca="1">IF(ISERROR(OFFSET(INDEX(Articles!$J20:$Y20, MATCH(FALSE, ISBLANK(Articles!$J20:$Y20),0)),0,1)),"N/A",OFFSET(INDEX(Articles!$J20:$Y20, MATCH(FALSE, ISBLANK(Articles!$J20:$Y20),0)),0,1))</f>
        <v>0.28699999999999998</v>
      </c>
      <c r="J20" s="43"/>
      <c r="K20" s="46"/>
      <c r="L20" s="43" t="s">
        <v>114</v>
      </c>
      <c r="M20" s="46">
        <v>0.28699999999999998</v>
      </c>
      <c r="N20" s="43"/>
      <c r="O20" s="46"/>
      <c r="P20" s="43"/>
      <c r="Q20" s="46"/>
      <c r="R20" s="43"/>
      <c r="S20" s="46"/>
      <c r="T20" s="43"/>
      <c r="U20" s="46"/>
      <c r="V20" s="43"/>
      <c r="W20" s="46">
        <v>0.28699999999999998</v>
      </c>
      <c r="X20" s="46"/>
      <c r="Y20" s="46"/>
      <c r="Z20" s="44">
        <f>IF(Articles!$G20=1,IF(Articles!$E20&lt;Articles!$F20,1,""),"")</f>
        <v>1</v>
      </c>
    </row>
    <row r="21" spans="1:26" x14ac:dyDescent="0.25">
      <c r="A21" s="43" t="s">
        <v>107</v>
      </c>
      <c r="B21" s="44" t="s">
        <v>108</v>
      </c>
      <c r="C21" s="44" t="s">
        <v>352</v>
      </c>
      <c r="D21" s="44" t="s">
        <v>115</v>
      </c>
      <c r="E21" s="44">
        <v>3</v>
      </c>
      <c r="F21" s="44">
        <f>10</f>
        <v>10</v>
      </c>
      <c r="G21" s="44">
        <f>1</f>
        <v>1</v>
      </c>
      <c r="H21" s="45" t="str">
        <f t="array" ref="H21">IF(ISERROR(INDEX(Articles!$J21:$W21, MATCH(FALSE, ISBLANK(Articles!$J21:$W21),0))),"N/A",INDEX(Articles!$J21:$W21, MATCH(FALSE, ISBLANK(Articles!$J21:$W21),0)))</f>
        <v>1654535</v>
      </c>
      <c r="I21" s="46">
        <f t="array" aca="1" ref="I21" ca="1">IF(ISERROR(OFFSET(INDEX(Articles!$J21:$Y21, MATCH(FALSE, ISBLANK(Articles!$J21:$Y21),0)),0,1)),"N/A",OFFSET(INDEX(Articles!$J21:$Y21, MATCH(FALSE, ISBLANK(Articles!$J21:$Y21),0)),0,1))</f>
        <v>1.55</v>
      </c>
      <c r="J21" s="43"/>
      <c r="K21" s="46"/>
      <c r="L21" s="43" t="s">
        <v>109</v>
      </c>
      <c r="M21" s="46">
        <v>1.55</v>
      </c>
      <c r="N21" s="43"/>
      <c r="O21" s="46"/>
      <c r="P21" s="43"/>
      <c r="Q21" s="46"/>
      <c r="R21" s="43"/>
      <c r="S21" s="46"/>
      <c r="T21" s="43"/>
      <c r="U21" s="46"/>
      <c r="V21" s="43"/>
      <c r="W21" s="46">
        <v>1.55</v>
      </c>
      <c r="X21" s="46"/>
      <c r="Y21" s="46"/>
      <c r="Z21" s="44">
        <f>IF(Articles!$G21=1,IF(Articles!$E21&lt;Articles!$F21,1,""),"")</f>
        <v>1</v>
      </c>
    </row>
    <row r="22" spans="1:26" x14ac:dyDescent="0.25">
      <c r="A22" s="43" t="s">
        <v>38</v>
      </c>
      <c r="B22" s="44" t="s">
        <v>92</v>
      </c>
      <c r="C22" s="44" t="s">
        <v>352</v>
      </c>
      <c r="D22" s="44" t="s">
        <v>37</v>
      </c>
      <c r="E22" s="44">
        <v>2</v>
      </c>
      <c r="F22" s="44">
        <f>10</f>
        <v>10</v>
      </c>
      <c r="G22" s="44">
        <f>1</f>
        <v>1</v>
      </c>
      <c r="H22" s="45" t="str">
        <f t="array" ref="H22">IF(ISERROR(INDEX(Articles!$J22:$W22, MATCH(FALSE, ISBLANK(Articles!$J22:$W22),0))),"N/A",INDEX(Articles!$J22:$W22, MATCH(FALSE, ISBLANK(Articles!$J22:$W22),0)))</f>
        <v>3006P-1-100LF-ND</v>
      </c>
      <c r="I22" s="46">
        <f t="array" aca="1" ref="I22" ca="1">IF(ISERROR(OFFSET(INDEX(Articles!$J22:$Y22, MATCH(FALSE, ISBLANK(Articles!$J22:$Y22),0)),0,1)),"N/A",OFFSET(INDEX(Articles!$J22:$Y22, MATCH(FALSE, ISBLANK(Articles!$J22:$Y22),0)),0,1))</f>
        <v>2.08</v>
      </c>
      <c r="J22" s="43" t="s">
        <v>168</v>
      </c>
      <c r="K22" s="46">
        <v>2.08</v>
      </c>
      <c r="L22" s="43">
        <v>9352260</v>
      </c>
      <c r="M22" s="46">
        <v>2.76</v>
      </c>
      <c r="N22" s="43"/>
      <c r="O22" s="46"/>
      <c r="P22" s="43"/>
      <c r="Q22" s="46"/>
      <c r="R22" s="43"/>
      <c r="S22" s="46"/>
      <c r="T22" s="43"/>
      <c r="U22" s="46"/>
      <c r="V22" s="43"/>
      <c r="W22" s="46">
        <v>2.76</v>
      </c>
      <c r="X22" s="46"/>
      <c r="Y22" s="46"/>
      <c r="Z22" s="44">
        <f>IF(Articles!$G22=1,IF(Articles!$E22&lt;Articles!$F22,1,""),"")</f>
        <v>1</v>
      </c>
    </row>
    <row r="23" spans="1:26" x14ac:dyDescent="0.25">
      <c r="A23" s="43" t="s">
        <v>367</v>
      </c>
      <c r="B23" s="44" t="s">
        <v>365</v>
      </c>
      <c r="C23" s="44" t="s">
        <v>352</v>
      </c>
      <c r="D23" s="44" t="s">
        <v>368</v>
      </c>
      <c r="E23" s="44">
        <v>1</v>
      </c>
      <c r="F23" s="44">
        <f>10</f>
        <v>10</v>
      </c>
      <c r="G23" s="44">
        <f>1</f>
        <v>1</v>
      </c>
      <c r="H23" s="45" t="str">
        <f t="array" ref="H23">IF(ISERROR(INDEX(Articles!$J23:$W23, MATCH(FALSE, ISBLANK(Articles!$J23:$W23),0))),"N/A",INDEX(Articles!$J23:$W23, MATCH(FALSE, ISBLANK(Articles!$J23:$W23),0)))</f>
        <v>32673925190</v>
      </c>
      <c r="I23" s="46">
        <f t="array" aca="1" ref="I23" ca="1">IF(ISERROR(OFFSET(INDEX(Articles!$J23:$Y23, MATCH(FALSE, ISBLANK(Articles!$J23:$Y23),0)),0,1)),"N/A",OFFSET(INDEX(Articles!$J23:$Y23, MATCH(FALSE, ISBLANK(Articles!$J23:$Y23),0)),0,1))</f>
        <v>1</v>
      </c>
      <c r="J23" s="43"/>
      <c r="K23" s="46"/>
      <c r="L23" s="43"/>
      <c r="M23" s="46"/>
      <c r="N23" s="43"/>
      <c r="O23" s="46"/>
      <c r="P23" s="43"/>
      <c r="Q23" s="46"/>
      <c r="R23" s="43"/>
      <c r="S23" s="46"/>
      <c r="T23" s="43" t="s">
        <v>367</v>
      </c>
      <c r="U23" s="46">
        <v>1</v>
      </c>
      <c r="V23" s="43"/>
      <c r="W23" s="46"/>
      <c r="X23" s="46"/>
      <c r="Y23" s="46"/>
      <c r="Z23" s="44">
        <f>IF(Articles!$G23=1,IF(Articles!$E23&lt;Articles!$F23,1,""),"")</f>
        <v>1</v>
      </c>
    </row>
    <row r="24" spans="1:26" x14ac:dyDescent="0.25">
      <c r="A24" s="43" t="s">
        <v>369</v>
      </c>
      <c r="B24" s="44" t="s">
        <v>365</v>
      </c>
      <c r="C24" s="44" t="s">
        <v>352</v>
      </c>
      <c r="D24" s="44" t="s">
        <v>370</v>
      </c>
      <c r="E24" s="44">
        <v>1</v>
      </c>
      <c r="F24" s="44">
        <f>10</f>
        <v>10</v>
      </c>
      <c r="G24" s="44">
        <f>1</f>
        <v>1</v>
      </c>
      <c r="H24" s="45" t="str">
        <f t="array" ref="H24">IF(ISERROR(INDEX(Articles!$J24:$W24, MATCH(FALSE, ISBLANK(Articles!$J24:$W24),0))),"N/A",INDEX(Articles!$J24:$W24, MATCH(FALSE, ISBLANK(Articles!$J24:$W24),0)))</f>
        <v>32710723814</v>
      </c>
      <c r="I24" s="46">
        <f t="array" aca="1" ref="I24" ca="1">IF(ISERROR(OFFSET(INDEX(Articles!$J24:$Y24, MATCH(FALSE, ISBLANK(Articles!$J24:$Y24),0)),0,1)),"N/A",OFFSET(INDEX(Articles!$J24:$Y24, MATCH(FALSE, ISBLANK(Articles!$J24:$Y24),0)),0,1))</f>
        <v>4.5999999999999996</v>
      </c>
      <c r="J24" s="43"/>
      <c r="K24" s="46"/>
      <c r="L24" s="43"/>
      <c r="M24" s="46"/>
      <c r="N24" s="43"/>
      <c r="O24" s="46"/>
      <c r="P24" s="43"/>
      <c r="Q24" s="46"/>
      <c r="R24" s="43"/>
      <c r="S24" s="46"/>
      <c r="T24" s="43" t="s">
        <v>369</v>
      </c>
      <c r="U24" s="46">
        <v>4.5999999999999996</v>
      </c>
      <c r="V24" s="43"/>
      <c r="W24" s="46"/>
      <c r="X24" s="46"/>
      <c r="Y24" s="46"/>
      <c r="Z24" s="44">
        <f>IF(Articles!$G24=1,IF(Articles!$E24&lt;Articles!$F24,1,""),"")</f>
        <v>1</v>
      </c>
    </row>
    <row r="25" spans="1:26" x14ac:dyDescent="0.25">
      <c r="A25" s="43" t="s">
        <v>364</v>
      </c>
      <c r="B25" s="44" t="s">
        <v>365</v>
      </c>
      <c r="C25" s="44" t="s">
        <v>352</v>
      </c>
      <c r="D25" s="44" t="s">
        <v>366</v>
      </c>
      <c r="E25" s="44">
        <v>1</v>
      </c>
      <c r="F25" s="44">
        <f>10</f>
        <v>10</v>
      </c>
      <c r="G25" s="44">
        <f>1</f>
        <v>1</v>
      </c>
      <c r="H25" s="45" t="str">
        <f t="array" ref="H25">IF(ISERROR(INDEX(Articles!$J25:$W25, MATCH(FALSE, ISBLANK(Articles!$J25:$W25),0))),"N/A",INDEX(Articles!$J25:$W25, MATCH(FALSE, ISBLANK(Articles!$J25:$W25),0)))</f>
        <v>32845056564</v>
      </c>
      <c r="I25" s="46">
        <f t="array" aca="1" ref="I25" ca="1">IF(ISERROR(OFFSET(INDEX(Articles!$J25:$Y25, MATCH(FALSE, ISBLANK(Articles!$J25:$Y25),0)),0,1)),"N/A",OFFSET(INDEX(Articles!$J25:$Y25, MATCH(FALSE, ISBLANK(Articles!$J25:$Y25),0)),0,1))</f>
        <v>1.1619999999999999</v>
      </c>
      <c r="J25" s="43"/>
      <c r="K25" s="46"/>
      <c r="L25" s="43"/>
      <c r="M25" s="46"/>
      <c r="N25" s="43"/>
      <c r="O25" s="46"/>
      <c r="P25" s="43"/>
      <c r="Q25" s="46"/>
      <c r="R25" s="43"/>
      <c r="S25" s="46"/>
      <c r="T25" s="43" t="s">
        <v>364</v>
      </c>
      <c r="U25" s="46">
        <v>1.1619999999999999</v>
      </c>
      <c r="V25" s="43"/>
      <c r="W25" s="46"/>
      <c r="X25" s="46"/>
      <c r="Y25" s="46"/>
      <c r="Z25" s="44">
        <f>IF(Articles!$G25=1,IF(Articles!$E25&lt;Articles!$F25,1,""),"")</f>
        <v>1</v>
      </c>
    </row>
    <row r="26" spans="1:26" x14ac:dyDescent="0.25">
      <c r="A26" s="43" t="s">
        <v>499</v>
      </c>
      <c r="B26" s="44" t="s">
        <v>419</v>
      </c>
      <c r="C26" s="44" t="s">
        <v>352</v>
      </c>
      <c r="D26" s="44" t="s">
        <v>420</v>
      </c>
      <c r="E26" s="44">
        <v>5</v>
      </c>
      <c r="F26" s="44">
        <f>10</f>
        <v>10</v>
      </c>
      <c r="G26" s="44">
        <f>1</f>
        <v>1</v>
      </c>
      <c r="H26" s="45" t="str">
        <f t="array" ref="H26">IF(ISERROR(INDEX(Articles!$J26:$W26, MATCH(FALSE, ISBLANK(Articles!$J26:$W26),0))),"N/A",INDEX(Articles!$J26:$W26, MATCH(FALSE, ISBLANK(Articles!$J26:$W26),0)))</f>
        <v>32845729569</v>
      </c>
      <c r="I26" s="46">
        <f t="array" aca="1" ref="I26" ca="1">IF(ISERROR(OFFSET(INDEX(Articles!$J26:$Y26, MATCH(FALSE, ISBLANK(Articles!$J26:$Y26),0)),0,1)),"N/A",OFFSET(INDEX(Articles!$J26:$Y26, MATCH(FALSE, ISBLANK(Articles!$J26:$Y26),0)),0,1))</f>
        <v>0.127</v>
      </c>
      <c r="J26" s="43"/>
      <c r="K26" s="46"/>
      <c r="L26" s="43"/>
      <c r="M26" s="46"/>
      <c r="N26" s="43"/>
      <c r="O26" s="46"/>
      <c r="P26" s="43"/>
      <c r="Q26" s="46"/>
      <c r="R26" s="43"/>
      <c r="S26" s="46"/>
      <c r="T26" s="43" t="s">
        <v>418</v>
      </c>
      <c r="U26" s="46">
        <v>0.127</v>
      </c>
      <c r="V26" s="43"/>
      <c r="W26" s="46"/>
      <c r="X26" s="46"/>
      <c r="Y26" s="46"/>
      <c r="Z26" s="44">
        <f>IF(Articles!$G26=1,IF(Articles!$E26&lt;Articles!$F26,1,""),"")</f>
        <v>1</v>
      </c>
    </row>
    <row r="27" spans="1:26" x14ac:dyDescent="0.25">
      <c r="A27" s="43" t="s">
        <v>500</v>
      </c>
      <c r="B27" s="44" t="s">
        <v>419</v>
      </c>
      <c r="C27" s="44" t="s">
        <v>352</v>
      </c>
      <c r="D27" s="44" t="s">
        <v>421</v>
      </c>
      <c r="E27" s="44">
        <v>5</v>
      </c>
      <c r="F27" s="44">
        <f>10</f>
        <v>10</v>
      </c>
      <c r="G27" s="44">
        <f>1</f>
        <v>1</v>
      </c>
      <c r="H27" s="45" t="str">
        <f t="array" ref="H27">IF(ISERROR(INDEX(Articles!$J27:$W27, MATCH(FALSE, ISBLANK(Articles!$J27:$W27),0))),"N/A",INDEX(Articles!$J27:$W27, MATCH(FALSE, ISBLANK(Articles!$J27:$W27),0)))</f>
        <v>32845729569</v>
      </c>
      <c r="I27" s="46">
        <f t="array" aca="1" ref="I27" ca="1">IF(ISERROR(OFFSET(INDEX(Articles!$J27:$Y27, MATCH(FALSE, ISBLANK(Articles!$J27:$Y27),0)),0,1)),"N/A",OFFSET(INDEX(Articles!$J27:$Y27, MATCH(FALSE, ISBLANK(Articles!$J27:$Y27),0)),0,1))</f>
        <v>0.127</v>
      </c>
      <c r="J27" s="43"/>
      <c r="K27" s="46"/>
      <c r="L27" s="43"/>
      <c r="M27" s="46"/>
      <c r="N27" s="43"/>
      <c r="O27" s="46"/>
      <c r="P27" s="43"/>
      <c r="Q27" s="46"/>
      <c r="R27" s="43"/>
      <c r="S27" s="46"/>
      <c r="T27" s="43" t="s">
        <v>418</v>
      </c>
      <c r="U27" s="46">
        <v>0.127</v>
      </c>
      <c r="V27" s="43"/>
      <c r="W27" s="46"/>
      <c r="X27" s="46"/>
      <c r="Y27" s="46"/>
      <c r="Z27" s="44">
        <f>IF(Articles!$G27=1,IF(Articles!$E27&lt;Articles!$F27,1,""),"")</f>
        <v>1</v>
      </c>
    </row>
    <row r="28" spans="1:26" x14ac:dyDescent="0.25">
      <c r="A28" s="43" t="s">
        <v>360</v>
      </c>
      <c r="B28" s="44" t="s">
        <v>361</v>
      </c>
      <c r="C28" s="44" t="s">
        <v>352</v>
      </c>
      <c r="D28" s="44" t="s">
        <v>362</v>
      </c>
      <c r="E28" s="44">
        <v>1</v>
      </c>
      <c r="F28" s="44">
        <f>10</f>
        <v>10</v>
      </c>
      <c r="G28" s="44">
        <f>1</f>
        <v>1</v>
      </c>
      <c r="H28" s="45" t="str">
        <f t="array" ref="H28">IF(ISERROR(INDEX(Articles!$J28:$W28, MATCH(FALSE, ISBLANK(Articles!$J28:$W28),0))),"N/A",INDEX(Articles!$J28:$W28, MATCH(FALSE, ISBLANK(Articles!$J28:$W28),0)))</f>
        <v>32867696371</v>
      </c>
      <c r="I28" s="46">
        <f t="array" aca="1" ref="I28" ca="1">IF(ISERROR(OFFSET(INDEX(Articles!$J28:$Y28, MATCH(FALSE, ISBLANK(Articles!$J28:$Y28),0)),0,1)),"N/A",OFFSET(INDEX(Articles!$J28:$Y28, MATCH(FALSE, ISBLANK(Articles!$J28:$Y28),0)),0,1))</f>
        <v>7.46</v>
      </c>
      <c r="J28" s="43"/>
      <c r="K28" s="46"/>
      <c r="L28" s="43"/>
      <c r="M28" s="46"/>
      <c r="N28" s="43"/>
      <c r="O28" s="46"/>
      <c r="P28" s="43"/>
      <c r="Q28" s="46"/>
      <c r="R28" s="43"/>
      <c r="S28" s="46"/>
      <c r="T28" s="43" t="s">
        <v>360</v>
      </c>
      <c r="U28" s="46">
        <v>7.46</v>
      </c>
      <c r="V28" s="43"/>
      <c r="W28" s="46"/>
      <c r="X28" s="46"/>
      <c r="Y28" s="46"/>
      <c r="Z28" s="44">
        <f>IF(Articles!$G28=1,IF(Articles!$E28&lt;Articles!$F28,1,""),"")</f>
        <v>1</v>
      </c>
    </row>
    <row r="29" spans="1:26" x14ac:dyDescent="0.25">
      <c r="A29" s="43" t="s">
        <v>343</v>
      </c>
      <c r="B29" s="44" t="s">
        <v>344</v>
      </c>
      <c r="C29" s="44" t="s">
        <v>352</v>
      </c>
      <c r="D29" s="44" t="s">
        <v>345</v>
      </c>
      <c r="E29" s="44">
        <v>0</v>
      </c>
      <c r="F29" s="44">
        <f>10</f>
        <v>10</v>
      </c>
      <c r="G29" s="44">
        <f>1</f>
        <v>1</v>
      </c>
      <c r="H29" s="45" t="str">
        <f t="array" ref="H29">IF(ISERROR(INDEX(Articles!$J29:$W29, MATCH(FALSE, ISBLANK(Articles!$J29:$W29),0))),"N/A",INDEX(Articles!$J29:$W29, MATCH(FALSE, ISBLANK(Articles!$J29:$W29),0)))</f>
        <v>418973 - 62</v>
      </c>
      <c r="I29" s="46">
        <f t="array" aca="1" ref="I29" ca="1">IF(ISERROR(OFFSET(INDEX(Articles!$J29:$Y29, MATCH(FALSE, ISBLANK(Articles!$J29:$Y29),0)),0,1)),"N/A",OFFSET(INDEX(Articles!$J29:$Y29, MATCH(FALSE, ISBLANK(Articles!$J29:$Y29),0)),0,1))</f>
        <v>0.31</v>
      </c>
      <c r="J29" s="43"/>
      <c r="K29" s="46"/>
      <c r="L29" s="43"/>
      <c r="M29" s="46"/>
      <c r="N29" s="43"/>
      <c r="O29" s="46"/>
      <c r="P29" s="43" t="s">
        <v>342</v>
      </c>
      <c r="Q29" s="46">
        <v>0.31</v>
      </c>
      <c r="R29" s="43"/>
      <c r="S29" s="46"/>
      <c r="T29" s="43"/>
      <c r="U29" s="46"/>
      <c r="V29" s="43"/>
      <c r="W29" s="46"/>
      <c r="X29" s="46"/>
      <c r="Y29" s="46"/>
      <c r="Z29" s="44">
        <f>IF(Articles!$G29=1,IF(Articles!$E29&lt;Articles!$F29,1,""),"")</f>
        <v>1</v>
      </c>
    </row>
    <row r="30" spans="1:26" x14ac:dyDescent="0.25">
      <c r="A30" s="43" t="s">
        <v>347</v>
      </c>
      <c r="B30" s="44" t="s">
        <v>348</v>
      </c>
      <c r="C30" s="44" t="s">
        <v>352</v>
      </c>
      <c r="D30" s="44" t="s">
        <v>349</v>
      </c>
      <c r="E30" s="44">
        <v>1</v>
      </c>
      <c r="F30" s="44">
        <f>10</f>
        <v>10</v>
      </c>
      <c r="G30" s="44">
        <f>1</f>
        <v>1</v>
      </c>
      <c r="H30" s="45" t="str">
        <f t="array" ref="H30">IF(ISERROR(INDEX(Articles!$J30:$W30, MATCH(FALSE, ISBLANK(Articles!$J30:$W30),0))),"N/A",INDEX(Articles!$J30:$W30, MATCH(FALSE, ISBLANK(Articles!$J30:$W30),0)))</f>
        <v>1558118 - 62</v>
      </c>
      <c r="I30" s="46">
        <f t="array" aca="1" ref="I30" ca="1">IF(ISERROR(OFFSET(INDEX(Articles!$J30:$Y30, MATCH(FALSE, ISBLANK(Articles!$J30:$Y30),0)),0,1)),"N/A",OFFSET(INDEX(Articles!$J30:$Y30, MATCH(FALSE, ISBLANK(Articles!$J30:$Y30),0)),0,1))</f>
        <v>399.95</v>
      </c>
      <c r="J30" s="43"/>
      <c r="K30" s="46"/>
      <c r="L30" s="43"/>
      <c r="M30" s="46"/>
      <c r="N30" s="43"/>
      <c r="O30" s="46"/>
      <c r="P30" s="43" t="s">
        <v>346</v>
      </c>
      <c r="Q30" s="46">
        <v>399.95</v>
      </c>
      <c r="R30" s="43"/>
      <c r="S30" s="46"/>
      <c r="T30" s="43"/>
      <c r="U30" s="46"/>
      <c r="V30" s="43"/>
      <c r="W30" s="46"/>
      <c r="X30" s="46"/>
      <c r="Y30" s="46"/>
      <c r="Z30" s="44">
        <f>IF(Articles!$G30=1,IF(Articles!$E30&lt;Articles!$F30,1,""),"")</f>
        <v>1</v>
      </c>
    </row>
    <row r="31" spans="1:26" x14ac:dyDescent="0.25">
      <c r="A31" s="43" t="s">
        <v>133</v>
      </c>
      <c r="B31" s="44" t="s">
        <v>7</v>
      </c>
      <c r="C31" s="44" t="s">
        <v>352</v>
      </c>
      <c r="D31" s="44" t="s">
        <v>132</v>
      </c>
      <c r="E31" s="44">
        <v>10</v>
      </c>
      <c r="F31" s="44">
        <f>10</f>
        <v>10</v>
      </c>
      <c r="G31" s="44">
        <f>1</f>
        <v>1</v>
      </c>
      <c r="H31" s="45" t="str">
        <f t="array" ref="H31">IF(ISERROR(INDEX(Articles!$J31:$W31, MATCH(FALSE, ISBLANK(Articles!$J31:$W31),0))),"N/A",INDEX(Articles!$J31:$W31, MATCH(FALSE, ISBLANK(Articles!$J31:$W31),0)))</f>
        <v>3M5475-ND</v>
      </c>
      <c r="I31" s="46">
        <f t="array" aca="1" ref="I31" ca="1">IF(ISERROR(OFFSET(INDEX(Articles!$J31:$Y31, MATCH(FALSE, ISBLANK(Articles!$J31:$Y31),0)),0,1)),"N/A",OFFSET(INDEX(Articles!$J31:$Y31, MATCH(FALSE, ISBLANK(Articles!$J31:$Y31),0)),0,1))</f>
        <v>0.61</v>
      </c>
      <c r="J31" s="43" t="s">
        <v>475</v>
      </c>
      <c r="K31" s="46">
        <v>0.61</v>
      </c>
      <c r="L31" s="43" t="s">
        <v>134</v>
      </c>
      <c r="M31" s="46">
        <v>0.34899999999999998</v>
      </c>
      <c r="N31" s="43"/>
      <c r="O31" s="46"/>
      <c r="P31" s="43"/>
      <c r="Q31" s="46"/>
      <c r="R31" s="43"/>
      <c r="S31" s="46"/>
      <c r="T31" s="43"/>
      <c r="U31" s="46"/>
      <c r="V31" s="43"/>
      <c r="W31" s="46">
        <v>0.34899999999999998</v>
      </c>
      <c r="X31" s="46"/>
      <c r="Y31" s="46"/>
      <c r="Z31" s="44" t="str">
        <f>IF(Articles!$G31=1,IF(Articles!$E31&lt;Articles!$F31,1,""),"")</f>
        <v/>
      </c>
    </row>
    <row r="32" spans="1:26" x14ac:dyDescent="0.25">
      <c r="A32" s="43" t="s">
        <v>34</v>
      </c>
      <c r="B32" s="44" t="s">
        <v>33</v>
      </c>
      <c r="C32" s="44" t="s">
        <v>352</v>
      </c>
      <c r="D32" s="44" t="s">
        <v>32</v>
      </c>
      <c r="E32" s="44">
        <v>4</v>
      </c>
      <c r="F32" s="44">
        <f>10</f>
        <v>10</v>
      </c>
      <c r="G32" s="44">
        <f>1</f>
        <v>1</v>
      </c>
      <c r="H32" s="45">
        <f t="array" ref="H32">IF(ISERROR(INDEX(Articles!$J32:$W32, MATCH(FALSE, ISBLANK(Articles!$J32:$W32),0))),"N/A",INDEX(Articles!$J32:$W32, MATCH(FALSE, ISBLANK(Articles!$J32:$W32),0)))</f>
        <v>2112100</v>
      </c>
      <c r="I32" s="46">
        <f t="array" aca="1" ref="I32" ca="1">IF(ISERROR(OFFSET(INDEX(Articles!$J32:$Y32, MATCH(FALSE, ISBLANK(Articles!$J32:$Y32),0)),0,1)),"N/A",OFFSET(INDEX(Articles!$J32:$Y32, MATCH(FALSE, ISBLANK(Articles!$J32:$Y32),0)),0,1))</f>
        <v>0.28999999999999998</v>
      </c>
      <c r="J32" s="43"/>
      <c r="K32" s="46"/>
      <c r="L32" s="43">
        <v>2112100</v>
      </c>
      <c r="M32" s="46">
        <v>0.28999999999999998</v>
      </c>
      <c r="N32" s="43"/>
      <c r="O32" s="46"/>
      <c r="P32" s="43"/>
      <c r="Q32" s="46"/>
      <c r="R32" s="43"/>
      <c r="S32" s="46"/>
      <c r="T32" s="43"/>
      <c r="U32" s="46"/>
      <c r="V32" s="43"/>
      <c r="W32" s="46">
        <v>0.28999999999999998</v>
      </c>
      <c r="X32" s="46"/>
      <c r="Y32" s="46"/>
      <c r="Z32" s="44">
        <f>IF(Articles!$G32=1,IF(Articles!$E32&lt;Articles!$F32,1,""),"")</f>
        <v>1</v>
      </c>
    </row>
    <row r="33" spans="1:26" x14ac:dyDescent="0.25">
      <c r="A33" s="43" t="s">
        <v>90</v>
      </c>
      <c r="B33" s="44" t="s">
        <v>91</v>
      </c>
      <c r="C33" s="44" t="s">
        <v>352</v>
      </c>
      <c r="D33" s="44" t="s">
        <v>96</v>
      </c>
      <c r="E33" s="44">
        <v>0</v>
      </c>
      <c r="F33" s="44">
        <f>10</f>
        <v>10</v>
      </c>
      <c r="G33" s="44">
        <f>1</f>
        <v>1</v>
      </c>
      <c r="H33" s="45" t="str">
        <f t="array" ref="H33">IF(ISERROR(INDEX(Articles!$J33:$W33, MATCH(FALSE, ISBLANK(Articles!$J33:$W33),0))),"N/A",INDEX(Articles!$J33:$W33, MATCH(FALSE, ISBLANK(Articles!$J33:$W33),0)))</f>
        <v>A106373-ND</v>
      </c>
      <c r="I33" s="46">
        <f t="array" aca="1" ref="I33" ca="1">IF(ISERROR(OFFSET(INDEX(Articles!$J33:$Y33, MATCH(FALSE, ISBLANK(Articles!$J33:$Y33),0)),0,1)),"N/A",OFFSET(INDEX(Articles!$J33:$Y33, MATCH(FALSE, ISBLANK(Articles!$J33:$Y33),0)),0,1))</f>
        <v>1.38</v>
      </c>
      <c r="J33" s="43" t="s">
        <v>476</v>
      </c>
      <c r="K33" s="46">
        <v>1.38</v>
      </c>
      <c r="L33" s="43" t="s">
        <v>89</v>
      </c>
      <c r="M33" s="46">
        <v>0.32600000000000001</v>
      </c>
      <c r="N33" s="43"/>
      <c r="O33" s="46"/>
      <c r="P33" s="43"/>
      <c r="Q33" s="46"/>
      <c r="R33" s="43"/>
      <c r="S33" s="46"/>
      <c r="T33" s="43"/>
      <c r="U33" s="46"/>
      <c r="V33" s="43"/>
      <c r="W33" s="46">
        <v>0.32600000000000001</v>
      </c>
      <c r="X33" s="46"/>
      <c r="Y33" s="46"/>
      <c r="Z33" s="44">
        <f>IF(Articles!$G33=1,IF(Articles!$E33&lt;Articles!$F33,1,""),"")</f>
        <v>1</v>
      </c>
    </row>
    <row r="34" spans="1:26" x14ac:dyDescent="0.25">
      <c r="A34" s="43" t="s">
        <v>40</v>
      </c>
      <c r="B34" s="44" t="s">
        <v>7</v>
      </c>
      <c r="C34" s="44" t="s">
        <v>352</v>
      </c>
      <c r="D34" s="44" t="s">
        <v>39</v>
      </c>
      <c r="E34" s="44">
        <v>0</v>
      </c>
      <c r="F34" s="44">
        <f>10</f>
        <v>10</v>
      </c>
      <c r="G34" s="44">
        <f>1</f>
        <v>1</v>
      </c>
      <c r="H34" s="45">
        <f t="array" ref="H34">IF(ISERROR(INDEX(Articles!$J34:$W34, MATCH(FALSE, ISBLANK(Articles!$J34:$W34),0))),"N/A",INDEX(Articles!$J34:$W34, MATCH(FALSE, ISBLANK(Articles!$J34:$W34),0)))</f>
        <v>2064805</v>
      </c>
      <c r="I34" s="46">
        <f t="array" aca="1" ref="I34" ca="1">IF(ISERROR(OFFSET(INDEX(Articles!$J34:$Y34, MATCH(FALSE, ISBLANK(Articles!$J34:$Y34),0)),0,1)),"N/A",OFFSET(INDEX(Articles!$J34:$Y34, MATCH(FALSE, ISBLANK(Articles!$J34:$Y34),0)),0,1))</f>
        <v>2.95</v>
      </c>
      <c r="J34" s="43"/>
      <c r="K34" s="46"/>
      <c r="L34" s="43">
        <v>2064805</v>
      </c>
      <c r="M34" s="46">
        <v>2.95</v>
      </c>
      <c r="N34" s="43"/>
      <c r="O34" s="46"/>
      <c r="P34" s="43"/>
      <c r="Q34" s="46"/>
      <c r="R34" s="43"/>
      <c r="S34" s="46"/>
      <c r="T34" s="43"/>
      <c r="U34" s="46"/>
      <c r="V34" s="43"/>
      <c r="W34" s="46">
        <v>2.95</v>
      </c>
      <c r="X34" s="46"/>
      <c r="Y34" s="46"/>
      <c r="Z34" s="44">
        <f>IF(Articles!$G34=1,IF(Articles!$E34&lt;Articles!$F34,1,""),"")</f>
        <v>1</v>
      </c>
    </row>
    <row r="35" spans="1:26" x14ac:dyDescent="0.25">
      <c r="A35" s="44" t="s">
        <v>77</v>
      </c>
      <c r="B35" s="44" t="s">
        <v>76</v>
      </c>
      <c r="C35" s="44" t="s">
        <v>352</v>
      </c>
      <c r="D35" s="44" t="s">
        <v>75</v>
      </c>
      <c r="E35" s="44">
        <v>1</v>
      </c>
      <c r="F35" s="44">
        <f>10</f>
        <v>10</v>
      </c>
      <c r="G35" s="44">
        <f>1</f>
        <v>1</v>
      </c>
      <c r="H35" s="45" t="str">
        <f t="array" ref="H35">IF(ISERROR(INDEX(Articles!$J35:$W35, MATCH(FALSE, ISBLANK(Articles!$J35:$W35),0))),"N/A",INDEX(Articles!$J35:$W35, MATCH(FALSE, ISBLANK(Articles!$J35:$W35),0)))</f>
        <v>668-1204-ND</v>
      </c>
      <c r="I35" s="46">
        <f t="array" aca="1" ref="I35" ca="1">IF(ISERROR(OFFSET(INDEX(Articles!$J35:$Y35, MATCH(FALSE, ISBLANK(Articles!$J35:$Y35),0)),0,1)),"N/A",OFFSET(INDEX(Articles!$J35:$Y35, MATCH(FALSE, ISBLANK(Articles!$J35:$Y35),0)),0,1))</f>
        <v>2.98</v>
      </c>
      <c r="J35" s="43" t="s">
        <v>74</v>
      </c>
      <c r="K35" s="46">
        <v>2.98</v>
      </c>
      <c r="L35" s="43"/>
      <c r="M35" s="46"/>
      <c r="N35" s="43"/>
      <c r="O35" s="46"/>
      <c r="P35" s="43"/>
      <c r="Q35" s="46"/>
      <c r="R35" s="43"/>
      <c r="S35" s="46"/>
      <c r="T35" s="43"/>
      <c r="U35" s="46"/>
      <c r="V35" s="43"/>
      <c r="W35" s="46"/>
      <c r="X35" s="46"/>
      <c r="Y35" s="46"/>
      <c r="Z35" s="44">
        <f>IF(Articles!$G35=1,IF(Articles!$E35&lt;Articles!$F35,1,""),"")</f>
        <v>1</v>
      </c>
    </row>
    <row r="36" spans="1:26" x14ac:dyDescent="0.25">
      <c r="A36" s="43" t="s">
        <v>504</v>
      </c>
      <c r="B36" s="44" t="s">
        <v>258</v>
      </c>
      <c r="C36" s="44" t="s">
        <v>352</v>
      </c>
      <c r="D36" s="44" t="s">
        <v>270</v>
      </c>
      <c r="E36" s="44">
        <v>3</v>
      </c>
      <c r="F36" s="44">
        <f>10</f>
        <v>10</v>
      </c>
      <c r="G36" s="44">
        <f>1</f>
        <v>1</v>
      </c>
      <c r="H36" s="45" t="str">
        <f t="array" ref="H36">IF(ISERROR(INDEX(Articles!$J36:$W36, MATCH(FALSE, ISBLANK(Articles!$J36:$W36),0))),"N/A",INDEX(Articles!$J36:$W36, MATCH(FALSE, ISBLANK(Articles!$J36:$W36),0)))</f>
        <v>495-1433-ND</v>
      </c>
      <c r="I36" s="46">
        <f t="array" aca="1" ref="I36" ca="1">IF(ISERROR(OFFSET(INDEX(Articles!$J36:$Y36, MATCH(FALSE, ISBLANK(Articles!$J36:$Y36),0)),0,1)),"N/A",OFFSET(INDEX(Articles!$J36:$Y36, MATCH(FALSE, ISBLANK(Articles!$J36:$Y36),0)),0,1))</f>
        <v>0.48</v>
      </c>
      <c r="J36" s="43" t="s">
        <v>269</v>
      </c>
      <c r="K36" s="46">
        <v>0.48</v>
      </c>
      <c r="L36" s="43"/>
      <c r="M36" s="46"/>
      <c r="N36" s="43"/>
      <c r="O36" s="46"/>
      <c r="P36" s="43"/>
      <c r="Q36" s="46"/>
      <c r="R36" s="43"/>
      <c r="S36" s="46"/>
      <c r="T36" s="43"/>
      <c r="U36" s="46"/>
      <c r="V36" s="43"/>
      <c r="W36" s="46"/>
      <c r="X36" s="46"/>
      <c r="Y36" s="46"/>
      <c r="Z36" s="44">
        <f>IF(Articles!$G36=1,IF(Articles!$E36&lt;Articles!$F36,1,""),"")</f>
        <v>1</v>
      </c>
    </row>
    <row r="37" spans="1:26" x14ac:dyDescent="0.25">
      <c r="A37" s="43" t="s">
        <v>503</v>
      </c>
      <c r="B37" s="44" t="s">
        <v>258</v>
      </c>
      <c r="C37" s="44" t="s">
        <v>352</v>
      </c>
      <c r="D37" s="44" t="s">
        <v>266</v>
      </c>
      <c r="E37" s="44">
        <v>1</v>
      </c>
      <c r="F37" s="44">
        <f>10</f>
        <v>10</v>
      </c>
      <c r="G37" s="44">
        <f>1</f>
        <v>1</v>
      </c>
      <c r="H37" s="45" t="str">
        <f t="array" ref="H37">IF(ISERROR(INDEX(Articles!$J37:$W37, MATCH(FALSE, ISBLANK(Articles!$J37:$W37),0))),"N/A",INDEX(Articles!$J37:$W37, MATCH(FALSE, ISBLANK(Articles!$J37:$W37),0)))</f>
        <v>495-5623-1-ND</v>
      </c>
      <c r="I37" s="46">
        <f t="array" aca="1" ref="I37" ca="1">IF(ISERROR(OFFSET(INDEX(Articles!$J37:$Y37, MATCH(FALSE, ISBLANK(Articles!$J37:$Y37),0)),0,1)),"N/A",OFFSET(INDEX(Articles!$J37:$Y37, MATCH(FALSE, ISBLANK(Articles!$J37:$Y37),0)),0,1))</f>
        <v>0.72</v>
      </c>
      <c r="J37" s="43" t="s">
        <v>265</v>
      </c>
      <c r="K37" s="46">
        <v>0.72</v>
      </c>
      <c r="L37" s="43"/>
      <c r="M37" s="46"/>
      <c r="N37" s="43"/>
      <c r="O37" s="46"/>
      <c r="P37" s="43"/>
      <c r="Q37" s="46"/>
      <c r="R37" s="43"/>
      <c r="S37" s="46"/>
      <c r="T37" s="43"/>
      <c r="U37" s="46"/>
      <c r="V37" s="43"/>
      <c r="W37" s="46"/>
      <c r="X37" s="46"/>
      <c r="Y37" s="46"/>
      <c r="Z37" s="44">
        <f>IF(Articles!$G37=1,IF(Articles!$E37&lt;Articles!$F37,1,""),"")</f>
        <v>1</v>
      </c>
    </row>
    <row r="38" spans="1:26" x14ac:dyDescent="0.25">
      <c r="A38" s="43" t="s">
        <v>502</v>
      </c>
      <c r="B38" s="44" t="s">
        <v>258</v>
      </c>
      <c r="C38" s="44" t="s">
        <v>352</v>
      </c>
      <c r="D38" s="44" t="s">
        <v>264</v>
      </c>
      <c r="E38" s="44">
        <v>1</v>
      </c>
      <c r="F38" s="44">
        <f>10</f>
        <v>10</v>
      </c>
      <c r="G38" s="44">
        <f>1</f>
        <v>1</v>
      </c>
      <c r="H38" s="45" t="str">
        <f t="array" ref="H38">IF(ISERROR(INDEX(Articles!$J38:$W38, MATCH(FALSE, ISBLANK(Articles!$J38:$W38),0))),"N/A",INDEX(Articles!$J38:$W38, MATCH(FALSE, ISBLANK(Articles!$J38:$W38),0)))</f>
        <v>495-5633-1-ND</v>
      </c>
      <c r="I38" s="46">
        <f t="array" aca="1" ref="I38" ca="1">IF(ISERROR(OFFSET(INDEX(Articles!$J38:$Y38, MATCH(FALSE, ISBLANK(Articles!$J38:$Y38),0)),0,1)),"N/A",OFFSET(INDEX(Articles!$J38:$Y38, MATCH(FALSE, ISBLANK(Articles!$J38:$Y38),0)),0,1))</f>
        <v>0.93</v>
      </c>
      <c r="J38" s="43" t="s">
        <v>263</v>
      </c>
      <c r="K38" s="46">
        <v>0.93</v>
      </c>
      <c r="L38" s="43"/>
      <c r="M38" s="46"/>
      <c r="N38" s="43"/>
      <c r="O38" s="46"/>
      <c r="P38" s="43"/>
      <c r="Q38" s="46"/>
      <c r="R38" s="43"/>
      <c r="S38" s="46"/>
      <c r="T38" s="43"/>
      <c r="U38" s="46"/>
      <c r="V38" s="43"/>
      <c r="W38" s="46"/>
      <c r="X38" s="46"/>
      <c r="Y38" s="46"/>
      <c r="Z38" s="44">
        <f>IF(Articles!$G38=1,IF(Articles!$E38&lt;Articles!$F38,1,""),"")</f>
        <v>1</v>
      </c>
    </row>
    <row r="39" spans="1:26" x14ac:dyDescent="0.25">
      <c r="A39" s="43" t="s">
        <v>225</v>
      </c>
      <c r="B39" s="44" t="s">
        <v>226</v>
      </c>
      <c r="C39" s="44" t="s">
        <v>352</v>
      </c>
      <c r="D39" s="44" t="s">
        <v>227</v>
      </c>
      <c r="E39" s="44">
        <v>4</v>
      </c>
      <c r="F39" s="44">
        <f>10</f>
        <v>10</v>
      </c>
      <c r="G39" s="44">
        <f>1</f>
        <v>1</v>
      </c>
      <c r="H39" s="45" t="str">
        <f t="array" ref="H39">IF(ISERROR(INDEX(Articles!$J39:$W39, MATCH(FALSE, ISBLANK(Articles!$J39:$W39),0))),"N/A",INDEX(Articles!$J39:$W39, MATCH(FALSE, ISBLANK(Articles!$J39:$W39),0)))</f>
        <v>BU2032SM-JJ-GCT-ND</v>
      </c>
      <c r="I39" s="46">
        <f t="array" aca="1" ref="I39" ca="1">IF(ISERROR(OFFSET(INDEX(Articles!$J39:$Y39, MATCH(FALSE, ISBLANK(Articles!$J39:$Y39),0)),0,1)),"N/A",OFFSET(INDEX(Articles!$J39:$Y39, MATCH(FALSE, ISBLANK(Articles!$J39:$Y39),0)),0,1))</f>
        <v>1.21</v>
      </c>
      <c r="J39" s="43" t="s">
        <v>224</v>
      </c>
      <c r="K39" s="46">
        <v>1.21</v>
      </c>
      <c r="L39" s="43"/>
      <c r="M39" s="46"/>
      <c r="N39" s="43"/>
      <c r="O39" s="46"/>
      <c r="P39" s="43"/>
      <c r="Q39" s="46"/>
      <c r="R39" s="43"/>
      <c r="S39" s="46"/>
      <c r="T39" s="43"/>
      <c r="U39" s="46"/>
      <c r="V39" s="43"/>
      <c r="W39" s="46"/>
      <c r="X39" s="46"/>
      <c r="Y39" s="46"/>
      <c r="Z39" s="44">
        <f>IF(Articles!$G39=1,IF(Articles!$E39&lt;Articles!$F39,1,""),"")</f>
        <v>1</v>
      </c>
    </row>
    <row r="40" spans="1:26" x14ac:dyDescent="0.25">
      <c r="A40" s="43" t="s">
        <v>242</v>
      </c>
      <c r="B40" s="44" t="s">
        <v>243</v>
      </c>
      <c r="C40" s="44" t="s">
        <v>352</v>
      </c>
      <c r="D40" s="44" t="s">
        <v>244</v>
      </c>
      <c r="E40" s="44">
        <v>17</v>
      </c>
      <c r="F40" s="44">
        <f>10</f>
        <v>10</v>
      </c>
      <c r="G40" s="44">
        <f>1</f>
        <v>1</v>
      </c>
      <c r="H40" s="45" t="str">
        <f t="array" ref="H40">IF(ISERROR(INDEX(Articles!$J40:$W40, MATCH(FALSE, ISBLANK(Articles!$J40:$W40),0))),"N/A",INDEX(Articles!$J40:$W40, MATCH(FALSE, ISBLANK(Articles!$J40:$W40),0)))</f>
        <v>1276-3178-1-ND</v>
      </c>
      <c r="I40" s="46">
        <f t="array" aca="1" ref="I40" ca="1">IF(ISERROR(OFFSET(INDEX(Articles!$J40:$Y40, MATCH(FALSE, ISBLANK(Articles!$J40:$Y40),0)),0,1)),"N/A",OFFSET(INDEX(Articles!$J40:$Y40, MATCH(FALSE, ISBLANK(Articles!$J40:$Y40),0)),0,1))</f>
        <v>0.27</v>
      </c>
      <c r="J40" s="43" t="s">
        <v>241</v>
      </c>
      <c r="K40" s="46">
        <v>0.27</v>
      </c>
      <c r="L40" s="43"/>
      <c r="M40" s="46"/>
      <c r="N40" s="43"/>
      <c r="O40" s="46"/>
      <c r="P40" s="43"/>
      <c r="Q40" s="46"/>
      <c r="R40" s="43"/>
      <c r="S40" s="46"/>
      <c r="T40" s="43"/>
      <c r="U40" s="46"/>
      <c r="V40" s="43"/>
      <c r="W40" s="46"/>
      <c r="X40" s="46"/>
      <c r="Y40" s="46"/>
      <c r="Z40" s="44" t="str">
        <f>IF(Articles!$G40=1,IF(Articles!$E40&lt;Articles!$F40,1,""),"")</f>
        <v/>
      </c>
    </row>
    <row r="41" spans="1:26" x14ac:dyDescent="0.25">
      <c r="A41" s="43" t="s">
        <v>250</v>
      </c>
      <c r="B41" s="44" t="s">
        <v>251</v>
      </c>
      <c r="C41" s="44" t="s">
        <v>352</v>
      </c>
      <c r="D41" s="44" t="s">
        <v>252</v>
      </c>
      <c r="E41" s="44">
        <v>99</v>
      </c>
      <c r="F41" s="44">
        <f>10</f>
        <v>10</v>
      </c>
      <c r="G41" s="44">
        <f>1</f>
        <v>1</v>
      </c>
      <c r="H41" s="45" t="str">
        <f t="array" ref="H41">IF(ISERROR(INDEX(Articles!$J41:$W41, MATCH(FALSE, ISBLANK(Articles!$J41:$W41),0))),"N/A",INDEX(Articles!$J41:$W41, MATCH(FALSE, ISBLANK(Articles!$J41:$W41),0)))</f>
        <v>541-3979-1-ND</v>
      </c>
      <c r="I41" s="46">
        <f t="array" aca="1" ref="I41" ca="1">IF(ISERROR(OFFSET(INDEX(Articles!$J41:$Y41, MATCH(FALSE, ISBLANK(Articles!$J41:$Y41),0)),0,1)),"N/A",OFFSET(INDEX(Articles!$J41:$Y41, MATCH(FALSE, ISBLANK(Articles!$J41:$Y41),0)),0,1))</f>
        <v>4.8000000000000001E-2</v>
      </c>
      <c r="J41" s="43" t="s">
        <v>249</v>
      </c>
      <c r="K41" s="46">
        <v>4.8000000000000001E-2</v>
      </c>
      <c r="L41" s="43"/>
      <c r="M41" s="46"/>
      <c r="N41" s="43"/>
      <c r="O41" s="46"/>
      <c r="P41" s="43"/>
      <c r="Q41" s="46"/>
      <c r="R41" s="43"/>
      <c r="S41" s="46"/>
      <c r="T41" s="43"/>
      <c r="U41" s="46"/>
      <c r="V41" s="43"/>
      <c r="W41" s="46"/>
      <c r="X41" s="46"/>
      <c r="Y41" s="46"/>
      <c r="Z41" s="44" t="str">
        <f>IF(Articles!$G41=1,IF(Articles!$E41&lt;Articles!$F41,1,""),"")</f>
        <v/>
      </c>
    </row>
    <row r="42" spans="1:26" x14ac:dyDescent="0.25">
      <c r="A42" s="43" t="s">
        <v>188</v>
      </c>
      <c r="B42" s="44" t="s">
        <v>177</v>
      </c>
      <c r="C42" s="44" t="s">
        <v>352</v>
      </c>
      <c r="D42" s="44" t="s">
        <v>189</v>
      </c>
      <c r="E42" s="44">
        <v>99</v>
      </c>
      <c r="F42" s="44">
        <f>10</f>
        <v>10</v>
      </c>
      <c r="G42" s="44">
        <f>1</f>
        <v>1</v>
      </c>
      <c r="H42" s="45" t="str">
        <f t="array" ref="H42">IF(ISERROR(INDEX(Articles!$J42:$W42, MATCH(FALSE, ISBLANK(Articles!$J42:$W42),0))),"N/A",INDEX(Articles!$J42:$W42, MATCH(FALSE, ISBLANK(Articles!$J42:$W42),0)))</f>
        <v>541-4131-1-ND</v>
      </c>
      <c r="I42" s="46">
        <f t="array" aca="1" ref="I42" ca="1">IF(ISERROR(OFFSET(INDEX(Articles!$J42:$Y42, MATCH(FALSE, ISBLANK(Articles!$J42:$Y42),0)),0,1)),"N/A",OFFSET(INDEX(Articles!$J42:$Y42, MATCH(FALSE, ISBLANK(Articles!$J42:$Y42),0)),0,1))</f>
        <v>1.95E-2</v>
      </c>
      <c r="J42" s="43" t="s">
        <v>187</v>
      </c>
      <c r="K42" s="46">
        <v>1.95E-2</v>
      </c>
      <c r="L42" s="43"/>
      <c r="M42" s="46"/>
      <c r="N42" s="43"/>
      <c r="O42" s="46"/>
      <c r="P42" s="43"/>
      <c r="Q42" s="46"/>
      <c r="R42" s="43"/>
      <c r="S42" s="46"/>
      <c r="T42" s="43"/>
      <c r="U42" s="46"/>
      <c r="V42" s="43"/>
      <c r="W42" s="46"/>
      <c r="X42" s="46"/>
      <c r="Y42" s="46"/>
      <c r="Z42" s="44" t="str">
        <f>IF(Articles!$G42=1,IF(Articles!$E42&lt;Articles!$F42,1,""),"")</f>
        <v/>
      </c>
    </row>
    <row r="43" spans="1:26" x14ac:dyDescent="0.25">
      <c r="A43" s="43" t="s">
        <v>501</v>
      </c>
      <c r="B43" s="44" t="s">
        <v>258</v>
      </c>
      <c r="C43" s="44" t="s">
        <v>352</v>
      </c>
      <c r="D43" s="44" t="s">
        <v>262</v>
      </c>
      <c r="E43" s="44">
        <v>3</v>
      </c>
      <c r="F43" s="44">
        <f>10</f>
        <v>10</v>
      </c>
      <c r="G43" s="44">
        <f>1</f>
        <v>1</v>
      </c>
      <c r="H43" s="45" t="str">
        <f t="array" ref="H43">IF(ISERROR(INDEX(Articles!$J43:$W43, MATCH(FALSE, ISBLANK(Articles!$J43:$W43),0))),"N/A",INDEX(Articles!$J43:$W43, MATCH(FALSE, ISBLANK(Articles!$J43:$W43),0)))</f>
        <v>A129415CT-ND</v>
      </c>
      <c r="I43" s="46">
        <f t="array" aca="1" ref="I43" ca="1">IF(ISERROR(OFFSET(INDEX(Articles!$J43:$Y43, MATCH(FALSE, ISBLANK(Articles!$J43:$Y43),0)),0,1)),"N/A",OFFSET(INDEX(Articles!$J43:$Y43, MATCH(FALSE, ISBLANK(Articles!$J43:$Y43),0)),0,1))</f>
        <v>0.31</v>
      </c>
      <c r="J43" s="43" t="s">
        <v>261</v>
      </c>
      <c r="K43" s="46">
        <v>0.31</v>
      </c>
      <c r="L43" s="43"/>
      <c r="M43" s="46"/>
      <c r="N43" s="43"/>
      <c r="O43" s="46"/>
      <c r="P43" s="43"/>
      <c r="Q43" s="46"/>
      <c r="R43" s="43"/>
      <c r="S43" s="46"/>
      <c r="T43" s="43"/>
      <c r="U43" s="46"/>
      <c r="V43" s="43"/>
      <c r="W43" s="46"/>
      <c r="X43" s="46"/>
      <c r="Y43" s="46"/>
      <c r="Z43" s="44">
        <f>IF(Articles!$G43=1,IF(Articles!$E43&lt;Articles!$F43,1,""),"")</f>
        <v>1</v>
      </c>
    </row>
    <row r="44" spans="1:26" x14ac:dyDescent="0.25">
      <c r="A44" s="43" t="s">
        <v>322</v>
      </c>
      <c r="B44" s="44" t="s">
        <v>253</v>
      </c>
      <c r="C44" s="44" t="s">
        <v>352</v>
      </c>
      <c r="D44" s="44" t="s">
        <v>254</v>
      </c>
      <c r="E44" s="44">
        <v>9</v>
      </c>
      <c r="F44" s="44">
        <f>10</f>
        <v>10</v>
      </c>
      <c r="G44" s="44">
        <f>1</f>
        <v>1</v>
      </c>
      <c r="H44" s="45" t="str">
        <f t="array" ref="H44">IF(ISERROR(INDEX(Articles!$J44:$W44, MATCH(FALSE, ISBLANK(Articles!$J44:$W44),0))),"N/A",INDEX(Articles!$J44:$W44, MATCH(FALSE, ISBLANK(Articles!$J44:$W44),0)))</f>
        <v>N/A</v>
      </c>
      <c r="I44" s="46" t="str">
        <f t="array" aca="1" ref="I44" ca="1">IF(ISERROR(OFFSET(INDEX(Articles!$J44:$Y44, MATCH(FALSE, ISBLANK(Articles!$J44:$Y44),0)),0,1)),"N/A",OFFSET(INDEX(Articles!$J44:$Y44, MATCH(FALSE, ISBLANK(Articles!$J44:$Y44),0)),0,1))</f>
        <v>N/A</v>
      </c>
      <c r="J44" s="43"/>
      <c r="K44" s="46"/>
      <c r="L44" s="43"/>
      <c r="M44" s="46"/>
      <c r="N44" s="43"/>
      <c r="O44" s="46"/>
      <c r="P44" s="43"/>
      <c r="Q44" s="46"/>
      <c r="R44" s="43"/>
      <c r="S44" s="46"/>
      <c r="T44" s="43"/>
      <c r="U44" s="46"/>
      <c r="V44" s="43"/>
      <c r="W44" s="46"/>
      <c r="X44" s="46"/>
      <c r="Y44" s="46"/>
      <c r="Z44" s="44">
        <f>IF(Articles!$G44=1,IF(Articles!$E44&lt;Articles!$F44,1,""),"")</f>
        <v>1</v>
      </c>
    </row>
    <row r="45" spans="1:26" x14ac:dyDescent="0.25">
      <c r="A45" s="43" t="s">
        <v>323</v>
      </c>
      <c r="B45" s="44" t="s">
        <v>253</v>
      </c>
      <c r="C45" s="44" t="s">
        <v>352</v>
      </c>
      <c r="D45" s="44" t="s">
        <v>255</v>
      </c>
      <c r="E45" s="44">
        <v>10</v>
      </c>
      <c r="F45" s="44">
        <f>10</f>
        <v>10</v>
      </c>
      <c r="G45" s="44">
        <f>1</f>
        <v>1</v>
      </c>
      <c r="H45" s="45" t="str">
        <f t="array" ref="H45">IF(ISERROR(INDEX(Articles!$J45:$W45, MATCH(FALSE, ISBLANK(Articles!$J45:$W45),0))),"N/A",INDEX(Articles!$J45:$W45, MATCH(FALSE, ISBLANK(Articles!$J45:$W45),0)))</f>
        <v>N/A</v>
      </c>
      <c r="I45" s="46" t="str">
        <f t="array" aca="1" ref="I45" ca="1">IF(ISERROR(OFFSET(INDEX(Articles!$J45:$Y45, MATCH(FALSE, ISBLANK(Articles!$J45:$Y45),0)),0,1)),"N/A",OFFSET(INDEX(Articles!$J45:$Y45, MATCH(FALSE, ISBLANK(Articles!$J45:$Y45),0)),0,1))</f>
        <v>N/A</v>
      </c>
      <c r="J45" s="43"/>
      <c r="K45" s="46"/>
      <c r="L45" s="43"/>
      <c r="M45" s="46"/>
      <c r="N45" s="43"/>
      <c r="O45" s="46"/>
      <c r="P45" s="43"/>
      <c r="Q45" s="46"/>
      <c r="R45" s="43"/>
      <c r="S45" s="46"/>
      <c r="T45" s="43"/>
      <c r="U45" s="46"/>
      <c r="V45" s="43"/>
      <c r="W45" s="46"/>
      <c r="X45" s="46"/>
      <c r="Y45" s="46"/>
      <c r="Z45" s="44" t="str">
        <f>IF(Articles!$G45=1,IF(Articles!$E45&lt;Articles!$F45,1,""),"")</f>
        <v/>
      </c>
    </row>
    <row r="46" spans="1:26" x14ac:dyDescent="0.25">
      <c r="A46" s="43" t="s">
        <v>326</v>
      </c>
      <c r="B46" s="44" t="s">
        <v>253</v>
      </c>
      <c r="C46" s="44" t="s">
        <v>352</v>
      </c>
      <c r="D46" s="44" t="s">
        <v>327</v>
      </c>
      <c r="E46" s="44">
        <v>10</v>
      </c>
      <c r="F46" s="44">
        <f>10</f>
        <v>10</v>
      </c>
      <c r="G46" s="44">
        <f>1</f>
        <v>1</v>
      </c>
      <c r="H46" s="45" t="str">
        <f t="array" ref="H46">IF(ISERROR(INDEX(Articles!$J46:$W46, MATCH(FALSE, ISBLANK(Articles!$J46:$W46),0))),"N/A",INDEX(Articles!$J46:$W46, MATCH(FALSE, ISBLANK(Articles!$J46:$W46),0)))</f>
        <v>N/A</v>
      </c>
      <c r="I46" s="46" t="str">
        <f t="array" aca="1" ref="I46" ca="1">IF(ISERROR(OFFSET(INDEX(Articles!$J46:$Y46, MATCH(FALSE, ISBLANK(Articles!$J46:$Y46),0)),0,1)),"N/A",OFFSET(INDEX(Articles!$J46:$Y46, MATCH(FALSE, ISBLANK(Articles!$J46:$Y46),0)),0,1))</f>
        <v>N/A</v>
      </c>
      <c r="J46" s="43"/>
      <c r="K46" s="46"/>
      <c r="L46" s="43"/>
      <c r="M46" s="46"/>
      <c r="N46" s="43"/>
      <c r="O46" s="46"/>
      <c r="P46" s="43"/>
      <c r="Q46" s="46"/>
      <c r="R46" s="43"/>
      <c r="S46" s="46"/>
      <c r="T46" s="43"/>
      <c r="U46" s="46"/>
      <c r="V46" s="43"/>
      <c r="W46" s="46"/>
      <c r="X46" s="46"/>
      <c r="Y46" s="46"/>
      <c r="Z46" s="44" t="str">
        <f>IF(Articles!$G46=1,IF(Articles!$E46&lt;Articles!$F46,1,""),"")</f>
        <v/>
      </c>
    </row>
    <row r="47" spans="1:26" x14ac:dyDescent="0.25">
      <c r="A47" s="43" t="s">
        <v>324</v>
      </c>
      <c r="B47" s="44" t="s">
        <v>253</v>
      </c>
      <c r="C47" s="44" t="s">
        <v>352</v>
      </c>
      <c r="D47" s="44" t="s">
        <v>385</v>
      </c>
      <c r="E47" s="44">
        <v>9</v>
      </c>
      <c r="F47" s="44">
        <f>10</f>
        <v>10</v>
      </c>
      <c r="G47" s="44">
        <f>1</f>
        <v>1</v>
      </c>
      <c r="H47" s="45" t="str">
        <f t="array" ref="H47">IF(ISERROR(INDEX(Articles!$J47:$W47, MATCH(FALSE, ISBLANK(Articles!$J47:$W47),0))),"N/A",INDEX(Articles!$J47:$W47, MATCH(FALSE, ISBLANK(Articles!$J47:$W47),0)))</f>
        <v>N/A</v>
      </c>
      <c r="I47" s="46" t="str">
        <f t="array" aca="1" ref="I47" ca="1">IF(ISERROR(OFFSET(INDEX(Articles!$J47:$Y47, MATCH(FALSE, ISBLANK(Articles!$J47:$Y47),0)),0,1)),"N/A",OFFSET(INDEX(Articles!$J47:$Y47, MATCH(FALSE, ISBLANK(Articles!$J47:$Y47),0)),0,1))</f>
        <v>N/A</v>
      </c>
      <c r="J47" s="43"/>
      <c r="K47" s="46"/>
      <c r="L47" s="43"/>
      <c r="M47" s="46"/>
      <c r="N47" s="43"/>
      <c r="O47" s="46"/>
      <c r="P47" s="43"/>
      <c r="Q47" s="46"/>
      <c r="R47" s="43"/>
      <c r="S47" s="46"/>
      <c r="T47" s="43"/>
      <c r="U47" s="46"/>
      <c r="V47" s="43"/>
      <c r="W47" s="46"/>
      <c r="X47" s="46"/>
      <c r="Y47" s="46"/>
      <c r="Z47" s="44">
        <f>IF(Articles!$G47=1,IF(Articles!$E47&lt;Articles!$F47,1,""),"")</f>
        <v>1</v>
      </c>
    </row>
    <row r="48" spans="1:26" x14ac:dyDescent="0.25">
      <c r="A48" s="43" t="s">
        <v>325</v>
      </c>
      <c r="B48" s="44" t="s">
        <v>253</v>
      </c>
      <c r="C48" s="44" t="s">
        <v>352</v>
      </c>
      <c r="D48" s="44" t="s">
        <v>256</v>
      </c>
      <c r="E48" s="44">
        <v>9</v>
      </c>
      <c r="F48" s="44">
        <f>10</f>
        <v>10</v>
      </c>
      <c r="G48" s="44">
        <f>1</f>
        <v>1</v>
      </c>
      <c r="H48" s="45" t="str">
        <f t="array" ref="H48">IF(ISERROR(INDEX(Articles!$J48:$W48, MATCH(FALSE, ISBLANK(Articles!$J48:$W48),0))),"N/A",INDEX(Articles!$J48:$W48, MATCH(FALSE, ISBLANK(Articles!$J48:$W48),0)))</f>
        <v>N/A</v>
      </c>
      <c r="I48" s="46" t="str">
        <f t="array" aca="1" ref="I48" ca="1">IF(ISERROR(OFFSET(INDEX(Articles!$J48:$Y48, MATCH(FALSE, ISBLANK(Articles!$J48:$Y48),0)),0,1)),"N/A",OFFSET(INDEX(Articles!$J48:$Y48, MATCH(FALSE, ISBLANK(Articles!$J48:$Y48),0)),0,1))</f>
        <v>N/A</v>
      </c>
      <c r="J48" s="43"/>
      <c r="K48" s="46"/>
      <c r="L48" s="43"/>
      <c r="M48" s="46"/>
      <c r="N48" s="43"/>
      <c r="O48" s="46"/>
      <c r="P48" s="43"/>
      <c r="Q48" s="46"/>
      <c r="R48" s="43"/>
      <c r="S48" s="46"/>
      <c r="T48" s="43"/>
      <c r="U48" s="46"/>
      <c r="V48" s="43"/>
      <c r="W48" s="46"/>
      <c r="X48" s="46"/>
      <c r="Y48" s="46"/>
      <c r="Z48" s="44">
        <f>IF(Articles!$G48=1,IF(Articles!$E48&lt;Articles!$F48,1,""),"")</f>
        <v>1</v>
      </c>
    </row>
    <row r="49" spans="1:26" x14ac:dyDescent="0.25">
      <c r="A49" s="43" t="s">
        <v>321</v>
      </c>
      <c r="B49" s="44" t="s">
        <v>253</v>
      </c>
      <c r="C49" s="44" t="s">
        <v>427</v>
      </c>
      <c r="D49" s="44" t="s">
        <v>318</v>
      </c>
      <c r="E49" s="44">
        <v>5</v>
      </c>
      <c r="F49" s="44">
        <f>10</f>
        <v>10</v>
      </c>
      <c r="G49" s="44">
        <f>1</f>
        <v>1</v>
      </c>
      <c r="H49" s="45" t="str">
        <f t="array" ref="H49">IF(ISERROR(INDEX(Articles!$J49:$W49, MATCH(FALSE, ISBLANK(Articles!$J49:$W49),0))),"N/A",INDEX(Articles!$J49:$W49, MATCH(FALSE, ISBLANK(Articles!$J49:$W49),0)))</f>
        <v>N/A</v>
      </c>
      <c r="I49" s="46" t="str">
        <f t="array" aca="1" ref="I49" ca="1">IF(ISERROR(OFFSET(INDEX(Articles!$J49:$Y49, MATCH(FALSE, ISBLANK(Articles!$J49:$Y49),0)),0,1)),"N/A",OFFSET(INDEX(Articles!$J49:$Y49, MATCH(FALSE, ISBLANK(Articles!$J49:$Y49),0)),0,1))</f>
        <v>N/A</v>
      </c>
      <c r="J49" s="43"/>
      <c r="K49" s="46"/>
      <c r="L49" s="43"/>
      <c r="M49" s="46"/>
      <c r="N49" s="43"/>
      <c r="O49" s="46"/>
      <c r="P49" s="43"/>
      <c r="Q49" s="46"/>
      <c r="R49" s="43"/>
      <c r="S49" s="46"/>
      <c r="T49" s="43"/>
      <c r="U49" s="46"/>
      <c r="V49" s="43"/>
      <c r="W49" s="46"/>
      <c r="X49" s="46"/>
      <c r="Y49" s="46"/>
      <c r="Z49" s="44">
        <f>IF(Articles!$G49=1,IF(Articles!$E49&lt;Articles!$F49,1,""),"")</f>
        <v>1</v>
      </c>
    </row>
    <row r="50" spans="1:26" x14ac:dyDescent="0.25">
      <c r="A50" s="43" t="s">
        <v>320</v>
      </c>
      <c r="B50" s="44" t="s">
        <v>253</v>
      </c>
      <c r="C50" s="44" t="s">
        <v>438</v>
      </c>
      <c r="D50" s="44" t="s">
        <v>319</v>
      </c>
      <c r="E50" s="44">
        <v>5</v>
      </c>
      <c r="F50" s="44">
        <f>10</f>
        <v>10</v>
      </c>
      <c r="G50" s="44">
        <f>1</f>
        <v>1</v>
      </c>
      <c r="H50" s="45" t="str">
        <f t="array" ref="H50">IF(ISERROR(INDEX(Articles!$J50:$W50, MATCH(FALSE, ISBLANK(Articles!$J50:$W50),0))),"N/A",INDEX(Articles!$J50:$W50, MATCH(FALSE, ISBLANK(Articles!$J50:$W50),0)))</f>
        <v>N/A</v>
      </c>
      <c r="I50" s="46" t="str">
        <f t="array" aca="1" ref="I50" ca="1">IF(ISERROR(OFFSET(INDEX(Articles!$J50:$Y50, MATCH(FALSE, ISBLANK(Articles!$J50:$Y50),0)),0,1)),"N/A",OFFSET(INDEX(Articles!$J50:$Y50, MATCH(FALSE, ISBLANK(Articles!$J50:$Y50),0)),0,1))</f>
        <v>N/A</v>
      </c>
      <c r="J50" s="43"/>
      <c r="K50" s="46"/>
      <c r="L50" s="43"/>
      <c r="M50" s="46"/>
      <c r="N50" s="43"/>
      <c r="O50" s="46"/>
      <c r="P50" s="43"/>
      <c r="Q50" s="46"/>
      <c r="R50" s="43"/>
      <c r="S50" s="46"/>
      <c r="T50" s="43"/>
      <c r="U50" s="46"/>
      <c r="V50" s="43"/>
      <c r="W50" s="46"/>
      <c r="X50" s="46"/>
      <c r="Y50" s="46"/>
      <c r="Z50" s="44">
        <f>IF(Articles!$G50=1,IF(Articles!$E50&lt;Articles!$F50,1,""),"")</f>
        <v>1</v>
      </c>
    </row>
    <row r="51" spans="1:26" x14ac:dyDescent="0.25">
      <c r="A51" s="43" t="s">
        <v>246</v>
      </c>
      <c r="B51" s="44" t="s">
        <v>247</v>
      </c>
      <c r="C51" s="44" t="s">
        <v>352</v>
      </c>
      <c r="D51" s="44" t="s">
        <v>248</v>
      </c>
      <c r="E51" s="44">
        <v>99</v>
      </c>
      <c r="F51" s="44">
        <f>10</f>
        <v>10</v>
      </c>
      <c r="G51" s="44">
        <f>1</f>
        <v>1</v>
      </c>
      <c r="H51" s="45" t="str">
        <f t="array" ref="H51">IF(ISERROR(INDEX(Articles!$J51:$W51, MATCH(FALSE, ISBLANK(Articles!$J51:$W51),0))),"N/A",INDEX(Articles!$J51:$W51, MATCH(FALSE, ISBLANK(Articles!$J51:$W51),0)))</f>
        <v>P150CCT-ND</v>
      </c>
      <c r="I51" s="46">
        <f t="array" aca="1" ref="I51" ca="1">IF(ISERROR(OFFSET(INDEX(Articles!$J51:$Y51, MATCH(FALSE, ISBLANK(Articles!$J51:$Y51),0)),0,1)),"N/A",OFFSET(INDEX(Articles!$J51:$Y51, MATCH(FALSE, ISBLANK(Articles!$J51:$Y51),0)),0,1))</f>
        <v>8.1000000000000003E-2</v>
      </c>
      <c r="J51" s="43" t="s">
        <v>245</v>
      </c>
      <c r="K51" s="46">
        <v>8.1000000000000003E-2</v>
      </c>
      <c r="L51" s="43"/>
      <c r="M51" s="46"/>
      <c r="N51" s="43"/>
      <c r="O51" s="46"/>
      <c r="P51" s="43"/>
      <c r="Q51" s="46"/>
      <c r="R51" s="43"/>
      <c r="S51" s="46"/>
      <c r="T51" s="43"/>
      <c r="U51" s="46"/>
      <c r="V51" s="43"/>
      <c r="W51" s="46"/>
      <c r="X51" s="46"/>
      <c r="Y51" s="46"/>
      <c r="Z51" s="44" t="str">
        <f>IF(Articles!$G51=1,IF(Articles!$E51&lt;Articles!$F51,1,""),"")</f>
        <v/>
      </c>
    </row>
    <row r="52" spans="1:26" x14ac:dyDescent="0.25">
      <c r="A52" s="43" t="s">
        <v>59</v>
      </c>
      <c r="B52" s="44" t="s">
        <v>58</v>
      </c>
      <c r="C52" s="44" t="s">
        <v>433</v>
      </c>
      <c r="D52" s="44" t="s">
        <v>57</v>
      </c>
      <c r="E52" s="44">
        <v>19</v>
      </c>
      <c r="F52" s="44">
        <f>10</f>
        <v>10</v>
      </c>
      <c r="G52" s="44">
        <f>1</f>
        <v>1</v>
      </c>
      <c r="H52" s="45" t="str">
        <f t="array" ref="H52">IF(ISERROR(INDEX(Articles!$J52:$W52, MATCH(FALSE, ISBLANK(Articles!$J52:$W52),0))),"N/A",INDEX(Articles!$J52:$W52, MATCH(FALSE, ISBLANK(Articles!$J52:$W52),0)))</f>
        <v>2380458</v>
      </c>
      <c r="I52" s="46">
        <f t="array" aca="1" ref="I52" ca="1">IF(ISERROR(OFFSET(INDEX(Articles!$J52:$Y52, MATCH(FALSE, ISBLANK(Articles!$J52:$Y52),0)),0,1)),"N/A",OFFSET(INDEX(Articles!$J52:$Y52, MATCH(FALSE, ISBLANK(Articles!$J52:$Y52),0)),0,1))</f>
        <v>3.7499999999999999E-2</v>
      </c>
      <c r="J52" s="43"/>
      <c r="K52" s="46"/>
      <c r="L52" s="43" t="s">
        <v>432</v>
      </c>
      <c r="M52" s="46">
        <v>3.7499999999999999E-2</v>
      </c>
      <c r="N52" s="43"/>
      <c r="O52" s="46"/>
      <c r="P52" s="43"/>
      <c r="Q52" s="46"/>
      <c r="R52" s="43"/>
      <c r="S52" s="46"/>
      <c r="T52" s="43"/>
      <c r="U52" s="46"/>
      <c r="V52" s="43"/>
      <c r="W52" s="46">
        <v>3.7499999999999999E-2</v>
      </c>
      <c r="X52" s="46"/>
      <c r="Y52" s="46"/>
      <c r="Z52" s="44" t="str">
        <f>IF(Articles!$G52=1,IF(Articles!$E52&lt;Articles!$F52,1,""),"")</f>
        <v/>
      </c>
    </row>
    <row r="53" spans="1:26" x14ac:dyDescent="0.25">
      <c r="A53" s="43" t="s">
        <v>46</v>
      </c>
      <c r="B53" s="44" t="s">
        <v>45</v>
      </c>
      <c r="C53" s="44" t="s">
        <v>389</v>
      </c>
      <c r="D53" s="44" t="s">
        <v>44</v>
      </c>
      <c r="E53" s="44">
        <v>16</v>
      </c>
      <c r="F53" s="44">
        <f>10</f>
        <v>10</v>
      </c>
      <c r="G53" s="44">
        <f>1</f>
        <v>1</v>
      </c>
      <c r="H53" s="45" t="str">
        <f t="array" ref="H53">IF(ISERROR(INDEX(Articles!$J53:$W53, MATCH(FALSE, ISBLANK(Articles!$J53:$W53),0))),"N/A",INDEX(Articles!$J53:$W53, MATCH(FALSE, ISBLANK(Articles!$J53:$W53),0)))</f>
        <v>FDN337NCT-ND</v>
      </c>
      <c r="I53" s="46">
        <f t="array" aca="1" ref="I53" ca="1">IF(ISERROR(OFFSET(INDEX(Articles!$J53:$Y53, MATCH(FALSE, ISBLANK(Articles!$J53:$Y53),0)),0,1)),"N/A",OFFSET(INDEX(Articles!$J53:$Y53, MATCH(FALSE, ISBLANK(Articles!$J53:$Y53),0)),0,1))</f>
        <v>0.55000000000000004</v>
      </c>
      <c r="J53" s="43" t="s">
        <v>478</v>
      </c>
      <c r="K53" s="46">
        <v>0.55000000000000004</v>
      </c>
      <c r="L53" s="43">
        <v>9845356</v>
      </c>
      <c r="M53" s="46">
        <v>0.42199999999999999</v>
      </c>
      <c r="N53" s="43"/>
      <c r="O53" s="46"/>
      <c r="P53" s="43"/>
      <c r="Q53" s="46"/>
      <c r="R53" s="43"/>
      <c r="S53" s="46"/>
      <c r="T53" s="43"/>
      <c r="U53" s="46"/>
      <c r="V53" s="43"/>
      <c r="W53" s="46">
        <v>0.42199999999999999</v>
      </c>
      <c r="X53" s="46"/>
      <c r="Y53" s="46"/>
      <c r="Z53" s="44" t="str">
        <f>IF(Articles!$G53=1,IF(Articles!$E53&lt;Articles!$F53,1,""),"")</f>
        <v/>
      </c>
    </row>
    <row r="54" spans="1:26" x14ac:dyDescent="0.25">
      <c r="A54" s="43" t="s">
        <v>339</v>
      </c>
      <c r="B54" s="44" t="s">
        <v>340</v>
      </c>
      <c r="C54" s="44" t="s">
        <v>352</v>
      </c>
      <c r="D54" s="44" t="s">
        <v>341</v>
      </c>
      <c r="E54" s="44">
        <v>0</v>
      </c>
      <c r="F54" s="44">
        <f>10</f>
        <v>10</v>
      </c>
      <c r="G54" s="44">
        <f>1</f>
        <v>1</v>
      </c>
      <c r="H54" s="45" t="str">
        <f t="array" ref="H54">IF(ISERROR(INDEX(Articles!$J54:$W54, MATCH(FALSE, ISBLANK(Articles!$J54:$W54),0))),"N/A",INDEX(Articles!$J54:$W54, MATCH(FALSE, ISBLANK(Articles!$J54:$W54),0)))</f>
        <v>133-18-751</v>
      </c>
      <c r="I54" s="46">
        <f t="array" aca="1" ref="I54" ca="1">IF(ISERROR(OFFSET(INDEX(Articles!$J54:$Y54, MATCH(FALSE, ISBLANK(Articles!$J54:$Y54),0)),0,1)),"N/A",OFFSET(INDEX(Articles!$J54:$Y54, MATCH(FALSE, ISBLANK(Articles!$J54:$Y54),0)),0,1))</f>
        <v>5.4</v>
      </c>
      <c r="J54" s="43"/>
      <c r="K54" s="46"/>
      <c r="L54" s="43"/>
      <c r="M54" s="46"/>
      <c r="N54" s="43" t="s">
        <v>338</v>
      </c>
      <c r="O54" s="46">
        <v>5.4</v>
      </c>
      <c r="P54" s="43"/>
      <c r="Q54" s="46"/>
      <c r="R54" s="43"/>
      <c r="S54" s="46"/>
      <c r="T54" s="43"/>
      <c r="U54" s="46"/>
      <c r="V54" s="43"/>
      <c r="W54" s="46"/>
      <c r="X54" s="46"/>
      <c r="Y54" s="46"/>
      <c r="Z54" s="44">
        <f>IF(Articles!$G54=1,IF(Articles!$E54&lt;Articles!$F54,1,""),"")</f>
        <v>1</v>
      </c>
    </row>
    <row r="55" spans="1:26" x14ac:dyDescent="0.25">
      <c r="A55" s="43" t="s">
        <v>335</v>
      </c>
      <c r="B55" s="44" t="s">
        <v>336</v>
      </c>
      <c r="C55" s="44" t="s">
        <v>352</v>
      </c>
      <c r="D55" s="44" t="s">
        <v>337</v>
      </c>
      <c r="E55" s="44">
        <v>0</v>
      </c>
      <c r="F55" s="44">
        <f>10</f>
        <v>10</v>
      </c>
      <c r="G55" s="44">
        <f>1</f>
        <v>1</v>
      </c>
      <c r="H55" s="45" t="str">
        <f t="array" ref="H55">IF(ISERROR(INDEX(Articles!$J55:$W55, MATCH(FALSE, ISBLANK(Articles!$J55:$W55),0))),"N/A",INDEX(Articles!$J55:$W55, MATCH(FALSE, ISBLANK(Articles!$J55:$W55),0)))</f>
        <v>155-79-878</v>
      </c>
      <c r="I55" s="46">
        <f t="array" aca="1" ref="I55" ca="1">IF(ISERROR(OFFSET(INDEX(Articles!$J55:$Y55, MATCH(FALSE, ISBLANK(Articles!$J55:$Y55),0)),0,1)),"N/A",OFFSET(INDEX(Articles!$J55:$Y55, MATCH(FALSE, ISBLANK(Articles!$J55:$Y55),0)),0,1))</f>
        <v>24.6</v>
      </c>
      <c r="J55" s="43"/>
      <c r="K55" s="46"/>
      <c r="L55" s="43"/>
      <c r="M55" s="46"/>
      <c r="N55" s="43" t="s">
        <v>334</v>
      </c>
      <c r="O55" s="46">
        <v>24.6</v>
      </c>
      <c r="P55" s="43"/>
      <c r="Q55" s="46"/>
      <c r="R55" s="43"/>
      <c r="S55" s="46"/>
      <c r="T55" s="43"/>
      <c r="U55" s="46"/>
      <c r="V55" s="43"/>
      <c r="W55" s="46"/>
      <c r="X55" s="46"/>
      <c r="Y55" s="46"/>
      <c r="Z55" s="44">
        <f>IF(Articles!$G55=1,IF(Articles!$E55&lt;Articles!$F55,1,""),"")</f>
        <v>1</v>
      </c>
    </row>
    <row r="56" spans="1:26" x14ac:dyDescent="0.25">
      <c r="A56" s="43" t="s">
        <v>272</v>
      </c>
      <c r="B56" s="44" t="s">
        <v>273</v>
      </c>
      <c r="C56" s="44" t="s">
        <v>352</v>
      </c>
      <c r="D56" s="44" t="s">
        <v>274</v>
      </c>
      <c r="E56" s="44">
        <v>5</v>
      </c>
      <c r="F56" s="44">
        <f>10</f>
        <v>10</v>
      </c>
      <c r="G56" s="44">
        <f>1</f>
        <v>1</v>
      </c>
      <c r="H56" s="45" t="str">
        <f t="array" ref="H56">IF(ISERROR(INDEX(Articles!$J56:$W56, MATCH(FALSE, ISBLANK(Articles!$J56:$W56),0))),"N/A",INDEX(Articles!$J56:$W56, MATCH(FALSE, ISBLANK(Articles!$J56:$W56),0)))</f>
        <v>596-1023-5-ND</v>
      </c>
      <c r="I56" s="46">
        <f t="array" aca="1" ref="I56" ca="1">IF(ISERROR(OFFSET(INDEX(Articles!$J56:$Y56, MATCH(FALSE, ISBLANK(Articles!$J56:$Y56),0)),0,1)),"N/A",OFFSET(INDEX(Articles!$J56:$Y56, MATCH(FALSE, ISBLANK(Articles!$J56:$Y56),0)),0,1))</f>
        <v>1.34</v>
      </c>
      <c r="J56" s="43" t="s">
        <v>467</v>
      </c>
      <c r="K56" s="46">
        <v>1.34</v>
      </c>
      <c r="L56" s="43"/>
      <c r="M56" s="46"/>
      <c r="N56" s="43" t="s">
        <v>271</v>
      </c>
      <c r="O56" s="46">
        <v>1.04</v>
      </c>
      <c r="P56" s="43"/>
      <c r="Q56" s="46"/>
      <c r="R56" s="43"/>
      <c r="S56" s="46"/>
      <c r="T56" s="43"/>
      <c r="U56" s="46"/>
      <c r="V56" s="43"/>
      <c r="W56" s="46"/>
      <c r="X56" s="46"/>
      <c r="Y56" s="46"/>
      <c r="Z56" s="44">
        <f>IF(Articles!$G56=1,IF(Articles!$E56&lt;Articles!$F56,1,""),"")</f>
        <v>1</v>
      </c>
    </row>
    <row r="57" spans="1:26" x14ac:dyDescent="0.25">
      <c r="A57" s="43" t="s">
        <v>191</v>
      </c>
      <c r="B57" s="44" t="s">
        <v>177</v>
      </c>
      <c r="C57" s="44" t="s">
        <v>352</v>
      </c>
      <c r="D57" s="44" t="s">
        <v>192</v>
      </c>
      <c r="E57" s="44">
        <v>1</v>
      </c>
      <c r="F57" s="44">
        <f>10</f>
        <v>10</v>
      </c>
      <c r="G57" s="44">
        <f>1</f>
        <v>1</v>
      </c>
      <c r="H57" s="45" t="str">
        <f t="array" ref="H57">IF(ISERROR(INDEX(Articles!$J57:$W57, MATCH(FALSE, ISBLANK(Articles!$J57:$W57),0))),"N/A",INDEX(Articles!$J57:$W57, MATCH(FALSE, ISBLANK(Articles!$J57:$W57),0)))</f>
        <v>296-46314-1-ND</v>
      </c>
      <c r="I57" s="46">
        <f t="array" aca="1" ref="I57" ca="1">IF(ISERROR(OFFSET(INDEX(Articles!$J57:$Y57, MATCH(FALSE, ISBLANK(Articles!$J57:$Y57),0)),0,1)),"N/A",OFFSET(INDEX(Articles!$J57:$Y57, MATCH(FALSE, ISBLANK(Articles!$J57:$Y57),0)),0,1))</f>
        <v>1.82</v>
      </c>
      <c r="J57" s="43" t="s">
        <v>190</v>
      </c>
      <c r="K57" s="46">
        <v>1.82</v>
      </c>
      <c r="L57" s="43"/>
      <c r="M57" s="46"/>
      <c r="N57" s="43"/>
      <c r="O57" s="46"/>
      <c r="P57" s="43"/>
      <c r="Q57" s="46"/>
      <c r="R57" s="43"/>
      <c r="S57" s="46"/>
      <c r="T57" s="43"/>
      <c r="U57" s="46"/>
      <c r="V57" s="43"/>
      <c r="W57" s="46"/>
      <c r="X57" s="46"/>
      <c r="Y57" s="46"/>
      <c r="Z57" s="44">
        <f>IF(Articles!$G57=1,IF(Articles!$E57&lt;Articles!$F57,1,""),"")</f>
        <v>1</v>
      </c>
    </row>
    <row r="58" spans="1:26" x14ac:dyDescent="0.25">
      <c r="A58" s="43" t="s">
        <v>16</v>
      </c>
      <c r="B58" s="44" t="s">
        <v>33</v>
      </c>
      <c r="C58" s="44" t="s">
        <v>352</v>
      </c>
      <c r="D58" s="44" t="s">
        <v>15</v>
      </c>
      <c r="E58" s="44">
        <v>14</v>
      </c>
      <c r="F58" s="44">
        <f>10</f>
        <v>10</v>
      </c>
      <c r="G58" s="44">
        <f>1</f>
        <v>1</v>
      </c>
      <c r="H58" s="45">
        <f t="array" ref="H58">IF(ISERROR(INDEX(Articles!$J58:$W58, MATCH(FALSE, ISBLANK(Articles!$J58:$W58),0))),"N/A",INDEX(Articles!$J58:$W58, MATCH(FALSE, ISBLANK(Articles!$J58:$W58),0)))</f>
        <v>2461217</v>
      </c>
      <c r="I58" s="46">
        <f t="array" aca="1" ref="I58" ca="1">IF(ISERROR(OFFSET(INDEX(Articles!$J58:$Y58, MATCH(FALSE, ISBLANK(Articles!$J58:$Y58),0)),0,1)),"N/A",OFFSET(INDEX(Articles!$J58:$Y58, MATCH(FALSE, ISBLANK(Articles!$J58:$Y58),0)),0,1))</f>
        <v>0.20200000000000001</v>
      </c>
      <c r="J58" s="43"/>
      <c r="K58" s="46"/>
      <c r="L58" s="43">
        <v>2461217</v>
      </c>
      <c r="M58" s="46">
        <v>0.20200000000000001</v>
      </c>
      <c r="N58" s="43"/>
      <c r="O58" s="46"/>
      <c r="P58" s="43"/>
      <c r="Q58" s="46"/>
      <c r="R58" s="43"/>
      <c r="S58" s="46"/>
      <c r="T58" s="43"/>
      <c r="U58" s="46"/>
      <c r="V58" s="43"/>
      <c r="W58" s="46">
        <v>0.20200000000000001</v>
      </c>
      <c r="X58" s="46"/>
      <c r="Y58" s="46"/>
      <c r="Z58" s="44" t="str">
        <f>IF(Articles!$G58=1,IF(Articles!$E58&lt;Articles!$F58,1,""),"")</f>
        <v/>
      </c>
    </row>
    <row r="59" spans="1:26" x14ac:dyDescent="0.25">
      <c r="A59" s="43" t="s">
        <v>14</v>
      </c>
      <c r="B59" s="44" t="s">
        <v>33</v>
      </c>
      <c r="C59" s="44" t="s">
        <v>352</v>
      </c>
      <c r="D59" s="44" t="s">
        <v>13</v>
      </c>
      <c r="E59" s="44">
        <v>49</v>
      </c>
      <c r="F59" s="44">
        <f>10</f>
        <v>10</v>
      </c>
      <c r="G59" s="44">
        <f>1</f>
        <v>1</v>
      </c>
      <c r="H59" s="45">
        <f t="array" ref="H59">IF(ISERROR(INDEX(Articles!$J59:$W59, MATCH(FALSE, ISBLANK(Articles!$J59:$W59),0))),"N/A",INDEX(Articles!$J59:$W59, MATCH(FALSE, ISBLANK(Articles!$J59:$W59),0)))</f>
        <v>9451242</v>
      </c>
      <c r="I59" s="46">
        <f t="array" aca="1" ref="I59" ca="1">IF(ISERROR(OFFSET(INDEX(Articles!$J59:$Y59, MATCH(FALSE, ISBLANK(Articles!$J59:$Y59),0)),0,1)),"N/A",OFFSET(INDEX(Articles!$J59:$Y59, MATCH(FALSE, ISBLANK(Articles!$J59:$Y59),0)),0,1))</f>
        <v>5.1700000000000003E-2</v>
      </c>
      <c r="J59" s="43"/>
      <c r="K59" s="46"/>
      <c r="L59" s="43">
        <v>9451242</v>
      </c>
      <c r="M59" s="46">
        <v>5.1700000000000003E-2</v>
      </c>
      <c r="N59" s="43"/>
      <c r="O59" s="46"/>
      <c r="P59" s="43"/>
      <c r="Q59" s="46"/>
      <c r="R59" s="43"/>
      <c r="S59" s="46"/>
      <c r="T59" s="43"/>
      <c r="U59" s="46"/>
      <c r="V59" s="43"/>
      <c r="W59" s="46">
        <v>5.1700000000000003E-2</v>
      </c>
      <c r="X59" s="46"/>
      <c r="Y59" s="46"/>
      <c r="Z59" s="44" t="str">
        <f>IF(Articles!$G59=1,IF(Articles!$E59&lt;Articles!$F59,1,""),"")</f>
        <v/>
      </c>
    </row>
    <row r="60" spans="1:26" x14ac:dyDescent="0.25">
      <c r="A60" s="43" t="s">
        <v>12</v>
      </c>
      <c r="B60" s="44" t="s">
        <v>33</v>
      </c>
      <c r="C60" s="44" t="s">
        <v>426</v>
      </c>
      <c r="D60" s="44" t="s">
        <v>11</v>
      </c>
      <c r="E60" s="44">
        <v>48</v>
      </c>
      <c r="F60" s="44">
        <f>10</f>
        <v>10</v>
      </c>
      <c r="G60" s="44">
        <f>1</f>
        <v>1</v>
      </c>
      <c r="H60" s="45" t="str">
        <f t="array" ref="H60">IF(ISERROR(INDEX(Articles!$J60:$W60, MATCH(FALSE, ISBLANK(Articles!$J60:$W60),0))),"N/A",INDEX(Articles!$J60:$W60, MATCH(FALSE, ISBLANK(Articles!$J60:$W60),0)))</f>
        <v>9451234</v>
      </c>
      <c r="I60" s="46">
        <f t="array" aca="1" ref="I60" ca="1">IF(ISERROR(OFFSET(INDEX(Articles!$J60:$Y60, MATCH(FALSE, ISBLANK(Articles!$J60:$Y60),0)),0,1)),"N/A",OFFSET(INDEX(Articles!$J60:$Y60, MATCH(FALSE, ISBLANK(Articles!$J60:$Y60),0)),0,1))</f>
        <v>5.0900000000000001E-2</v>
      </c>
      <c r="J60" s="43"/>
      <c r="K60" s="46"/>
      <c r="L60" s="43" t="s">
        <v>163</v>
      </c>
      <c r="M60" s="46">
        <v>5.0900000000000001E-2</v>
      </c>
      <c r="N60" s="43"/>
      <c r="O60" s="46"/>
      <c r="P60" s="43"/>
      <c r="Q60" s="46"/>
      <c r="R60" s="43"/>
      <c r="S60" s="46"/>
      <c r="T60" s="43"/>
      <c r="U60" s="46"/>
      <c r="V60" s="43"/>
      <c r="W60" s="46">
        <v>5.0900000000000001E-2</v>
      </c>
      <c r="X60" s="46"/>
      <c r="Y60" s="46"/>
      <c r="Z60" s="44" t="str">
        <f>IF(Articles!$G60=1,IF(Articles!$E60&lt;Articles!$F60,1,""),"")</f>
        <v/>
      </c>
    </row>
    <row r="61" spans="1:26" x14ac:dyDescent="0.25">
      <c r="A61" s="43" t="s">
        <v>61</v>
      </c>
      <c r="B61" s="44" t="s">
        <v>33</v>
      </c>
      <c r="C61" s="44" t="s">
        <v>431</v>
      </c>
      <c r="D61" s="44" t="s">
        <v>60</v>
      </c>
      <c r="E61" s="44">
        <v>9</v>
      </c>
      <c r="F61" s="44">
        <f>10</f>
        <v>10</v>
      </c>
      <c r="G61" s="44">
        <f>1</f>
        <v>1</v>
      </c>
      <c r="H61" s="45" t="str">
        <f t="array" ref="H61">IF(ISERROR(INDEX(Articles!$J61:$W61, MATCH(FALSE, ISBLANK(Articles!$J61:$W61),0))),"N/A",INDEX(Articles!$J61:$W61, MATCH(FALSE, ISBLANK(Articles!$J61:$W61),0)))</f>
        <v>1576507</v>
      </c>
      <c r="I61" s="46">
        <f t="array" aca="1" ref="I61" ca="1">IF(ISERROR(OFFSET(INDEX(Articles!$J61:$Y61, MATCH(FALSE, ISBLANK(Articles!$J61:$Y61),0)),0,1)),"N/A",OFFSET(INDEX(Articles!$J61:$Y61, MATCH(FALSE, ISBLANK(Articles!$J61:$Y61),0)),0,1))</f>
        <v>4.4499999999999998E-2</v>
      </c>
      <c r="J61" s="43"/>
      <c r="K61" s="46"/>
      <c r="L61" s="43" t="s">
        <v>430</v>
      </c>
      <c r="M61" s="46">
        <v>4.4499999999999998E-2</v>
      </c>
      <c r="N61" s="43"/>
      <c r="O61" s="46"/>
      <c r="P61" s="43"/>
      <c r="Q61" s="46"/>
      <c r="R61" s="43"/>
      <c r="S61" s="46"/>
      <c r="T61" s="43"/>
      <c r="U61" s="46"/>
      <c r="V61" s="43"/>
      <c r="W61" s="46">
        <v>4.4499999999999998E-2</v>
      </c>
      <c r="X61" s="46"/>
      <c r="Y61" s="46"/>
      <c r="Z61" s="44">
        <f>IF(Articles!$G61=1,IF(Articles!$E61&lt;Articles!$F61,1,""),"")</f>
        <v>1</v>
      </c>
    </row>
    <row r="62" spans="1:26" x14ac:dyDescent="0.25">
      <c r="A62" s="43" t="s">
        <v>56</v>
      </c>
      <c r="B62" s="44" t="s">
        <v>33</v>
      </c>
      <c r="C62" s="44" t="s">
        <v>437</v>
      </c>
      <c r="D62" s="44" t="s">
        <v>55</v>
      </c>
      <c r="E62" s="44">
        <v>9</v>
      </c>
      <c r="F62" s="44">
        <f>10</f>
        <v>10</v>
      </c>
      <c r="G62" s="44">
        <f>1</f>
        <v>1</v>
      </c>
      <c r="H62" s="45" t="str">
        <f t="array" ref="H62">IF(ISERROR(INDEX(Articles!$J62:$W62, MATCH(FALSE, ISBLANK(Articles!$J62:$W62),0))),"N/A",INDEX(Articles!$J62:$W62, MATCH(FALSE, ISBLANK(Articles!$J62:$W62),0)))</f>
        <v>2073701</v>
      </c>
      <c r="I62" s="46">
        <f t="array" aca="1" ref="I62" ca="1">IF(ISERROR(OFFSET(INDEX(Articles!$J62:$Y62, MATCH(FALSE, ISBLANK(Articles!$J62:$Y62),0)),0,1)),"N/A",OFFSET(INDEX(Articles!$J62:$Y62, MATCH(FALSE, ISBLANK(Articles!$J62:$Y62),0)),0,1))</f>
        <v>1.55E-2</v>
      </c>
      <c r="J62" s="43"/>
      <c r="K62" s="46"/>
      <c r="L62" s="43" t="s">
        <v>436</v>
      </c>
      <c r="M62" s="46">
        <v>1.55E-2</v>
      </c>
      <c r="N62" s="43"/>
      <c r="O62" s="46"/>
      <c r="P62" s="43"/>
      <c r="Q62" s="46"/>
      <c r="R62" s="43"/>
      <c r="S62" s="46"/>
      <c r="T62" s="43"/>
      <c r="U62" s="46"/>
      <c r="V62" s="43"/>
      <c r="W62" s="46">
        <v>1.55E-2</v>
      </c>
      <c r="X62" s="46"/>
      <c r="Y62" s="46"/>
      <c r="Z62" s="44">
        <f>IF(Articles!$G62=1,IF(Articles!$E62&lt;Articles!$F62,1,""),"")</f>
        <v>1</v>
      </c>
    </row>
    <row r="63" spans="1:26" x14ac:dyDescent="0.25">
      <c r="A63" s="43" t="s">
        <v>54</v>
      </c>
      <c r="B63" s="44" t="s">
        <v>33</v>
      </c>
      <c r="C63" s="44" t="s">
        <v>440</v>
      </c>
      <c r="D63" s="44" t="s">
        <v>53</v>
      </c>
      <c r="E63" s="44">
        <v>0</v>
      </c>
      <c r="F63" s="44">
        <f>10</f>
        <v>10</v>
      </c>
      <c r="G63" s="44">
        <f>1</f>
        <v>1</v>
      </c>
      <c r="H63" s="45" t="str">
        <f t="array" ref="H63">IF(ISERROR(INDEX(Articles!$J63:$W63, MATCH(FALSE, ISBLANK(Articles!$J63:$W63),0))),"N/A",INDEX(Articles!$J63:$W63, MATCH(FALSE, ISBLANK(Articles!$J63:$W63),0)))</f>
        <v>2073779</v>
      </c>
      <c r="I63" s="46">
        <f t="array" aca="1" ref="I63" ca="1">IF(ISERROR(OFFSET(INDEX(Articles!$J63:$Y63, MATCH(FALSE, ISBLANK(Articles!$J63:$Y63),0)),0,1)),"N/A",OFFSET(INDEX(Articles!$J63:$Y63, MATCH(FALSE, ISBLANK(Articles!$J63:$Y63),0)),0,1))</f>
        <v>2.3E-2</v>
      </c>
      <c r="J63" s="43"/>
      <c r="K63" s="46"/>
      <c r="L63" s="43" t="s">
        <v>439</v>
      </c>
      <c r="M63" s="46">
        <v>2.3E-2</v>
      </c>
      <c r="N63" s="43"/>
      <c r="O63" s="46"/>
      <c r="P63" s="43"/>
      <c r="Q63" s="46"/>
      <c r="R63" s="43"/>
      <c r="S63" s="46"/>
      <c r="T63" s="43"/>
      <c r="U63" s="46"/>
      <c r="V63" s="43"/>
      <c r="W63" s="46">
        <v>2.3E-2</v>
      </c>
      <c r="X63" s="46"/>
      <c r="Y63" s="46"/>
      <c r="Z63" s="44">
        <f>IF(Articles!$G63=1,IF(Articles!$E63&lt;Articles!$F63,1,""),"")</f>
        <v>1</v>
      </c>
    </row>
    <row r="64" spans="1:26" x14ac:dyDescent="0.25">
      <c r="A64" s="43" t="s">
        <v>24</v>
      </c>
      <c r="B64" s="44" t="s">
        <v>94</v>
      </c>
      <c r="C64" s="44" t="s">
        <v>400</v>
      </c>
      <c r="D64" s="44" t="s">
        <v>23</v>
      </c>
      <c r="E64" s="44">
        <v>4</v>
      </c>
      <c r="F64" s="44">
        <f>10</f>
        <v>10</v>
      </c>
      <c r="G64" s="44">
        <f>1</f>
        <v>1</v>
      </c>
      <c r="H64" s="45" t="str">
        <f t="array" ref="H64">IF(ISERROR(INDEX(Articles!$J64:$W64, MATCH(FALSE, ISBLANK(Articles!$J64:$W64),0))),"N/A",INDEX(Articles!$J64:$W64, MATCH(FALSE, ISBLANK(Articles!$J64:$W64),0)))</f>
        <v>MCP121T-315E/TTCT-ND</v>
      </c>
      <c r="I64" s="46">
        <f t="array" aca="1" ref="I64" ca="1">IF(ISERROR(OFFSET(INDEX(Articles!$J64:$Y64, MATCH(FALSE, ISBLANK(Articles!$J64:$Y64),0)),0,1)),"N/A",OFFSET(INDEX(Articles!$J64:$Y64, MATCH(FALSE, ISBLANK(Articles!$J64:$Y64),0)),0,1))</f>
        <v>0.52</v>
      </c>
      <c r="J64" s="43" t="s">
        <v>479</v>
      </c>
      <c r="K64" s="46">
        <v>0.52</v>
      </c>
      <c r="L64" s="43" t="s">
        <v>399</v>
      </c>
      <c r="M64" s="46">
        <v>0.51600000000000001</v>
      </c>
      <c r="N64" s="43"/>
      <c r="O64" s="46"/>
      <c r="P64" s="43"/>
      <c r="Q64" s="46"/>
      <c r="R64" s="43"/>
      <c r="S64" s="46"/>
      <c r="T64" s="43"/>
      <c r="U64" s="46"/>
      <c r="V64" s="43"/>
      <c r="W64" s="46">
        <v>0.51600000000000001</v>
      </c>
      <c r="X64" s="46"/>
      <c r="Y64" s="46"/>
      <c r="Z64" s="44">
        <f>IF(Articles!$G64=1,IF(Articles!$E64&lt;Articles!$F64,1,""),"")</f>
        <v>1</v>
      </c>
    </row>
    <row r="65" spans="1:26" x14ac:dyDescent="0.25">
      <c r="A65" s="43" t="s">
        <v>18</v>
      </c>
      <c r="B65" s="44" t="s">
        <v>94</v>
      </c>
      <c r="C65" s="44" t="s">
        <v>393</v>
      </c>
      <c r="D65" s="44" t="s">
        <v>17</v>
      </c>
      <c r="E65" s="44">
        <v>19</v>
      </c>
      <c r="F65" s="44">
        <f>10</f>
        <v>10</v>
      </c>
      <c r="G65" s="44">
        <f>1</f>
        <v>1</v>
      </c>
      <c r="H65" s="45" t="str">
        <f t="array" ref="H65">IF(ISERROR(INDEX(Articles!$J65:$W65, MATCH(FALSE, ISBLANK(Articles!$J65:$W65),0))),"N/A",INDEX(Articles!$J65:$W65, MATCH(FALSE, ISBLANK(Articles!$J65:$W65),0)))</f>
        <v>8540829</v>
      </c>
      <c r="I65" s="46">
        <f t="array" aca="1" ref="I65" ca="1">IF(ISERROR(OFFSET(INDEX(Articles!$J65:$Y65, MATCH(FALSE, ISBLANK(Articles!$J65:$Y65),0)),0,1)),"N/A",OFFSET(INDEX(Articles!$J65:$Y65, MATCH(FALSE, ISBLANK(Articles!$J65:$Y65),0)),0,1))</f>
        <v>0.246</v>
      </c>
      <c r="J65" s="43"/>
      <c r="K65" s="46"/>
      <c r="L65" s="43" t="s">
        <v>392</v>
      </c>
      <c r="M65" s="46">
        <v>0.246</v>
      </c>
      <c r="N65" s="43"/>
      <c r="O65" s="46"/>
      <c r="P65" s="43"/>
      <c r="Q65" s="46"/>
      <c r="R65" s="43"/>
      <c r="S65" s="46"/>
      <c r="T65" s="43"/>
      <c r="U65" s="46"/>
      <c r="V65" s="43"/>
      <c r="W65" s="46">
        <v>0.246</v>
      </c>
      <c r="X65" s="46"/>
      <c r="Y65" s="46"/>
      <c r="Z65" s="44" t="str">
        <f>IF(Articles!$G65=1,IF(Articles!$E65&lt;Articles!$F65,1,""),"")</f>
        <v/>
      </c>
    </row>
    <row r="66" spans="1:26" x14ac:dyDescent="0.25">
      <c r="A66" s="47" t="s">
        <v>101</v>
      </c>
      <c r="B66" s="44" t="s">
        <v>94</v>
      </c>
      <c r="C66" s="44" t="s">
        <v>394</v>
      </c>
      <c r="D66" s="44" t="s">
        <v>102</v>
      </c>
      <c r="E66" s="44">
        <v>10</v>
      </c>
      <c r="F66" s="44">
        <f>10</f>
        <v>10</v>
      </c>
      <c r="G66" s="44">
        <f>1</f>
        <v>1</v>
      </c>
      <c r="H66" s="45" t="str">
        <f t="array" ref="H66">IF(ISERROR(INDEX(Articles!$J66:$W66, MATCH(FALSE, ISBLANK(Articles!$J66:$W66),0))),"N/A",INDEX(Articles!$J66:$W66, MATCH(FALSE, ISBLANK(Articles!$J66:$W66),0)))</f>
        <v>8540853</v>
      </c>
      <c r="I66" s="46">
        <f t="array" aca="1" ref="I66" ca="1">IF(ISERROR(OFFSET(INDEX(Articles!$J66:$Y66, MATCH(FALSE, ISBLANK(Articles!$J66:$Y66),0)),0,1)),"N/A",OFFSET(INDEX(Articles!$J66:$Y66, MATCH(FALSE, ISBLANK(Articles!$J66:$Y66),0)),0,1))</f>
        <v>0.34</v>
      </c>
      <c r="J66" s="43"/>
      <c r="K66" s="46"/>
      <c r="L66" s="43" t="s">
        <v>103</v>
      </c>
      <c r="M66" s="46">
        <v>0.34</v>
      </c>
      <c r="N66" s="43"/>
      <c r="O66" s="46"/>
      <c r="P66" s="43"/>
      <c r="Q66" s="46"/>
      <c r="R66" s="43"/>
      <c r="S66" s="46"/>
      <c r="T66" s="43"/>
      <c r="U66" s="46"/>
      <c r="V66" s="43"/>
      <c r="W66" s="46">
        <v>0.34</v>
      </c>
      <c r="X66" s="46"/>
      <c r="Y66" s="46"/>
      <c r="Z66" s="44" t="str">
        <f>IF(Articles!$G66=1,IF(Articles!$E66&lt;Articles!$F66,1,""),"")</f>
        <v/>
      </c>
    </row>
    <row r="67" spans="1:26" x14ac:dyDescent="0.25">
      <c r="A67" s="43" t="s">
        <v>105</v>
      </c>
      <c r="B67" s="44" t="s">
        <v>94</v>
      </c>
      <c r="C67" s="44" t="s">
        <v>352</v>
      </c>
      <c r="D67" s="44" t="s">
        <v>104</v>
      </c>
      <c r="E67" s="44">
        <v>5</v>
      </c>
      <c r="F67" s="44">
        <f>10</f>
        <v>10</v>
      </c>
      <c r="G67" s="44">
        <f>1</f>
        <v>1</v>
      </c>
      <c r="H67" s="45" t="str">
        <f t="array" ref="H67">IF(ISERROR(INDEX(Articles!$J67:$W67, MATCH(FALSE, ISBLANK(Articles!$J67:$W67),0))),"N/A",INDEX(Articles!$J67:$W67, MATCH(FALSE, ISBLANK(Articles!$J67:$W67),0)))</f>
        <v>1605571</v>
      </c>
      <c r="I67" s="46">
        <f t="array" aca="1" ref="I67" ca="1">IF(ISERROR(OFFSET(INDEX(Articles!$J67:$Y67, MATCH(FALSE, ISBLANK(Articles!$J67:$Y67),0)),0,1)),"N/A",OFFSET(INDEX(Articles!$J67:$Y67, MATCH(FALSE, ISBLANK(Articles!$J67:$Y67),0)),0,1))</f>
        <v>0.44600000000000001</v>
      </c>
      <c r="J67" s="43"/>
      <c r="K67" s="46"/>
      <c r="L67" s="43" t="s">
        <v>106</v>
      </c>
      <c r="M67" s="46">
        <v>0.44600000000000001</v>
      </c>
      <c r="N67" s="43"/>
      <c r="O67" s="46"/>
      <c r="P67" s="43"/>
      <c r="Q67" s="46"/>
      <c r="R67" s="43"/>
      <c r="S67" s="46"/>
      <c r="T67" s="43"/>
      <c r="U67" s="46"/>
      <c r="V67" s="43"/>
      <c r="W67" s="46">
        <v>0.44600000000000001</v>
      </c>
      <c r="X67" s="46"/>
      <c r="Y67" s="46"/>
      <c r="Z67" s="44">
        <f>IF(Articles!$G67=1,IF(Articles!$E67&lt;Articles!$F67,1,""),"")</f>
        <v>1</v>
      </c>
    </row>
    <row r="68" spans="1:26" x14ac:dyDescent="0.25">
      <c r="A68" s="47" t="s">
        <v>100</v>
      </c>
      <c r="B68" s="44" t="s">
        <v>94</v>
      </c>
      <c r="C68" s="44" t="s">
        <v>395</v>
      </c>
      <c r="D68" s="44" t="s">
        <v>104</v>
      </c>
      <c r="E68" s="44">
        <v>10</v>
      </c>
      <c r="F68" s="44">
        <f>10</f>
        <v>10</v>
      </c>
      <c r="G68" s="44">
        <f>1</f>
        <v>1</v>
      </c>
      <c r="H68" s="45" t="str">
        <f t="array" ref="H68">IF(ISERROR(INDEX(Articles!$J68:$W68, MATCH(FALSE, ISBLANK(Articles!$J68:$W68),0))),"N/A",INDEX(Articles!$J68:$W68, MATCH(FALSE, ISBLANK(Articles!$J68:$W68),0)))</f>
        <v>8540861</v>
      </c>
      <c r="I68" s="46">
        <f t="array" aca="1" ref="I68" ca="1">IF(ISERROR(OFFSET(INDEX(Articles!$J68:$Y68, MATCH(FALSE, ISBLANK(Articles!$J68:$Y68),0)),0,1)),"N/A",OFFSET(INDEX(Articles!$J68:$Y68, MATCH(FALSE, ISBLANK(Articles!$J68:$Y68),0)),0,1))</f>
        <v>0.44600000000000001</v>
      </c>
      <c r="J68" s="43"/>
      <c r="K68" s="46"/>
      <c r="L68" s="43" t="s">
        <v>99</v>
      </c>
      <c r="M68" s="46">
        <v>0.44600000000000001</v>
      </c>
      <c r="N68" s="43"/>
      <c r="O68" s="46"/>
      <c r="P68" s="43"/>
      <c r="Q68" s="46"/>
      <c r="R68" s="43"/>
      <c r="S68" s="46"/>
      <c r="T68" s="43"/>
      <c r="U68" s="46"/>
      <c r="V68" s="43"/>
      <c r="W68" s="46">
        <v>0.44600000000000001</v>
      </c>
      <c r="X68" s="46"/>
      <c r="Y68" s="46"/>
      <c r="Z68" s="44" t="str">
        <f>IF(Articles!$G68=1,IF(Articles!$E68&lt;Articles!$F68,1,""),"")</f>
        <v/>
      </c>
    </row>
    <row r="69" spans="1:26" x14ac:dyDescent="0.25">
      <c r="A69" s="43" t="s">
        <v>22</v>
      </c>
      <c r="B69" s="44" t="s">
        <v>94</v>
      </c>
      <c r="C69" s="44" t="s">
        <v>402</v>
      </c>
      <c r="D69" s="44" t="s">
        <v>21</v>
      </c>
      <c r="E69" s="44">
        <v>9</v>
      </c>
      <c r="F69" s="44">
        <f>10</f>
        <v>10</v>
      </c>
      <c r="G69" s="44">
        <f>1</f>
        <v>1</v>
      </c>
      <c r="H69" s="45" t="str">
        <f t="array" ref="H69">IF(ISERROR(INDEX(Articles!$J69:$W69, MATCH(FALSE, ISBLANK(Articles!$J69:$W69),0))),"N/A",INDEX(Articles!$J69:$W69, MATCH(FALSE, ISBLANK(Articles!$J69:$W69),0)))</f>
        <v>1332159</v>
      </c>
      <c r="I69" s="46">
        <f t="array" aca="1" ref="I69" ca="1">IF(ISERROR(OFFSET(INDEX(Articles!$J69:$Y69, MATCH(FALSE, ISBLANK(Articles!$J69:$Y69),0)),0,1)),"N/A",OFFSET(INDEX(Articles!$J69:$Y69, MATCH(FALSE, ISBLANK(Articles!$J69:$Y69),0)),0,1))</f>
        <v>0.57499999999999996</v>
      </c>
      <c r="J69" s="43"/>
      <c r="K69" s="46"/>
      <c r="L69" s="43" t="s">
        <v>401</v>
      </c>
      <c r="M69" s="46">
        <v>0.57499999999999996</v>
      </c>
      <c r="N69" s="43"/>
      <c r="O69" s="46"/>
      <c r="P69" s="43"/>
      <c r="Q69" s="46"/>
      <c r="R69" s="43"/>
      <c r="S69" s="46"/>
      <c r="T69" s="43"/>
      <c r="U69" s="46"/>
      <c r="V69" s="43"/>
      <c r="W69" s="46">
        <v>0.57499999999999996</v>
      </c>
      <c r="X69" s="46"/>
      <c r="Y69" s="46"/>
      <c r="Z69" s="44">
        <f>IF(Articles!$G69=1,IF(Articles!$E69&lt;Articles!$F69,1,""),"")</f>
        <v>1</v>
      </c>
    </row>
    <row r="70" spans="1:26" x14ac:dyDescent="0.25">
      <c r="A70" s="43" t="s">
        <v>63</v>
      </c>
      <c r="B70" s="44" t="s">
        <v>33</v>
      </c>
      <c r="C70" s="44" t="s">
        <v>429</v>
      </c>
      <c r="D70" s="44" t="s">
        <v>62</v>
      </c>
      <c r="E70" s="44">
        <v>7</v>
      </c>
      <c r="F70" s="44">
        <f>10</f>
        <v>10</v>
      </c>
      <c r="G70" s="44">
        <f>1</f>
        <v>1</v>
      </c>
      <c r="H70" s="45" t="str">
        <f t="array" ref="H70">IF(ISERROR(INDEX(Articles!$J70:$W70, MATCH(FALSE, ISBLANK(Articles!$J70:$W70),0))),"N/A",INDEX(Articles!$J70:$W70, MATCH(FALSE, ISBLANK(Articles!$J70:$W70),0)))</f>
        <v>2694097</v>
      </c>
      <c r="I70" s="46">
        <f t="array" aca="1" ref="I70" ca="1">IF(ISERROR(OFFSET(INDEX(Articles!$J70:$Y70, MATCH(FALSE, ISBLANK(Articles!$J70:$Y70),0)),0,1)),"N/A",OFFSET(INDEX(Articles!$J70:$Y70, MATCH(FALSE, ISBLANK(Articles!$J70:$Y70),0)),0,1))</f>
        <v>2.3900000000000001E-2</v>
      </c>
      <c r="J70" s="43"/>
      <c r="K70" s="46"/>
      <c r="L70" s="43" t="s">
        <v>428</v>
      </c>
      <c r="M70" s="46">
        <v>2.3900000000000001E-2</v>
      </c>
      <c r="N70" s="43"/>
      <c r="O70" s="46"/>
      <c r="P70" s="43"/>
      <c r="Q70" s="46"/>
      <c r="R70" s="43"/>
      <c r="S70" s="46"/>
      <c r="T70" s="43"/>
      <c r="U70" s="46"/>
      <c r="V70" s="43"/>
      <c r="W70" s="46">
        <v>2.3900000000000001E-2</v>
      </c>
      <c r="X70" s="46"/>
      <c r="Y70" s="46"/>
      <c r="Z70" s="44">
        <f>IF(Articles!$G70=1,IF(Articles!$E70&lt;Articles!$F70,1,""),"")</f>
        <v>1</v>
      </c>
    </row>
    <row r="71" spans="1:26" x14ac:dyDescent="0.25">
      <c r="A71" s="43" t="s">
        <v>52</v>
      </c>
      <c r="B71" s="44" t="s">
        <v>51</v>
      </c>
      <c r="C71" s="44" t="s">
        <v>435</v>
      </c>
      <c r="D71" s="44" t="s">
        <v>50</v>
      </c>
      <c r="E71" s="44">
        <v>9</v>
      </c>
      <c r="F71" s="44">
        <f>10</f>
        <v>10</v>
      </c>
      <c r="G71" s="44">
        <f>1</f>
        <v>1</v>
      </c>
      <c r="H71" s="45" t="str">
        <f t="array" ref="H71">IF(ISERROR(INDEX(Articles!$J71:$W71, MATCH(FALSE, ISBLANK(Articles!$J71:$W71),0))),"N/A",INDEX(Articles!$J71:$W71, MATCH(FALSE, ISBLANK(Articles!$J71:$W71),0)))</f>
        <v>2447573</v>
      </c>
      <c r="I71" s="46">
        <f t="array" aca="1" ref="I71" ca="1">IF(ISERROR(OFFSET(INDEX(Articles!$J71:$Y71, MATCH(FALSE, ISBLANK(Articles!$J71:$Y71),0)),0,1)),"N/A",OFFSET(INDEX(Articles!$J71:$Y71, MATCH(FALSE, ISBLANK(Articles!$J71:$Y71),0)),0,1))</f>
        <v>1.0999999999999999E-2</v>
      </c>
      <c r="J71" s="43"/>
      <c r="K71" s="46"/>
      <c r="L71" s="43" t="s">
        <v>434</v>
      </c>
      <c r="M71" s="46">
        <v>1.0999999999999999E-2</v>
      </c>
      <c r="N71" s="43"/>
      <c r="O71" s="46"/>
      <c r="P71" s="43"/>
      <c r="Q71" s="46"/>
      <c r="R71" s="43"/>
      <c r="S71" s="46"/>
      <c r="T71" s="43"/>
      <c r="U71" s="46"/>
      <c r="V71" s="43"/>
      <c r="W71" s="46">
        <v>1.0999999999999999E-2</v>
      </c>
      <c r="X71" s="46"/>
      <c r="Y71" s="46"/>
      <c r="Z71" s="44">
        <f>IF(Articles!$G71=1,IF(Articles!$E71&lt;Articles!$F71,1,""),"")</f>
        <v>1</v>
      </c>
    </row>
    <row r="72" spans="1:26" x14ac:dyDescent="0.25">
      <c r="A72" s="43" t="s">
        <v>505</v>
      </c>
      <c r="B72" s="44" t="s">
        <v>288</v>
      </c>
      <c r="C72" s="44" t="s">
        <v>352</v>
      </c>
      <c r="D72" s="44" t="s">
        <v>289</v>
      </c>
      <c r="E72" s="44">
        <v>0</v>
      </c>
      <c r="F72" s="44">
        <f>10</f>
        <v>10</v>
      </c>
      <c r="G72" s="44">
        <f>1</f>
        <v>1</v>
      </c>
      <c r="H72" s="45" t="str">
        <f t="array" ref="H72">IF(ISERROR(INDEX(Articles!$J72:$W72, MATCH(FALSE, ISBLANK(Articles!$J72:$W72),0))),"N/A",INDEX(Articles!$J72:$W72, MATCH(FALSE, ISBLANK(Articles!$J72:$W72),0)))</f>
        <v>MFU0805.63CT-ND</v>
      </c>
      <c r="I72" s="46">
        <f t="array" aca="1" ref="I72" ca="1">IF(ISERROR(OFFSET(INDEX(Articles!$J72:$Y72, MATCH(FALSE, ISBLANK(Articles!$J72:$Y72),0)),0,1)),"N/A",OFFSET(INDEX(Articles!$J72:$Y72, MATCH(FALSE, ISBLANK(Articles!$J72:$Y72),0)),0,1))</f>
        <v>0.62</v>
      </c>
      <c r="J72" s="43" t="s">
        <v>287</v>
      </c>
      <c r="K72" s="46">
        <v>0.62</v>
      </c>
      <c r="L72" s="43"/>
      <c r="M72" s="46"/>
      <c r="N72" s="43"/>
      <c r="O72" s="46"/>
      <c r="P72" s="43"/>
      <c r="Q72" s="46"/>
      <c r="R72" s="43"/>
      <c r="S72" s="46"/>
      <c r="T72" s="43"/>
      <c r="U72" s="46"/>
      <c r="V72" s="43"/>
      <c r="W72" s="46"/>
      <c r="X72" s="46"/>
      <c r="Y72" s="46"/>
      <c r="Z72" s="44">
        <f>IF(Articles!$G72=1,IF(Articles!$E72&lt;Articles!$F72,1,""),"")</f>
        <v>1</v>
      </c>
    </row>
    <row r="73" spans="1:26" x14ac:dyDescent="0.25">
      <c r="A73" s="43" t="s">
        <v>290</v>
      </c>
      <c r="B73" s="44" t="s">
        <v>288</v>
      </c>
      <c r="C73" s="44" t="s">
        <v>352</v>
      </c>
      <c r="D73" s="44" t="s">
        <v>291</v>
      </c>
      <c r="E73" s="44">
        <v>0</v>
      </c>
      <c r="F73" s="44">
        <f>10</f>
        <v>10</v>
      </c>
      <c r="G73" s="44">
        <f>1</f>
        <v>1</v>
      </c>
      <c r="H73" s="45" t="str">
        <f t="array" ref="H73">IF(ISERROR(INDEX(Articles!$J73:$W73, MATCH(FALSE, ISBLANK(Articles!$J73:$W73),0))),"N/A",INDEX(Articles!$J73:$W73, MATCH(FALSE, ISBLANK(Articles!$J73:$W73),0)))</f>
        <v>MFU1206.63CT-ND</v>
      </c>
      <c r="I73" s="46">
        <f t="array" aca="1" ref="I73" ca="1">IF(ISERROR(OFFSET(INDEX(Articles!$J73:$Y73, MATCH(FALSE, ISBLANK(Articles!$J73:$Y73),0)),0,1)),"N/A",OFFSET(INDEX(Articles!$J73:$Y73, MATCH(FALSE, ISBLANK(Articles!$J73:$Y73),0)),0,1))</f>
        <v>0.97</v>
      </c>
      <c r="J73" s="43" t="s">
        <v>454</v>
      </c>
      <c r="K73" s="46">
        <v>0.97</v>
      </c>
      <c r="L73" s="43"/>
      <c r="M73" s="46"/>
      <c r="N73" s="43"/>
      <c r="O73" s="46"/>
      <c r="P73" s="43"/>
      <c r="Q73" s="46"/>
      <c r="R73" s="43"/>
      <c r="S73" s="46"/>
      <c r="T73" s="43"/>
      <c r="U73" s="46"/>
      <c r="V73" s="43"/>
      <c r="W73" s="46"/>
      <c r="X73" s="46"/>
      <c r="Y73" s="46"/>
      <c r="Z73" s="44">
        <f>IF(Articles!$G73=1,IF(Articles!$E73&lt;Articles!$F73,1,""),"")</f>
        <v>1</v>
      </c>
    </row>
    <row r="74" spans="1:26" x14ac:dyDescent="0.25">
      <c r="A74" s="43" t="s">
        <v>221</v>
      </c>
      <c r="B74" s="44" t="s">
        <v>80</v>
      </c>
      <c r="C74" s="44" t="s">
        <v>406</v>
      </c>
      <c r="D74" s="44" t="s">
        <v>222</v>
      </c>
      <c r="E74" s="44">
        <v>24</v>
      </c>
      <c r="F74" s="44">
        <f>10</f>
        <v>10</v>
      </c>
      <c r="G74" s="44">
        <f>1</f>
        <v>1</v>
      </c>
      <c r="H74" s="45" t="str">
        <f t="array" ref="H74">IF(ISERROR(INDEX(Articles!$J74:$W74, MATCH(FALSE, ISBLANK(Articles!$J74:$W74),0))),"N/A",INDEX(Articles!$J74:$W74, MATCH(FALSE, ISBLANK(Articles!$J74:$W74),0)))</f>
        <v>576-4880-1-ND</v>
      </c>
      <c r="I74" s="46">
        <f t="array" aca="1" ref="I74" ca="1">IF(ISERROR(OFFSET(INDEX(Articles!$J74:$Y74, MATCH(FALSE, ISBLANK(Articles!$J74:$Y74),0)),0,1)),"N/A",OFFSET(INDEX(Articles!$J74:$Y74, MATCH(FALSE, ISBLANK(Articles!$J74:$Y74),0)),0,1))</f>
        <v>0.11</v>
      </c>
      <c r="J74" s="43" t="s">
        <v>223</v>
      </c>
      <c r="K74" s="46">
        <v>0.11</v>
      </c>
      <c r="L74" s="43"/>
      <c r="M74" s="46"/>
      <c r="N74" s="43"/>
      <c r="O74" s="46"/>
      <c r="P74" s="43"/>
      <c r="Q74" s="46"/>
      <c r="R74" s="43"/>
      <c r="S74" s="46"/>
      <c r="T74" s="43"/>
      <c r="U74" s="46"/>
      <c r="V74" s="43"/>
      <c r="W74" s="46"/>
      <c r="X74" s="46"/>
      <c r="Y74" s="46"/>
      <c r="Z74" s="44" t="str">
        <f>IF(Articles!$G74=1,IF(Articles!$E74&lt;Articles!$F74,1,""),"")</f>
        <v/>
      </c>
    </row>
    <row r="75" spans="1:26" x14ac:dyDescent="0.25">
      <c r="A75" s="43" t="s">
        <v>216</v>
      </c>
      <c r="B75" s="44" t="s">
        <v>219</v>
      </c>
      <c r="C75" s="44" t="s">
        <v>410</v>
      </c>
      <c r="D75" s="44" t="s">
        <v>217</v>
      </c>
      <c r="E75" s="44">
        <v>4</v>
      </c>
      <c r="F75" s="44">
        <f>10</f>
        <v>10</v>
      </c>
      <c r="G75" s="44">
        <f>1</f>
        <v>1</v>
      </c>
      <c r="H75" s="45" t="str">
        <f t="array" ref="H75">IF(ISERROR(INDEX(Articles!$J75:$W75, MATCH(FALSE, ISBLANK(Articles!$J75:$W75),0))),"N/A",INDEX(Articles!$J75:$W75, MATCH(FALSE, ISBLANK(Articles!$J75:$W75),0)))</f>
        <v>MMA8452QR1CT-ND</v>
      </c>
      <c r="I75" s="46">
        <f t="array" aca="1" ref="I75" ca="1">IF(ISERROR(OFFSET(INDEX(Articles!$J75:$Y75, MATCH(FALSE, ISBLANK(Articles!$J75:$Y75),0)),0,1)),"N/A",OFFSET(INDEX(Articles!$J75:$Y75, MATCH(FALSE, ISBLANK(Articles!$J75:$Y75),0)),0,1))</f>
        <v>2.64</v>
      </c>
      <c r="J75" s="43" t="s">
        <v>218</v>
      </c>
      <c r="K75" s="46">
        <v>2.64</v>
      </c>
      <c r="L75" s="43"/>
      <c r="M75" s="46"/>
      <c r="N75" s="43"/>
      <c r="O75" s="46"/>
      <c r="P75" s="43"/>
      <c r="Q75" s="46"/>
      <c r="R75" s="43"/>
      <c r="S75" s="46"/>
      <c r="T75" s="43"/>
      <c r="U75" s="46"/>
      <c r="V75" s="43"/>
      <c r="W75" s="46"/>
      <c r="X75" s="46"/>
      <c r="Y75" s="46"/>
      <c r="Z75" s="44">
        <f>IF(Articles!$G75=1,IF(Articles!$E75&lt;Articles!$F75,1,""),"")</f>
        <v>1</v>
      </c>
    </row>
    <row r="76" spans="1:26" x14ac:dyDescent="0.25">
      <c r="A76" s="43" t="s">
        <v>27</v>
      </c>
      <c r="B76" s="44" t="s">
        <v>45</v>
      </c>
      <c r="C76" s="44" t="s">
        <v>404</v>
      </c>
      <c r="D76" s="44" t="s">
        <v>25</v>
      </c>
      <c r="E76" s="44">
        <v>9</v>
      </c>
      <c r="F76" s="44">
        <f>10</f>
        <v>10</v>
      </c>
      <c r="G76" s="44">
        <f>1</f>
        <v>1</v>
      </c>
      <c r="H76" s="45" t="str">
        <f t="array" ref="H76">IF(ISERROR(INDEX(Articles!$J76:$W76, MATCH(FALSE, ISBLANK(Articles!$J76:$W76),0))),"N/A",INDEX(Articles!$J76:$W76, MATCH(FALSE, ISBLANK(Articles!$J76:$W76),0)))</f>
        <v>NCP114ASN330T1GOSCT-ND</v>
      </c>
      <c r="I76" s="46">
        <f t="array" aca="1" ref="I76" ca="1">IF(ISERROR(OFFSET(INDEX(Articles!$J76:$Y76, MATCH(FALSE, ISBLANK(Articles!$J76:$Y76),0)),0,1)),"N/A",OFFSET(INDEX(Articles!$J76:$Y76, MATCH(FALSE, ISBLANK(Articles!$J76:$Y76),0)),0,1))</f>
        <v>0.35</v>
      </c>
      <c r="J76" s="43" t="s">
        <v>480</v>
      </c>
      <c r="K76" s="46">
        <v>0.35</v>
      </c>
      <c r="L76" s="43" t="s">
        <v>403</v>
      </c>
      <c r="M76" s="46">
        <v>0.26500000000000001</v>
      </c>
      <c r="N76" s="43"/>
      <c r="O76" s="46"/>
      <c r="P76" s="43"/>
      <c r="Q76" s="46"/>
      <c r="R76" s="43"/>
      <c r="S76" s="46"/>
      <c r="T76" s="43"/>
      <c r="U76" s="46"/>
      <c r="V76" s="43"/>
      <c r="W76" s="46">
        <v>0.26500000000000001</v>
      </c>
      <c r="X76" s="46"/>
      <c r="Y76" s="46"/>
      <c r="Z76" s="44">
        <f>IF(Articles!$G76=1,IF(Articles!$E76&lt;Articles!$F76,1,""),"")</f>
        <v>1</v>
      </c>
    </row>
    <row r="77" spans="1:26" x14ac:dyDescent="0.25">
      <c r="A77" s="44" t="s">
        <v>73</v>
      </c>
      <c r="B77" s="44" t="s">
        <v>72</v>
      </c>
      <c r="C77" s="44" t="s">
        <v>352</v>
      </c>
      <c r="D77" s="44" t="s">
        <v>71</v>
      </c>
      <c r="E77" s="44">
        <v>3</v>
      </c>
      <c r="F77" s="44">
        <f>10</f>
        <v>10</v>
      </c>
      <c r="G77" s="44">
        <f>1</f>
        <v>1</v>
      </c>
      <c r="H77" s="45" t="str">
        <f t="array" ref="H77">IF(ISERROR(INDEX(Articles!$J77:$W77, MATCH(FALSE, ISBLANK(Articles!$J77:$W77),0))),"N/A",INDEX(Articles!$J77:$W77, MATCH(FALSE, ISBLANK(Articles!$J77:$W77),0)))</f>
        <v>NSL-19M51-ND</v>
      </c>
      <c r="I77" s="46">
        <f t="array" aca="1" ref="I77" ca="1">IF(ISERROR(OFFSET(INDEX(Articles!$J77:$Y77, MATCH(FALSE, ISBLANK(Articles!$J77:$Y77),0)),0,1)),"N/A",OFFSET(INDEX(Articles!$J77:$Y77, MATCH(FALSE, ISBLANK(Articles!$J77:$Y77),0)),0,1))</f>
        <v>1.07</v>
      </c>
      <c r="J77" s="43" t="s">
        <v>70</v>
      </c>
      <c r="K77" s="46">
        <v>1.07</v>
      </c>
      <c r="L77" s="43"/>
      <c r="M77" s="46"/>
      <c r="N77" s="43"/>
      <c r="O77" s="46"/>
      <c r="P77" s="43"/>
      <c r="Q77" s="46"/>
      <c r="R77" s="43"/>
      <c r="S77" s="46"/>
      <c r="T77" s="43"/>
      <c r="U77" s="46"/>
      <c r="V77" s="43"/>
      <c r="W77" s="46"/>
      <c r="X77" s="46"/>
      <c r="Y77" s="46"/>
      <c r="Z77" s="44">
        <f>IF(Articles!$G77=1,IF(Articles!$E77&lt;Articles!$F77,1,""),"")</f>
        <v>1</v>
      </c>
    </row>
    <row r="78" spans="1:26" x14ac:dyDescent="0.25">
      <c r="A78" s="44" t="s">
        <v>153</v>
      </c>
      <c r="B78" s="44" t="s">
        <v>80</v>
      </c>
      <c r="C78" s="44" t="s">
        <v>352</v>
      </c>
      <c r="D78" s="44" t="s">
        <v>154</v>
      </c>
      <c r="E78" s="44">
        <v>3</v>
      </c>
      <c r="F78" s="44">
        <f>10</f>
        <v>10</v>
      </c>
      <c r="G78" s="44">
        <f>1</f>
        <v>1</v>
      </c>
      <c r="H78" s="45" t="str">
        <f t="array" ref="H78">IF(ISERROR(INDEX(Articles!$J78:$W78, MATCH(FALSE, ISBLANK(Articles!$J78:$W78),0))),"N/A",INDEX(Articles!$J78:$W78, MATCH(FALSE, ISBLANK(Articles!$J78:$W78),0)))</f>
        <v>PIC16F18346-I/P-ND</v>
      </c>
      <c r="I78" s="46">
        <f t="array" aca="1" ref="I78" ca="1">IF(ISERROR(OFFSET(INDEX(Articles!$J78:$Y78, MATCH(FALSE, ISBLANK(Articles!$J78:$Y78),0)),0,1)),"N/A",OFFSET(INDEX(Articles!$J78:$Y78, MATCH(FALSE, ISBLANK(Articles!$J78:$Y78),0)),0,1))</f>
        <v>1.53</v>
      </c>
      <c r="J78" s="43" t="s">
        <v>152</v>
      </c>
      <c r="K78" s="46">
        <v>1.53</v>
      </c>
      <c r="L78" s="43"/>
      <c r="M78" s="46"/>
      <c r="N78" s="43"/>
      <c r="O78" s="46"/>
      <c r="P78" s="43"/>
      <c r="Q78" s="46"/>
      <c r="R78" s="43"/>
      <c r="S78" s="46"/>
      <c r="T78" s="43"/>
      <c r="U78" s="46"/>
      <c r="V78" s="43"/>
      <c r="W78" s="46"/>
      <c r="X78" s="46"/>
      <c r="Y78" s="46"/>
      <c r="Z78" s="44">
        <f>IF(Articles!$G78=1,IF(Articles!$E78&lt;Articles!$F78,1,""),"")</f>
        <v>1</v>
      </c>
    </row>
    <row r="79" spans="1:26" x14ac:dyDescent="0.25">
      <c r="A79" s="44" t="s">
        <v>81</v>
      </c>
      <c r="B79" s="44" t="s">
        <v>80</v>
      </c>
      <c r="C79" s="44" t="s">
        <v>352</v>
      </c>
      <c r="D79" s="44" t="s">
        <v>79</v>
      </c>
      <c r="E79" s="44">
        <v>2</v>
      </c>
      <c r="F79" s="44">
        <f>10</f>
        <v>10</v>
      </c>
      <c r="G79" s="44">
        <f>1</f>
        <v>1</v>
      </c>
      <c r="H79" s="45" t="str">
        <f t="array" ref="H79">IF(ISERROR(INDEX(Articles!$J79:$W79, MATCH(FALSE, ISBLANK(Articles!$J79:$W79),0))),"N/A",INDEX(Articles!$J79:$W79, MATCH(FALSE, ISBLANK(Articles!$J79:$W79),0)))</f>
        <v>PIC16LF1827-I/P-ND</v>
      </c>
      <c r="I79" s="46">
        <f t="array" aca="1" ref="I79" ca="1">IF(ISERROR(OFFSET(INDEX(Articles!$J79:$Y79, MATCH(FALSE, ISBLANK(Articles!$J79:$Y79),0)),0,1)),"N/A",OFFSET(INDEX(Articles!$J79:$Y79, MATCH(FALSE, ISBLANK(Articles!$J79:$Y79),0)),0,1))</f>
        <v>1.57</v>
      </c>
      <c r="J79" s="43" t="s">
        <v>78</v>
      </c>
      <c r="K79" s="46">
        <v>1.57</v>
      </c>
      <c r="L79" s="43"/>
      <c r="M79" s="46"/>
      <c r="N79" s="43"/>
      <c r="O79" s="46"/>
      <c r="P79" s="43"/>
      <c r="Q79" s="46"/>
      <c r="R79" s="43"/>
      <c r="S79" s="46"/>
      <c r="T79" s="43"/>
      <c r="U79" s="46"/>
      <c r="V79" s="43"/>
      <c r="W79" s="46"/>
      <c r="X79" s="46"/>
      <c r="Y79" s="46"/>
      <c r="Z79" s="44">
        <f>IF(Articles!$G79=1,IF(Articles!$E79&lt;Articles!$F79,1,""),"")</f>
        <v>1</v>
      </c>
    </row>
    <row r="80" spans="1:26" x14ac:dyDescent="0.25">
      <c r="A80" s="44" t="s">
        <v>147</v>
      </c>
      <c r="B80" s="44" t="s">
        <v>80</v>
      </c>
      <c r="C80" s="44" t="s">
        <v>408</v>
      </c>
      <c r="D80" s="44" t="s">
        <v>148</v>
      </c>
      <c r="E80" s="44">
        <v>3</v>
      </c>
      <c r="F80" s="44">
        <f>10</f>
        <v>10</v>
      </c>
      <c r="G80" s="44">
        <f>1</f>
        <v>1</v>
      </c>
      <c r="H80" s="45" t="str">
        <f t="array" ref="H80">IF(ISERROR(INDEX(Articles!$J80:$W80, MATCH(FALSE, ISBLANK(Articles!$J80:$W80),0))),"N/A",INDEX(Articles!$J80:$W80, MATCH(FALSE, ISBLANK(Articles!$J80:$W80),0)))</f>
        <v>PIC16LF1827-I/SS-ND</v>
      </c>
      <c r="I80" s="46">
        <f t="array" aca="1" ref="I80" ca="1">IF(ISERROR(OFFSET(INDEX(Articles!$J80:$Y80, MATCH(FALSE, ISBLANK(Articles!$J80:$Y80),0)),0,1)),"N/A",OFFSET(INDEX(Articles!$J80:$Y80, MATCH(FALSE, ISBLANK(Articles!$J80:$Y80),0)),0,1))</f>
        <v>1.47</v>
      </c>
      <c r="J80" s="43" t="s">
        <v>146</v>
      </c>
      <c r="K80" s="46">
        <v>1.47</v>
      </c>
      <c r="L80" s="43"/>
      <c r="M80" s="46"/>
      <c r="N80" s="43"/>
      <c r="O80" s="46"/>
      <c r="P80" s="43"/>
      <c r="Q80" s="46"/>
      <c r="R80" s="43"/>
      <c r="S80" s="46"/>
      <c r="T80" s="43"/>
      <c r="U80" s="46"/>
      <c r="V80" s="43"/>
      <c r="W80" s="46"/>
      <c r="X80" s="46"/>
      <c r="Y80" s="46"/>
      <c r="Z80" s="44">
        <f>IF(Articles!$G80=1,IF(Articles!$E80&lt;Articles!$F80,1,""),"")</f>
        <v>1</v>
      </c>
    </row>
    <row r="81" spans="1:26" x14ac:dyDescent="0.25">
      <c r="A81" s="43" t="s">
        <v>215</v>
      </c>
      <c r="B81" s="44" t="s">
        <v>80</v>
      </c>
      <c r="C81" s="44" t="s">
        <v>409</v>
      </c>
      <c r="D81" s="44" t="s">
        <v>214</v>
      </c>
      <c r="E81" s="44">
        <v>4</v>
      </c>
      <c r="F81" s="44">
        <f>10</f>
        <v>10</v>
      </c>
      <c r="G81" s="44">
        <f>1</f>
        <v>1</v>
      </c>
      <c r="H81" s="45" t="str">
        <f t="array" ref="H81">IF(ISERROR(INDEX(Articles!$J81:$W81, MATCH(FALSE, ISBLANK(Articles!$J81:$W81),0))),"N/A",INDEX(Articles!$J81:$W81, MATCH(FALSE, ISBLANK(Articles!$J81:$W81),0)))</f>
        <v>PIC16LF18324-I/SL-ND</v>
      </c>
      <c r="I81" s="46">
        <f t="array" aca="1" ref="I81" ca="1">IF(ISERROR(OFFSET(INDEX(Articles!$J81:$Y81, MATCH(FALSE, ISBLANK(Articles!$J81:$Y81),0)),0,1)),"N/A",OFFSET(INDEX(Articles!$J81:$Y81, MATCH(FALSE, ISBLANK(Articles!$J81:$Y81),0)),0,1))</f>
        <v>0.92</v>
      </c>
      <c r="J81" s="43" t="s">
        <v>220</v>
      </c>
      <c r="K81" s="46">
        <v>0.92</v>
      </c>
      <c r="L81" s="43"/>
      <c r="M81" s="46"/>
      <c r="N81" s="43"/>
      <c r="O81" s="46"/>
      <c r="P81" s="43"/>
      <c r="Q81" s="46"/>
      <c r="R81" s="43"/>
      <c r="S81" s="46"/>
      <c r="T81" s="43"/>
      <c r="U81" s="46"/>
      <c r="V81" s="43"/>
      <c r="W81" s="46"/>
      <c r="X81" s="46"/>
      <c r="Y81" s="46"/>
      <c r="Z81" s="44">
        <f>IF(Articles!$G81=1,IF(Articles!$E81&lt;Articles!$F81,1,""),"")</f>
        <v>1</v>
      </c>
    </row>
    <row r="82" spans="1:26" x14ac:dyDescent="0.25">
      <c r="A82" s="44" t="s">
        <v>150</v>
      </c>
      <c r="B82" s="44" t="s">
        <v>80</v>
      </c>
      <c r="C82" s="44" t="s">
        <v>407</v>
      </c>
      <c r="D82" s="44" t="s">
        <v>151</v>
      </c>
      <c r="E82" s="44">
        <v>3</v>
      </c>
      <c r="F82" s="44">
        <f>10</f>
        <v>10</v>
      </c>
      <c r="G82" s="44">
        <f>1</f>
        <v>1</v>
      </c>
      <c r="H82" s="45" t="str">
        <f t="array" ref="H82">IF(ISERROR(INDEX(Articles!$J82:$W82, MATCH(FALSE, ISBLANK(Articles!$J82:$W82),0))),"N/A",INDEX(Articles!$J82:$W82, MATCH(FALSE, ISBLANK(Articles!$J82:$W82),0)))</f>
        <v>PIC16LF18346-E/SO-ND</v>
      </c>
      <c r="I82" s="46">
        <f t="array" aca="1" ref="I82" ca="1">IF(ISERROR(OFFSET(INDEX(Articles!$J82:$Y82, MATCH(FALSE, ISBLANK(Articles!$J82:$Y82),0)),0,1)),"N/A",OFFSET(INDEX(Articles!$J82:$Y82, MATCH(FALSE, ISBLANK(Articles!$J82:$Y82),0)),0,1))</f>
        <v>1.43</v>
      </c>
      <c r="J82" s="43" t="s">
        <v>149</v>
      </c>
      <c r="K82" s="46">
        <v>1.43</v>
      </c>
      <c r="L82" s="43"/>
      <c r="M82" s="46"/>
      <c r="N82" s="43"/>
      <c r="O82" s="46"/>
      <c r="P82" s="43"/>
      <c r="Q82" s="46"/>
      <c r="R82" s="43"/>
      <c r="S82" s="46"/>
      <c r="T82" s="43"/>
      <c r="U82" s="46"/>
      <c r="V82" s="43"/>
      <c r="W82" s="46"/>
      <c r="X82" s="46"/>
      <c r="Y82" s="46"/>
      <c r="Z82" s="44">
        <f>IF(Articles!$G82=1,IF(Articles!$E82&lt;Articles!$F82,1,""),"")</f>
        <v>1</v>
      </c>
    </row>
    <row r="83" spans="1:26" x14ac:dyDescent="0.25">
      <c r="A83" s="44" t="s">
        <v>158</v>
      </c>
      <c r="B83" s="44" t="s">
        <v>95</v>
      </c>
      <c r="C83" s="44" t="s">
        <v>352</v>
      </c>
      <c r="D83" s="44" t="s">
        <v>66</v>
      </c>
      <c r="E83" s="44">
        <v>1</v>
      </c>
      <c r="F83" s="44">
        <f>10</f>
        <v>10</v>
      </c>
      <c r="G83" s="44">
        <f>1</f>
        <v>1</v>
      </c>
      <c r="H83" s="45" t="str">
        <f t="array" ref="H83">IF(ISERROR(INDEX(Articles!$J83:$W83, MATCH(FALSE, ISBLANK(Articles!$J83:$W83),0))),"N/A",INDEX(Articles!$J83:$W83, MATCH(FALSE, ISBLANK(Articles!$J83:$W83),0)))</f>
        <v>377-2428-ND</v>
      </c>
      <c r="I83" s="46">
        <f t="array" aca="1" ref="I83" ca="1">IF(ISERROR(OFFSET(INDEX(Articles!$J83:$Y83, MATCH(FALSE, ISBLANK(Articles!$J83:$Y83),0)),0,1)),"N/A",OFFSET(INDEX(Articles!$J83:$Y83, MATCH(FALSE, ISBLANK(Articles!$J83:$Y83),0)),0,1))</f>
        <v>15.9</v>
      </c>
      <c r="J83" s="43" t="s">
        <v>64</v>
      </c>
      <c r="K83" s="46">
        <v>15.9</v>
      </c>
      <c r="L83" s="43"/>
      <c r="M83" s="46"/>
      <c r="N83" s="43"/>
      <c r="O83" s="46"/>
      <c r="P83" s="43"/>
      <c r="Q83" s="46"/>
      <c r="R83" s="43"/>
      <c r="S83" s="46"/>
      <c r="T83" s="43"/>
      <c r="U83" s="46"/>
      <c r="V83" s="43"/>
      <c r="W83" s="46"/>
      <c r="X83" s="46"/>
      <c r="Y83" s="46"/>
      <c r="Z83" s="44">
        <f>IF(Articles!$G83=1,IF(Articles!$E83&lt;Articles!$F83,1,""),"")</f>
        <v>1</v>
      </c>
    </row>
    <row r="84" spans="1:26" x14ac:dyDescent="0.25">
      <c r="A84" s="43" t="s">
        <v>43</v>
      </c>
      <c r="B84" s="44" t="s">
        <v>7</v>
      </c>
      <c r="C84" s="44" t="s">
        <v>387</v>
      </c>
      <c r="D84" s="44" t="s">
        <v>41</v>
      </c>
      <c r="E84" s="44">
        <v>24</v>
      </c>
      <c r="F84" s="44">
        <f>10</f>
        <v>10</v>
      </c>
      <c r="G84" s="44">
        <f>1</f>
        <v>1</v>
      </c>
      <c r="H84" s="45" t="str">
        <f t="array" ref="H84">IF(ISERROR(INDEX(Articles!$J84:$W84, MATCH(FALSE, ISBLANK(Articles!$J84:$W84),0))),"N/A",INDEX(Articles!$J84:$W84, MATCH(FALSE, ISBLANK(Articles!$J84:$W84),0)))</f>
        <v>SI2333CDS-T1-GE3CT-ND</v>
      </c>
      <c r="I84" s="46">
        <f t="array" aca="1" ref="I84" ca="1">IF(ISERROR(OFFSET(INDEX(Articles!$J84:$Y84, MATCH(FALSE, ISBLANK(Articles!$J84:$Y84),0)),0,1)),"N/A",OFFSET(INDEX(Articles!$J84:$Y84, MATCH(FALSE, ISBLANK(Articles!$J84:$Y84),0)),0,1))</f>
        <v>0.56999999999999995</v>
      </c>
      <c r="J84" s="43" t="s">
        <v>481</v>
      </c>
      <c r="K84" s="46">
        <v>0.56999999999999995</v>
      </c>
      <c r="L84" s="43">
        <v>1779259</v>
      </c>
      <c r="M84" s="46">
        <v>0.27100000000000002</v>
      </c>
      <c r="N84" s="43"/>
      <c r="O84" s="46"/>
      <c r="P84" s="43"/>
      <c r="Q84" s="46"/>
      <c r="R84" s="43"/>
      <c r="S84" s="46"/>
      <c r="T84" s="43"/>
      <c r="U84" s="46"/>
      <c r="V84" s="43"/>
      <c r="W84" s="46">
        <v>0.27100000000000002</v>
      </c>
      <c r="X84" s="46"/>
      <c r="Y84" s="46"/>
      <c r="Z84" s="44" t="str">
        <f>IF(Articles!$G84=1,IF(Articles!$E84&lt;Articles!$F84,1,""),"")</f>
        <v/>
      </c>
    </row>
    <row r="85" spans="1:26" x14ac:dyDescent="0.25">
      <c r="A85" s="43" t="s">
        <v>234</v>
      </c>
      <c r="B85" s="44" t="s">
        <v>235</v>
      </c>
      <c r="C85" s="44" t="s">
        <v>352</v>
      </c>
      <c r="D85" s="44" t="s">
        <v>236</v>
      </c>
      <c r="E85" s="44">
        <v>4</v>
      </c>
      <c r="F85" s="44">
        <f>10</f>
        <v>10</v>
      </c>
      <c r="G85" s="44">
        <f>1</f>
        <v>1</v>
      </c>
      <c r="H85" s="45" t="str">
        <f t="array" ref="H85">IF(ISERROR(INDEX(Articles!$J85:$W85, MATCH(FALSE, ISBLANK(Articles!$J85:$W85),0))),"N/A",INDEX(Articles!$J85:$W85, MATCH(FALSE, ISBLANK(Articles!$J85:$W85),0)))</f>
        <v>679-3547-ND</v>
      </c>
      <c r="I85" s="46">
        <f t="array" aca="1" ref="I85" ca="1">IF(ISERROR(OFFSET(INDEX(Articles!$J85:$Y85, MATCH(FALSE, ISBLANK(Articles!$J85:$Y85),0)),0,1)),"N/A",OFFSET(INDEX(Articles!$J85:$Y85, MATCH(FALSE, ISBLANK(Articles!$J85:$Y85),0)),0,1))</f>
        <v>1.39</v>
      </c>
      <c r="J85" s="43" t="s">
        <v>233</v>
      </c>
      <c r="K85" s="46">
        <v>1.39</v>
      </c>
      <c r="L85" s="43"/>
      <c r="M85" s="46"/>
      <c r="N85" s="43"/>
      <c r="O85" s="46"/>
      <c r="P85" s="43"/>
      <c r="Q85" s="46"/>
      <c r="R85" s="43"/>
      <c r="S85" s="46"/>
      <c r="T85" s="43"/>
      <c r="U85" s="46"/>
      <c r="V85" s="43"/>
      <c r="W85" s="46"/>
      <c r="X85" s="46"/>
      <c r="Y85" s="46"/>
      <c r="Z85" s="44">
        <f>IF(Articles!$G85=1,IF(Articles!$E85&lt;Articles!$F85,1,""),"")</f>
        <v>1</v>
      </c>
    </row>
    <row r="86" spans="1:26" x14ac:dyDescent="0.25">
      <c r="A86" s="43" t="s">
        <v>197</v>
      </c>
      <c r="B86" s="44" t="s">
        <v>177</v>
      </c>
      <c r="C86" s="44" t="s">
        <v>352</v>
      </c>
      <c r="D86" s="44" t="s">
        <v>198</v>
      </c>
      <c r="E86" s="44">
        <v>1</v>
      </c>
      <c r="F86" s="44">
        <f>10</f>
        <v>10</v>
      </c>
      <c r="G86" s="44">
        <f>1</f>
        <v>1</v>
      </c>
      <c r="H86" s="45" t="str">
        <f t="array" ref="H86">IF(ISERROR(INDEX(Articles!$J86:$W86, MATCH(FALSE, ISBLANK(Articles!$J86:$W86),0))),"N/A",INDEX(Articles!$J86:$W86, MATCH(FALSE, ISBLANK(Articles!$J86:$W86),0)))</f>
        <v>SMD291-ND</v>
      </c>
      <c r="I86" s="46">
        <f t="array" aca="1" ref="I86" ca="1">IF(ISERROR(OFFSET(INDEX(Articles!$J86:$Y86, MATCH(FALSE, ISBLANK(Articles!$J86:$Y86),0)),0,1)),"N/A",OFFSET(INDEX(Articles!$J86:$Y86, MATCH(FALSE, ISBLANK(Articles!$J86:$Y86),0)),0,1))</f>
        <v>15.95</v>
      </c>
      <c r="J86" s="43" t="s">
        <v>196</v>
      </c>
      <c r="K86" s="46">
        <v>15.95</v>
      </c>
      <c r="L86" s="43"/>
      <c r="M86" s="46"/>
      <c r="N86" s="43"/>
      <c r="O86" s="46"/>
      <c r="P86" s="43"/>
      <c r="Q86" s="46"/>
      <c r="R86" s="43"/>
      <c r="S86" s="46"/>
      <c r="T86" s="43"/>
      <c r="U86" s="46"/>
      <c r="V86" s="43"/>
      <c r="W86" s="46"/>
      <c r="X86" s="46"/>
      <c r="Y86" s="46"/>
      <c r="Z86" s="44">
        <f>IF(Articles!$G86=1,IF(Articles!$E86&lt;Articles!$F86,1,""),"")</f>
        <v>1</v>
      </c>
    </row>
    <row r="87" spans="1:26" x14ac:dyDescent="0.25">
      <c r="A87" s="43" t="s">
        <v>136</v>
      </c>
      <c r="B87" s="44" t="s">
        <v>127</v>
      </c>
      <c r="C87" s="44" t="s">
        <v>405</v>
      </c>
      <c r="D87" s="44" t="s">
        <v>135</v>
      </c>
      <c r="E87" s="44">
        <v>5</v>
      </c>
      <c r="F87" s="44">
        <f>10</f>
        <v>10</v>
      </c>
      <c r="G87" s="44">
        <f>1</f>
        <v>1</v>
      </c>
      <c r="H87" s="45" t="str">
        <f t="array" ref="H87">IF(ISERROR(INDEX(Articles!$J87:$W87, MATCH(FALSE, ISBLANK(Articles!$J87:$W87),0))),"N/A",INDEX(Articles!$J87:$W87, MATCH(FALSE, ISBLANK(Articles!$J87:$W87),0)))</f>
        <v>2334901</v>
      </c>
      <c r="I87" s="46">
        <f t="array" aca="1" ref="I87" ca="1">IF(ISERROR(OFFSET(INDEX(Articles!$J87:$Y87, MATCH(FALSE, ISBLANK(Articles!$J87:$Y87),0)),0,1)),"N/A",OFFSET(INDEX(Articles!$J87:$Y87, MATCH(FALSE, ISBLANK(Articles!$J87:$Y87),0)),0,1))</f>
        <v>0.27100000000000002</v>
      </c>
      <c r="J87" s="43"/>
      <c r="K87" s="46"/>
      <c r="L87" s="43" t="s">
        <v>137</v>
      </c>
      <c r="M87" s="46">
        <v>0.27100000000000002</v>
      </c>
      <c r="N87" s="43"/>
      <c r="O87" s="46"/>
      <c r="P87" s="43"/>
      <c r="Q87" s="46"/>
      <c r="R87" s="43"/>
      <c r="S87" s="46"/>
      <c r="T87" s="43"/>
      <c r="U87" s="46"/>
      <c r="V87" s="43"/>
      <c r="W87" s="46">
        <v>0.27100000000000002</v>
      </c>
      <c r="X87" s="46"/>
      <c r="Y87" s="46"/>
      <c r="Z87" s="44">
        <f>IF(Articles!$G87=1,IF(Articles!$E87&lt;Articles!$F87,1,""),"")</f>
        <v>1</v>
      </c>
    </row>
    <row r="88" spans="1:26" x14ac:dyDescent="0.25">
      <c r="A88" s="43" t="s">
        <v>9</v>
      </c>
      <c r="B88" s="44" t="s">
        <v>7</v>
      </c>
      <c r="C88" s="44" t="s">
        <v>397</v>
      </c>
      <c r="D88" s="44" t="s">
        <v>10</v>
      </c>
      <c r="E88" s="44">
        <v>4</v>
      </c>
      <c r="F88" s="44">
        <f>10</f>
        <v>10</v>
      </c>
      <c r="G88" s="44">
        <f>1</f>
        <v>1</v>
      </c>
      <c r="H88" s="45" t="str">
        <f t="array" ref="H88">IF(ISERROR(INDEX(Articles!$J88:$W88, MATCH(FALSE, ISBLANK(Articles!$J88:$W88),0))),"N/A",INDEX(Articles!$J88:$W88, MATCH(FALSE, ISBLANK(Articles!$J88:$W88),0)))</f>
        <v>1287598</v>
      </c>
      <c r="I88" s="46">
        <f t="array" aca="1" ref="I88" ca="1">IF(ISERROR(OFFSET(INDEX(Articles!$J88:$Y88, MATCH(FALSE, ISBLANK(Articles!$J88:$Y88),0)),0,1)),"N/A",OFFSET(INDEX(Articles!$J88:$Y88, MATCH(FALSE, ISBLANK(Articles!$J88:$Y88),0)),0,1))</f>
        <v>0.33100000000000002</v>
      </c>
      <c r="J88" s="43"/>
      <c r="K88" s="46"/>
      <c r="L88" s="43" t="s">
        <v>396</v>
      </c>
      <c r="M88" s="46">
        <v>0.33100000000000002</v>
      </c>
      <c r="N88" s="43"/>
      <c r="O88" s="46"/>
      <c r="P88" s="43"/>
      <c r="Q88" s="46"/>
      <c r="R88" s="43"/>
      <c r="S88" s="46"/>
      <c r="T88" s="43"/>
      <c r="U88" s="46"/>
      <c r="V88" s="43"/>
      <c r="W88" s="46">
        <v>0.33100000000000002</v>
      </c>
      <c r="X88" s="46"/>
      <c r="Y88" s="46"/>
      <c r="Z88" s="44">
        <f>IF(Articles!$G88=1,IF(Articles!$E88&lt;Articles!$F88,1,""),"")</f>
        <v>1</v>
      </c>
    </row>
    <row r="89" spans="1:26" x14ac:dyDescent="0.25">
      <c r="A89" s="43" t="s">
        <v>120</v>
      </c>
      <c r="B89" s="44" t="s">
        <v>33</v>
      </c>
      <c r="C89" s="44" t="s">
        <v>352</v>
      </c>
      <c r="D89" s="44" t="s">
        <v>119</v>
      </c>
      <c r="E89" s="44">
        <v>15</v>
      </c>
      <c r="F89" s="44">
        <f>10</f>
        <v>10</v>
      </c>
      <c r="G89" s="44">
        <f>1</f>
        <v>1</v>
      </c>
      <c r="H89" s="45" t="str">
        <f t="array" ref="H89">IF(ISERROR(INDEX(Articles!$J89:$W89, MATCH(FALSE, ISBLANK(Articles!$J89:$W89),0))),"N/A",INDEX(Articles!$J89:$W89, MATCH(FALSE, ISBLANK(Articles!$J89:$W89),0)))</f>
        <v>2678574</v>
      </c>
      <c r="I89" s="46">
        <f t="array" aca="1" ref="I89" ca="1">IF(ISERROR(OFFSET(INDEX(Articles!$J89:$Y89, MATCH(FALSE, ISBLANK(Articles!$J89:$Y89),0)),0,1)),"N/A",OFFSET(INDEX(Articles!$J89:$Y89, MATCH(FALSE, ISBLANK(Articles!$J89:$Y89),0)),0,1))</f>
        <v>0.26500000000000001</v>
      </c>
      <c r="J89" s="43"/>
      <c r="K89" s="46"/>
      <c r="L89" s="43" t="s">
        <v>121</v>
      </c>
      <c r="M89" s="46">
        <v>0.26500000000000001</v>
      </c>
      <c r="N89" s="43"/>
      <c r="O89" s="46"/>
      <c r="P89" s="43"/>
      <c r="Q89" s="46"/>
      <c r="R89" s="43"/>
      <c r="S89" s="46"/>
      <c r="T89" s="43"/>
      <c r="U89" s="46"/>
      <c r="V89" s="43"/>
      <c r="W89" s="46">
        <v>0.26500000000000001</v>
      </c>
      <c r="X89" s="46"/>
      <c r="Y89" s="46"/>
      <c r="Z89" s="44" t="str">
        <f>IF(Articles!$G89=1,IF(Articles!$E89&lt;Articles!$F89,1,""),"")</f>
        <v/>
      </c>
    </row>
    <row r="90" spans="1:26" x14ac:dyDescent="0.25">
      <c r="A90" s="43" t="s">
        <v>194</v>
      </c>
      <c r="B90" s="44" t="s">
        <v>177</v>
      </c>
      <c r="C90" s="44" t="s">
        <v>352</v>
      </c>
      <c r="D90" s="44" t="s">
        <v>195</v>
      </c>
      <c r="E90" s="44">
        <v>2</v>
      </c>
      <c r="F90" s="44">
        <f>10</f>
        <v>10</v>
      </c>
      <c r="G90" s="44">
        <f>1</f>
        <v>1</v>
      </c>
      <c r="H90" s="45" t="str">
        <f t="array" ref="H90">IF(ISERROR(INDEX(Articles!$J90:$W90, MATCH(FALSE, ISBLANK(Articles!$J90:$W90),0))),"N/A",INDEX(Articles!$J90:$W90, MATCH(FALSE, ISBLANK(Articles!$J90:$W90),0)))</f>
        <v>1510-2262-1-ND</v>
      </c>
      <c r="I90" s="46">
        <f t="array" aca="1" ref="I90" ca="1">IF(ISERROR(OFFSET(INDEX(Articles!$J90:$Y90, MATCH(FALSE, ISBLANK(Articles!$J90:$Y90),0)),0,1)),"N/A",OFFSET(INDEX(Articles!$J90:$Y90, MATCH(FALSE, ISBLANK(Articles!$J90:$Y90),0)),0,1))</f>
        <v>2.64</v>
      </c>
      <c r="J90" s="43" t="s">
        <v>193</v>
      </c>
      <c r="K90" s="46">
        <v>2.64</v>
      </c>
      <c r="L90" s="43"/>
      <c r="M90" s="46"/>
      <c r="N90" s="43"/>
      <c r="O90" s="46"/>
      <c r="P90" s="43"/>
      <c r="Q90" s="46"/>
      <c r="R90" s="43"/>
      <c r="S90" s="46"/>
      <c r="T90" s="43"/>
      <c r="U90" s="46"/>
      <c r="V90" s="43"/>
      <c r="W90" s="46"/>
      <c r="X90" s="46"/>
      <c r="Y90" s="46"/>
      <c r="Z90" s="44">
        <f>IF(Articles!$G90=1,IF(Articles!$E90&lt;Articles!$F90,1,""),"")</f>
        <v>1</v>
      </c>
    </row>
    <row r="91" spans="1:26" x14ac:dyDescent="0.25">
      <c r="A91" s="43" t="s">
        <v>49</v>
      </c>
      <c r="B91" s="44" t="s">
        <v>48</v>
      </c>
      <c r="C91" s="44" t="s">
        <v>352</v>
      </c>
      <c r="D91" s="44" t="s">
        <v>47</v>
      </c>
      <c r="E91" s="44">
        <v>1</v>
      </c>
      <c r="F91" s="44">
        <v>10</v>
      </c>
      <c r="G91" s="44">
        <v>1</v>
      </c>
      <c r="H91" s="45" t="str">
        <f t="array" ref="H91">IF(ISERROR(INDEX(Articles!$J91:$W91, MATCH(FALSE, ISBLANK(Articles!$J91:$W91),0))),"N/A",INDEX(Articles!$J91:$W91, MATCH(FALSE, ISBLANK(Articles!$J91:$W91),0)))</f>
        <v>T93XA-100K-ND</v>
      </c>
      <c r="I91" s="46">
        <f t="array" aca="1" ref="I91" ca="1">IF(ISERROR(OFFSET(INDEX(Articles!$J91:$Y91, MATCH(FALSE, ISBLANK(Articles!$J91:$Y91),0)),0,1)),"N/A",OFFSET(INDEX(Articles!$J91:$Y91, MATCH(FALSE, ISBLANK(Articles!$J91:$Y91),0)),0,1))</f>
        <v>1.81</v>
      </c>
      <c r="J91" s="43" t="s">
        <v>482</v>
      </c>
      <c r="K91" s="46">
        <v>1.81</v>
      </c>
      <c r="L91" s="43">
        <v>1141380</v>
      </c>
      <c r="M91" s="46">
        <v>1.62</v>
      </c>
      <c r="N91" s="43"/>
      <c r="O91" s="46"/>
      <c r="P91" s="43"/>
      <c r="Q91" s="46"/>
      <c r="R91" s="43"/>
      <c r="S91" s="46"/>
      <c r="T91" s="43"/>
      <c r="U91" s="46"/>
      <c r="V91" s="43"/>
      <c r="W91" s="46">
        <v>1.62</v>
      </c>
      <c r="X91" s="46"/>
      <c r="Y91" s="46"/>
      <c r="Z91" s="44">
        <f>IF(Articles!$G91=1,IF(Articles!$E91&lt;Articles!$F91,1,""),"")</f>
        <v>1</v>
      </c>
    </row>
    <row r="92" spans="1:26" x14ac:dyDescent="0.25">
      <c r="A92" s="43" t="s">
        <v>231</v>
      </c>
      <c r="B92" s="44" t="s">
        <v>161</v>
      </c>
      <c r="C92" s="44" t="s">
        <v>414</v>
      </c>
      <c r="D92" s="44" t="s">
        <v>232</v>
      </c>
      <c r="E92" s="44">
        <v>9</v>
      </c>
      <c r="F92" s="44">
        <f>10</f>
        <v>10</v>
      </c>
      <c r="G92" s="44">
        <f>1</f>
        <v>1</v>
      </c>
      <c r="H92" s="45" t="str">
        <f t="array" ref="H92">IF(ISERROR(INDEX(Articles!$J92:$W92, MATCH(FALSE, ISBLANK(Articles!$J92:$W92),0))),"N/A",INDEX(Articles!$J92:$W92, MATCH(FALSE, ISBLANK(Articles!$J92:$W92),0)))</f>
        <v>TLMS1000-GS08</v>
      </c>
      <c r="I92" s="46">
        <f t="array" aca="1" ref="I92" ca="1">IF(ISERROR(OFFSET(INDEX(Articles!$J92:$Y92, MATCH(FALSE, ISBLANK(Articles!$J92:$Y92),0)),0,1)),"N/A",OFFSET(INDEX(Articles!$J92:$Y92, MATCH(FALSE, ISBLANK(Articles!$J92:$Y92),0)),0,1))</f>
        <v>0.52</v>
      </c>
      <c r="J92" s="43" t="s">
        <v>231</v>
      </c>
      <c r="K92" s="46">
        <v>0.52</v>
      </c>
      <c r="L92" s="43"/>
      <c r="M92" s="46"/>
      <c r="N92" s="43"/>
      <c r="O92" s="46"/>
      <c r="P92" s="43"/>
      <c r="Q92" s="46"/>
      <c r="R92" s="43"/>
      <c r="S92" s="46"/>
      <c r="T92" s="43"/>
      <c r="U92" s="46"/>
      <c r="V92" s="43"/>
      <c r="W92" s="46"/>
      <c r="X92" s="46"/>
      <c r="Y92" s="46"/>
      <c r="Z92" s="44">
        <f>IF(Articles!$G92=1,IF(Articles!$E92&lt;Articles!$F92,1,""),"")</f>
        <v>1</v>
      </c>
    </row>
    <row r="93" spans="1:26" x14ac:dyDescent="0.25">
      <c r="A93" s="43" t="s">
        <v>129</v>
      </c>
      <c r="B93" s="44" t="s">
        <v>127</v>
      </c>
      <c r="C93" s="44" t="s">
        <v>388</v>
      </c>
      <c r="D93" s="44" t="s">
        <v>131</v>
      </c>
      <c r="E93" s="44">
        <v>10</v>
      </c>
      <c r="F93" s="44">
        <f>10</f>
        <v>10</v>
      </c>
      <c r="G93" s="44">
        <f>1</f>
        <v>1</v>
      </c>
      <c r="H93" s="45" t="str">
        <f t="array" ref="H93">IF(ISERROR(INDEX(Articles!$J93:$W93, MATCH(FALSE, ISBLANK(Articles!$J93:$W93),0))),"N/A",INDEX(Articles!$J93:$W93, MATCH(FALSE, ISBLANK(Articles!$J93:$W93),0)))</f>
        <v>2769437</v>
      </c>
      <c r="I93" s="46">
        <f t="array" aca="1" ref="I93" ca="1">IF(ISERROR(OFFSET(INDEX(Articles!$J93:$Y93, MATCH(FALSE, ISBLANK(Articles!$J93:$Y93),0)),0,1)),"N/A",OFFSET(INDEX(Articles!$J93:$Y93, MATCH(FALSE, ISBLANK(Articles!$J93:$Y93),0)),0,1))</f>
        <v>0.54600000000000004</v>
      </c>
      <c r="J93" s="43"/>
      <c r="K93" s="46"/>
      <c r="L93" s="43" t="s">
        <v>130</v>
      </c>
      <c r="M93" s="46">
        <v>0.54600000000000004</v>
      </c>
      <c r="N93" s="43"/>
      <c r="O93" s="46"/>
      <c r="P93" s="43"/>
      <c r="Q93" s="46"/>
      <c r="R93" s="43"/>
      <c r="S93" s="46"/>
      <c r="T93" s="43"/>
      <c r="U93" s="46"/>
      <c r="V93" s="43"/>
      <c r="W93" s="46">
        <v>0.54600000000000004</v>
      </c>
      <c r="X93" s="46"/>
      <c r="Y93" s="46"/>
      <c r="Z93" s="44" t="str">
        <f>IF(Articles!$G93=1,IF(Articles!$E93&lt;Articles!$F93,1,""),"")</f>
        <v/>
      </c>
    </row>
    <row r="94" spans="1:26" x14ac:dyDescent="0.25">
      <c r="A94" s="43" t="s">
        <v>126</v>
      </c>
      <c r="B94" s="44" t="s">
        <v>127</v>
      </c>
      <c r="C94" s="44" t="s">
        <v>352</v>
      </c>
      <c r="D94" s="44" t="s">
        <v>125</v>
      </c>
      <c r="E94" s="44">
        <v>5</v>
      </c>
      <c r="F94" s="44">
        <f>10</f>
        <v>10</v>
      </c>
      <c r="G94" s="44">
        <f>1</f>
        <v>1</v>
      </c>
      <c r="H94" s="45" t="str">
        <f t="array" ref="H94">IF(ISERROR(INDEX(Articles!$J94:$W94, MATCH(FALSE, ISBLANK(Articles!$J94:$W94),0))),"N/A",INDEX(Articles!$J94:$W94, MATCH(FALSE, ISBLANK(Articles!$J94:$W94),0)))</f>
        <v>1103041</v>
      </c>
      <c r="I94" s="46">
        <f t="array" aca="1" ref="I94" ca="1">IF(ISERROR(OFFSET(INDEX(Articles!$J94:$Y94, MATCH(FALSE, ISBLANK(Articles!$J94:$Y94),0)),0,1)),"N/A",OFFSET(INDEX(Articles!$J94:$Y94, MATCH(FALSE, ISBLANK(Articles!$J94:$Y94),0)),0,1))</f>
        <v>0.68600000000000005</v>
      </c>
      <c r="J94" s="43"/>
      <c r="K94" s="46"/>
      <c r="L94" s="43" t="s">
        <v>128</v>
      </c>
      <c r="M94" s="46">
        <v>0.68600000000000005</v>
      </c>
      <c r="N94" s="43"/>
      <c r="O94" s="46"/>
      <c r="P94" s="43"/>
      <c r="Q94" s="46"/>
      <c r="R94" s="43"/>
      <c r="S94" s="46"/>
      <c r="T94" s="43"/>
      <c r="U94" s="46"/>
      <c r="V94" s="43"/>
      <c r="W94" s="46">
        <v>0.68600000000000005</v>
      </c>
      <c r="X94" s="46"/>
      <c r="Y94" s="46"/>
      <c r="Z94" s="44">
        <f>IF(Articles!$G94=1,IF(Articles!$E94&lt;Articles!$F94,1,""),"")</f>
        <v>1</v>
      </c>
    </row>
    <row r="95" spans="1:26" x14ac:dyDescent="0.25">
      <c r="A95" s="43" t="s">
        <v>329</v>
      </c>
      <c r="B95" s="44" t="s">
        <v>330</v>
      </c>
      <c r="C95" s="44" t="s">
        <v>352</v>
      </c>
      <c r="D95" s="44" t="s">
        <v>331</v>
      </c>
      <c r="E95" s="44">
        <v>0</v>
      </c>
      <c r="F95" s="44">
        <f>10</f>
        <v>10</v>
      </c>
      <c r="G95" s="44">
        <f>1</f>
        <v>1</v>
      </c>
      <c r="H95" s="45" t="str">
        <f t="array" ref="H95">IF(ISERROR(INDEX(Articles!$J95:$W95, MATCH(FALSE, ISBLANK(Articles!$J95:$W95),0))),"N/A",INDEX(Articles!$J95:$W95, MATCH(FALSE, ISBLANK(Articles!$J95:$W95),0)))</f>
        <v>301-18-567</v>
      </c>
      <c r="I95" s="46">
        <f t="array" aca="1" ref="I95" ca="1">IF(ISERROR(OFFSET(INDEX(Articles!$J95:$Y95, MATCH(FALSE, ISBLANK(Articles!$J95:$Y95),0)),0,1)),"N/A",OFFSET(INDEX(Articles!$J95:$Y95, MATCH(FALSE, ISBLANK(Articles!$J95:$Y95),0)),0,1))</f>
        <v>14.6</v>
      </c>
      <c r="J95" s="43"/>
      <c r="K95" s="46"/>
      <c r="L95" s="43"/>
      <c r="M95" s="46"/>
      <c r="N95" s="43" t="s">
        <v>328</v>
      </c>
      <c r="O95" s="46">
        <v>14.6</v>
      </c>
      <c r="P95" s="43"/>
      <c r="Q95" s="46"/>
      <c r="R95" s="43"/>
      <c r="S95" s="46"/>
      <c r="T95" s="43"/>
      <c r="U95" s="46"/>
      <c r="V95" s="43"/>
      <c r="W95" s="46"/>
      <c r="X95" s="46"/>
      <c r="Y95" s="46"/>
      <c r="Z95" s="44">
        <f>IF(Articles!$G95=1,IF(Articles!$E95&lt;Articles!$F95,1,""),"")</f>
        <v>1</v>
      </c>
    </row>
    <row r="96" spans="1:26" x14ac:dyDescent="0.25">
      <c r="A96" s="44" t="s">
        <v>144</v>
      </c>
      <c r="B96" s="44" t="s">
        <v>161</v>
      </c>
      <c r="C96" s="44" t="s">
        <v>352</v>
      </c>
      <c r="D96" s="44" t="s">
        <v>145</v>
      </c>
      <c r="E96" s="44">
        <v>2</v>
      </c>
      <c r="F96" s="44">
        <f>10</f>
        <v>10</v>
      </c>
      <c r="G96" s="44">
        <f>1</f>
        <v>1</v>
      </c>
      <c r="H96" s="45" t="str">
        <f t="array" ref="H96">IF(ISERROR(INDEX(Articles!$J96:$W96, MATCH(FALSE, ISBLANK(Articles!$J96:$W96),0))),"N/A",INDEX(Articles!$J96:$W96, MATCH(FALSE, ISBLANK(Articles!$J96:$W96),0)))</f>
        <v>VEML6040A3OGCT-ND</v>
      </c>
      <c r="I96" s="46">
        <f t="array" aca="1" ref="I96" ca="1">IF(ISERROR(OFFSET(INDEX(Articles!$J96:$Y96, MATCH(FALSE, ISBLANK(Articles!$J96:$Y96),0)),0,1)),"N/A",OFFSET(INDEX(Articles!$J96:$Y96, MATCH(FALSE, ISBLANK(Articles!$J96:$Y96),0)),0,1))</f>
        <v>2.52</v>
      </c>
      <c r="J96" s="43" t="s">
        <v>143</v>
      </c>
      <c r="K96" s="46">
        <v>2.52</v>
      </c>
      <c r="L96" s="43"/>
      <c r="M96" s="46"/>
      <c r="N96" s="43"/>
      <c r="O96" s="46"/>
      <c r="P96" s="43"/>
      <c r="Q96" s="46"/>
      <c r="R96" s="43"/>
      <c r="S96" s="46"/>
      <c r="T96" s="43"/>
      <c r="U96" s="46"/>
      <c r="V96" s="43"/>
      <c r="W96" s="46"/>
      <c r="X96" s="46"/>
      <c r="Y96" s="46"/>
      <c r="Z96" s="44">
        <f>IF(Articles!$G96=1,IF(Articles!$E96&lt;Articles!$F96,1,""),"")</f>
        <v>1</v>
      </c>
    </row>
    <row r="97" spans="1:26" x14ac:dyDescent="0.25">
      <c r="A97" s="43" t="s">
        <v>36</v>
      </c>
      <c r="B97" s="44" t="s">
        <v>42</v>
      </c>
      <c r="C97" s="44" t="s">
        <v>425</v>
      </c>
      <c r="D97" s="44" t="s">
        <v>35</v>
      </c>
      <c r="E97" s="44">
        <v>92</v>
      </c>
      <c r="F97" s="44">
        <f>10</f>
        <v>10</v>
      </c>
      <c r="G97" s="44">
        <f>1</f>
        <v>1</v>
      </c>
      <c r="H97" s="45" t="str">
        <f t="array" ref="H97">IF(ISERROR(INDEX(Articles!$J97:$W97, MATCH(FALSE, ISBLANK(Articles!$J97:$W97),0))),"N/A",INDEX(Articles!$J97:$W97, MATCH(FALSE, ISBLANK(Articles!$J97:$W97),0)))</f>
        <v>720-1805-1-ND</v>
      </c>
      <c r="I97" s="46">
        <f t="array" aca="1" ref="I97" ca="1">IF(ISERROR(OFFSET(INDEX(Articles!$J97:$Y97, MATCH(FALSE, ISBLANK(Articles!$J97:$Y97),0)),0,1)),"N/A",OFFSET(INDEX(Articles!$J97:$Y97, MATCH(FALSE, ISBLANK(Articles!$J97:$Y97),0)),0,1))</f>
        <v>0.42</v>
      </c>
      <c r="J97" s="43" t="s">
        <v>483</v>
      </c>
      <c r="K97" s="46">
        <v>0.42</v>
      </c>
      <c r="L97" s="43" t="s">
        <v>424</v>
      </c>
      <c r="M97" s="46">
        <v>0.106</v>
      </c>
      <c r="N97" s="43"/>
      <c r="O97" s="46"/>
      <c r="P97" s="43"/>
      <c r="Q97" s="46"/>
      <c r="R97" s="43"/>
      <c r="S97" s="46"/>
      <c r="T97" s="43"/>
      <c r="U97" s="46"/>
      <c r="V97" s="43"/>
      <c r="W97" s="46">
        <v>0.106</v>
      </c>
      <c r="X97" s="46"/>
      <c r="Y97" s="46"/>
      <c r="Z97" s="44" t="str">
        <f>IF(Articles!$G97=1,IF(Articles!$E97&lt;Articles!$F97,1,""),"")</f>
        <v/>
      </c>
    </row>
    <row r="98" spans="1:26" x14ac:dyDescent="0.25">
      <c r="A98" s="43" t="s">
        <v>20</v>
      </c>
      <c r="B98" s="44" t="s">
        <v>42</v>
      </c>
      <c r="C98" s="44" t="s">
        <v>413</v>
      </c>
      <c r="D98" s="44" t="s">
        <v>19</v>
      </c>
      <c r="E98" s="44">
        <v>0</v>
      </c>
      <c r="F98" s="44">
        <f>10</f>
        <v>10</v>
      </c>
      <c r="G98" s="44">
        <f>1</f>
        <v>1</v>
      </c>
      <c r="H98" s="45" t="str">
        <f t="array" ref="H98">IF(ISERROR(INDEX(Articles!$J98:$W98, MATCH(FALSE, ISBLANK(Articles!$J98:$W98),0))),"N/A",INDEX(Articles!$J98:$W98, MATCH(FALSE, ISBLANK(Articles!$J98:$W98),0)))</f>
        <v>2682731</v>
      </c>
      <c r="I98" s="46">
        <f t="array" aca="1" ref="I98" ca="1">IF(ISERROR(OFFSET(INDEX(Articles!$J98:$Y98, MATCH(FALSE, ISBLANK(Articles!$J98:$Y98),0)),0,1)),"N/A",OFFSET(INDEX(Articles!$J98:$Y98, MATCH(FALSE, ISBLANK(Articles!$J98:$Y98),0)),0,1))</f>
        <v>3.64</v>
      </c>
      <c r="J98" s="43"/>
      <c r="K98" s="46"/>
      <c r="L98" s="43" t="s">
        <v>412</v>
      </c>
      <c r="M98" s="46">
        <v>3.64</v>
      </c>
      <c r="N98" s="43"/>
      <c r="O98" s="46"/>
      <c r="P98" s="43"/>
      <c r="Q98" s="46"/>
      <c r="R98" s="43"/>
      <c r="S98" s="46"/>
      <c r="T98" s="43"/>
      <c r="U98" s="46"/>
      <c r="V98" s="43"/>
      <c r="W98" s="46"/>
      <c r="X98" s="46"/>
      <c r="Y98" s="46"/>
      <c r="Z98" s="44">
        <f>IF(Articles!$G98=1,IF(Articles!$E98&lt;Articles!$F98,1,""),"")</f>
        <v>1</v>
      </c>
    </row>
    <row r="99" spans="1:26" x14ac:dyDescent="0.25">
      <c r="A99" s="43" t="s">
        <v>182</v>
      </c>
      <c r="B99" s="44" t="s">
        <v>177</v>
      </c>
      <c r="C99" s="44" t="s">
        <v>352</v>
      </c>
      <c r="D99" s="44" t="s">
        <v>183</v>
      </c>
      <c r="E99" s="44">
        <v>1</v>
      </c>
      <c r="F99" s="44">
        <f>10</f>
        <v>10</v>
      </c>
      <c r="G99" s="44">
        <f>1</f>
        <v>1</v>
      </c>
      <c r="H99" s="45" t="str">
        <f t="array" ref="H99">IF(ISERROR(INDEX(Articles!$J99:$W99, MATCH(FALSE, ISBLANK(Articles!$J99:$W99),0))),"N/A",INDEX(Articles!$J99:$W99, MATCH(FALSE, ISBLANK(Articles!$J99:$W99),0)))</f>
        <v>XQDAWT-00-0000-00000BF50CT-ND</v>
      </c>
      <c r="I99" s="46">
        <f t="array" aca="1" ref="I99" ca="1">IF(ISERROR(OFFSET(INDEX(Articles!$J99:$Y99, MATCH(FALSE, ISBLANK(Articles!$J99:$Y99),0)),0,1)),"N/A",OFFSET(INDEX(Articles!$J99:$Y99, MATCH(FALSE, ISBLANK(Articles!$J99:$Y99),0)),0,1))</f>
        <v>0.8</v>
      </c>
      <c r="J99" s="43" t="s">
        <v>181</v>
      </c>
      <c r="K99" s="46">
        <v>0.8</v>
      </c>
      <c r="L99" s="43"/>
      <c r="M99" s="46"/>
      <c r="N99" s="43"/>
      <c r="O99" s="46"/>
      <c r="P99" s="43"/>
      <c r="Q99" s="46"/>
      <c r="R99" s="43"/>
      <c r="S99" s="46"/>
      <c r="T99" s="43"/>
      <c r="U99" s="46"/>
      <c r="V99" s="43"/>
      <c r="W99" s="46"/>
      <c r="X99" s="46"/>
      <c r="Y99" s="46"/>
      <c r="Z99" s="44">
        <f>IF(Articles!$G99=1,IF(Articles!$E99&lt;Articles!$F99,1,""),"")</f>
        <v>1</v>
      </c>
    </row>
    <row r="100" spans="1:26" x14ac:dyDescent="0.25">
      <c r="A100" s="43" t="s">
        <v>185</v>
      </c>
      <c r="B100" s="44" t="s">
        <v>177</v>
      </c>
      <c r="C100" s="44" t="s">
        <v>352</v>
      </c>
      <c r="D100" s="44" t="s">
        <v>186</v>
      </c>
      <c r="E100" s="44">
        <v>2</v>
      </c>
      <c r="F100" s="44">
        <f>10</f>
        <v>10</v>
      </c>
      <c r="G100" s="44">
        <f>1</f>
        <v>1</v>
      </c>
      <c r="H100" s="45" t="str">
        <f t="array" ref="H100">IF(ISERROR(INDEX(Articles!$J100:$W100, MATCH(FALSE, ISBLANK(Articles!$J100:$W100),0))),"N/A",INDEX(Articles!$J100:$W100, MATCH(FALSE, ISBLANK(Articles!$J100:$W100),0)))</f>
        <v>XTEAWT-00-0000-000000KE1CT-ND</v>
      </c>
      <c r="I100" s="46">
        <f t="array" aca="1" ref="I100" ca="1">IF(ISERROR(OFFSET(INDEX(Articles!$J100:$Y100, MATCH(FALSE, ISBLANK(Articles!$J100:$Y100),0)),0,1)),"N/A",OFFSET(INDEX(Articles!$J100:$Y100, MATCH(FALSE, ISBLANK(Articles!$J100:$Y100),0)),0,1))</f>
        <v>1.06</v>
      </c>
      <c r="J100" s="43" t="s">
        <v>184</v>
      </c>
      <c r="K100" s="46">
        <v>1.06</v>
      </c>
      <c r="L100" s="43"/>
      <c r="M100" s="46"/>
      <c r="N100" s="43"/>
      <c r="O100" s="46"/>
      <c r="P100" s="43"/>
      <c r="Q100" s="46"/>
      <c r="R100" s="43"/>
      <c r="S100" s="46"/>
      <c r="T100" s="43"/>
      <c r="U100" s="46"/>
      <c r="V100" s="43"/>
      <c r="W100" s="46"/>
      <c r="X100" s="46"/>
      <c r="Y100" s="46"/>
      <c r="Z100" s="44">
        <f>IF(Articles!$G100=1,IF(Articles!$E100&lt;Articles!$F100,1,""),"")</f>
        <v>1</v>
      </c>
    </row>
  </sheetData>
  <dataConsolidate/>
  <conditionalFormatting sqref="E2:E28 E49:E50">
    <cfRule type="containsBlanks" priority="13" stopIfTrue="1">
      <formula>LEN(TRIM(E2))=0</formula>
    </cfRule>
    <cfRule type="cellIs" dxfId="139" priority="36" operator="equal">
      <formula>0</formula>
    </cfRule>
  </conditionalFormatting>
  <conditionalFormatting sqref="Z1:Z100 AA101:AA1048576">
    <cfRule type="cellIs" dxfId="138" priority="12" operator="equal">
      <formula>1</formula>
    </cfRule>
  </conditionalFormatting>
  <conditionalFormatting sqref="E29:E48">
    <cfRule type="containsBlanks" priority="7" stopIfTrue="1">
      <formula>LEN(TRIM(E29))=0</formula>
    </cfRule>
    <cfRule type="cellIs" dxfId="137" priority="8" operator="lessThanOrEqual">
      <formula>0</formula>
    </cfRule>
  </conditionalFormatting>
  <conditionalFormatting sqref="E51:E54">
    <cfRule type="containsBlanks" priority="5" stopIfTrue="1">
      <formula>LEN(TRIM(E51))=0</formula>
    </cfRule>
    <cfRule type="cellIs" dxfId="136" priority="6" operator="lessThanOrEqual">
      <formula>0</formula>
    </cfRule>
  </conditionalFormatting>
  <conditionalFormatting sqref="E55:E79">
    <cfRule type="containsBlanks" priority="3" stopIfTrue="1">
      <formula>LEN(TRIM(E55))=0</formula>
    </cfRule>
    <cfRule type="cellIs" dxfId="135" priority="4" operator="lessThanOrEqual">
      <formula>0</formula>
    </cfRule>
  </conditionalFormatting>
  <conditionalFormatting sqref="E80:E100">
    <cfRule type="containsBlanks" priority="1" stopIfTrue="1">
      <formula>LEN(TRIM(E80))=0</formula>
    </cfRule>
    <cfRule type="cellIs" dxfId="134" priority="2" operator="lessThanOrEqual">
      <formula>0</formula>
    </cfRule>
  </conditionalFormatting>
  <conditionalFormatting sqref="A2:A100">
    <cfRule type="duplicateValues" dxfId="133" priority="5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1B8D-761F-47A7-8FA1-B5480084348F}">
  <sheetPr codeName="Sheet1"/>
  <dimension ref="A2:K14"/>
  <sheetViews>
    <sheetView workbookViewId="0">
      <selection activeCell="K9" sqref="K9"/>
    </sheetView>
  </sheetViews>
  <sheetFormatPr defaultRowHeight="15" x14ac:dyDescent="0.25"/>
  <cols>
    <col min="1" max="1" width="11.140625" customWidth="1"/>
    <col min="7" max="7" width="14.5703125" bestFit="1" customWidth="1"/>
    <col min="8" max="8" width="32.85546875" bestFit="1" customWidth="1"/>
    <col min="10" max="10" width="12.28515625" bestFit="1" customWidth="1"/>
    <col min="11" max="11" width="18.140625" bestFit="1" customWidth="1"/>
  </cols>
  <sheetData>
    <row r="2" spans="1:11" x14ac:dyDescent="0.25">
      <c r="B2" s="52" t="s">
        <v>512</v>
      </c>
      <c r="G2" s="19" t="s">
        <v>523</v>
      </c>
      <c r="J2" s="19" t="s">
        <v>522</v>
      </c>
    </row>
    <row r="3" spans="1:11" x14ac:dyDescent="0.25">
      <c r="B3" s="52"/>
      <c r="G3" s="20" t="s">
        <v>357</v>
      </c>
      <c r="H3" s="20" t="s">
        <v>2</v>
      </c>
      <c r="J3" s="20" t="s">
        <v>357</v>
      </c>
      <c r="K3" s="20" t="s">
        <v>2</v>
      </c>
    </row>
    <row r="4" spans="1:11" x14ac:dyDescent="0.25">
      <c r="G4" t="s">
        <v>372</v>
      </c>
      <c r="H4" t="s">
        <v>374</v>
      </c>
      <c r="J4" t="s">
        <v>378</v>
      </c>
      <c r="K4" t="s">
        <v>383</v>
      </c>
    </row>
    <row r="5" spans="1:11" x14ac:dyDescent="0.25">
      <c r="B5" s="52" t="s">
        <v>513</v>
      </c>
      <c r="G5" t="s">
        <v>371</v>
      </c>
      <c r="H5" t="s">
        <v>375</v>
      </c>
      <c r="J5" t="s">
        <v>379</v>
      </c>
      <c r="K5" t="s">
        <v>384</v>
      </c>
    </row>
    <row r="6" spans="1:11" x14ac:dyDescent="0.25">
      <c r="B6" s="52"/>
      <c r="G6" t="s">
        <v>444</v>
      </c>
      <c r="H6" t="s">
        <v>373</v>
      </c>
      <c r="J6" t="s">
        <v>380</v>
      </c>
      <c r="K6" t="s">
        <v>386</v>
      </c>
    </row>
    <row r="7" spans="1:11" x14ac:dyDescent="0.25">
      <c r="G7" t="s">
        <v>445</v>
      </c>
      <c r="H7" t="s">
        <v>448</v>
      </c>
      <c r="J7" t="s">
        <v>381</v>
      </c>
      <c r="K7" t="s">
        <v>455</v>
      </c>
    </row>
    <row r="8" spans="1:11" x14ac:dyDescent="0.25">
      <c r="B8" s="52" t="s">
        <v>514</v>
      </c>
      <c r="G8" t="s">
        <v>446</v>
      </c>
      <c r="H8" t="s">
        <v>376</v>
      </c>
      <c r="J8" t="s">
        <v>382</v>
      </c>
      <c r="K8" t="s">
        <v>456</v>
      </c>
    </row>
    <row r="9" spans="1:11" x14ac:dyDescent="0.25">
      <c r="B9" s="52"/>
      <c r="G9" t="s">
        <v>447</v>
      </c>
      <c r="H9" t="s">
        <v>377</v>
      </c>
      <c r="J9" t="s">
        <v>457</v>
      </c>
    </row>
    <row r="10" spans="1:11" x14ac:dyDescent="0.25">
      <c r="J10" t="s">
        <v>458</v>
      </c>
    </row>
    <row r="11" spans="1:11" x14ac:dyDescent="0.25">
      <c r="A11" s="48"/>
      <c r="B11" s="52" t="s">
        <v>515</v>
      </c>
      <c r="J11" t="s">
        <v>459</v>
      </c>
    </row>
    <row r="12" spans="1:11" x14ac:dyDescent="0.25">
      <c r="A12" s="48"/>
      <c r="B12" s="52"/>
      <c r="J12" t="s">
        <v>460</v>
      </c>
    </row>
    <row r="13" spans="1:11" x14ac:dyDescent="0.25">
      <c r="J13" t="s">
        <v>461</v>
      </c>
    </row>
    <row r="14" spans="1:11" x14ac:dyDescent="0.25">
      <c r="J14" t="s">
        <v>462</v>
      </c>
    </row>
  </sheetData>
  <mergeCells count="4">
    <mergeCell ref="B11:B12"/>
    <mergeCell ref="B2:B3"/>
    <mergeCell ref="B5:B6"/>
    <mergeCell ref="B8:B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btn_AddArticle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btn_EditArticles">
                <anchor moveWithCells="1" siz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btn_EditProduct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btn_CreateOrder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52E8-98FA-4088-BCD0-DC7B7A67B9E6}">
  <sheetPr codeName="Sheet4">
    <tabColor rgb="FFFFC000"/>
  </sheetPr>
  <dimension ref="A1:F64"/>
  <sheetViews>
    <sheetView workbookViewId="0">
      <pane ySplit="1" topLeftCell="A38" activePane="bottomLeft" state="frozen"/>
      <selection pane="bottomLeft" activeCell="E70" sqref="E70"/>
    </sheetView>
  </sheetViews>
  <sheetFormatPr defaultRowHeight="15" x14ac:dyDescent="0.25"/>
  <cols>
    <col min="1" max="1" width="18.7109375" style="3" bestFit="1" customWidth="1"/>
    <col min="2" max="2" width="22.140625" style="3" bestFit="1" customWidth="1"/>
    <col min="3" max="3" width="38.85546875" style="4" bestFit="1" customWidth="1"/>
    <col min="4" max="4" width="10.140625" style="4" customWidth="1"/>
    <col min="5" max="5" width="80.85546875" style="4" bestFit="1" customWidth="1"/>
    <col min="6" max="6" width="11.85546875" style="5" customWidth="1"/>
  </cols>
  <sheetData>
    <row r="1" spans="1:6" ht="15.75" thickBot="1" x14ac:dyDescent="0.3">
      <c r="A1" s="1" t="s">
        <v>1</v>
      </c>
      <c r="B1" s="2" t="s">
        <v>0</v>
      </c>
      <c r="C1" s="2" t="s">
        <v>6</v>
      </c>
      <c r="D1" s="2" t="s">
        <v>4</v>
      </c>
      <c r="E1" s="2" t="s">
        <v>2</v>
      </c>
      <c r="F1" s="2" t="s">
        <v>8</v>
      </c>
    </row>
    <row r="2" spans="1:6" x14ac:dyDescent="0.25">
      <c r="A2" s="3">
        <v>90990</v>
      </c>
      <c r="B2" s="3">
        <v>90990</v>
      </c>
      <c r="C2" s="4" t="s">
        <v>65</v>
      </c>
      <c r="D2" s="4" t="s">
        <v>88</v>
      </c>
      <c r="E2" s="4" t="s">
        <v>84</v>
      </c>
      <c r="F2" s="5">
        <v>13.1</v>
      </c>
    </row>
    <row r="3" spans="1:6" x14ac:dyDescent="0.25">
      <c r="A3" s="3">
        <v>912951</v>
      </c>
      <c r="B3" s="3">
        <v>912951</v>
      </c>
      <c r="C3" s="4" t="s">
        <v>65</v>
      </c>
      <c r="D3" s="4" t="s">
        <v>88</v>
      </c>
      <c r="E3" s="4" t="s">
        <v>85</v>
      </c>
      <c r="F3" s="5">
        <v>3.43</v>
      </c>
    </row>
    <row r="4" spans="1:6" x14ac:dyDescent="0.25">
      <c r="A4" s="3">
        <v>965083</v>
      </c>
      <c r="B4" s="3">
        <v>965083</v>
      </c>
      <c r="C4" s="4" t="s">
        <v>65</v>
      </c>
      <c r="D4" s="4" t="s">
        <v>88</v>
      </c>
      <c r="E4" s="4" t="s">
        <v>87</v>
      </c>
      <c r="F4" s="5">
        <v>3.18</v>
      </c>
    </row>
    <row r="5" spans="1:6" x14ac:dyDescent="0.25">
      <c r="A5" s="3">
        <v>1004068</v>
      </c>
      <c r="B5" s="3">
        <v>1004068</v>
      </c>
      <c r="C5" s="4" t="s">
        <v>65</v>
      </c>
      <c r="D5" s="4" t="s">
        <v>88</v>
      </c>
      <c r="E5" s="4" t="s">
        <v>83</v>
      </c>
      <c r="F5" s="5">
        <v>3.49</v>
      </c>
    </row>
    <row r="6" spans="1:6" x14ac:dyDescent="0.25">
      <c r="A6" s="3">
        <v>1181876</v>
      </c>
      <c r="B6" s="3">
        <v>1181876</v>
      </c>
      <c r="C6" s="4" t="s">
        <v>65</v>
      </c>
      <c r="D6" s="4" t="s">
        <v>88</v>
      </c>
      <c r="E6" s="4" t="s">
        <v>86</v>
      </c>
      <c r="F6" s="5">
        <v>3.79</v>
      </c>
    </row>
    <row r="7" spans="1:6" x14ac:dyDescent="0.25">
      <c r="A7" s="3" t="s">
        <v>111</v>
      </c>
      <c r="B7" s="3">
        <v>61304011021</v>
      </c>
      <c r="C7" s="4" t="s">
        <v>112</v>
      </c>
      <c r="D7" s="4" t="s">
        <v>5</v>
      </c>
      <c r="E7" s="4" t="s">
        <v>110</v>
      </c>
      <c r="F7" s="5">
        <v>1.58</v>
      </c>
    </row>
    <row r="8" spans="1:6" x14ac:dyDescent="0.25">
      <c r="A8" s="3">
        <v>1162740</v>
      </c>
      <c r="B8" s="3" t="s">
        <v>117</v>
      </c>
      <c r="C8" s="4" t="s">
        <v>93</v>
      </c>
      <c r="D8" s="4" t="s">
        <v>5</v>
      </c>
      <c r="E8" s="4" t="s">
        <v>29</v>
      </c>
      <c r="F8" s="5">
        <v>0.505</v>
      </c>
    </row>
    <row r="9" spans="1:6" x14ac:dyDescent="0.25">
      <c r="A9" s="3">
        <v>1829519</v>
      </c>
      <c r="B9" s="3" t="s">
        <v>31</v>
      </c>
      <c r="C9" s="4" t="s">
        <v>93</v>
      </c>
      <c r="D9" s="4" t="s">
        <v>5</v>
      </c>
      <c r="E9" s="4" t="s">
        <v>30</v>
      </c>
      <c r="F9" s="5">
        <v>0.78900000000000003</v>
      </c>
    </row>
    <row r="10" spans="1:6" x14ac:dyDescent="0.25">
      <c r="A10" s="3" t="s">
        <v>178</v>
      </c>
      <c r="B10" s="3" t="s">
        <v>179</v>
      </c>
      <c r="C10" s="4" t="s">
        <v>177</v>
      </c>
      <c r="D10" s="4" t="s">
        <v>82</v>
      </c>
      <c r="E10" s="4" t="s">
        <v>180</v>
      </c>
      <c r="F10" s="5">
        <v>1.82</v>
      </c>
    </row>
    <row r="11" spans="1:6" x14ac:dyDescent="0.25">
      <c r="A11" s="4" t="s">
        <v>155</v>
      </c>
      <c r="B11" s="4" t="s">
        <v>156</v>
      </c>
      <c r="C11" s="4" t="s">
        <v>162</v>
      </c>
      <c r="D11" s="4" t="s">
        <v>82</v>
      </c>
      <c r="E11" s="4" t="s">
        <v>157</v>
      </c>
      <c r="F11" s="5">
        <v>0.66500000000000004</v>
      </c>
    </row>
    <row r="12" spans="1:6" x14ac:dyDescent="0.25">
      <c r="A12" s="3" t="s">
        <v>124</v>
      </c>
      <c r="B12" s="3" t="s">
        <v>123</v>
      </c>
      <c r="C12" s="4" t="s">
        <v>91</v>
      </c>
      <c r="D12" s="4" t="s">
        <v>5</v>
      </c>
      <c r="E12" s="4" t="s">
        <v>122</v>
      </c>
      <c r="F12" s="5">
        <v>0.191</v>
      </c>
    </row>
    <row r="13" spans="1:6" x14ac:dyDescent="0.25">
      <c r="A13" s="4" t="s">
        <v>67</v>
      </c>
      <c r="B13" s="4" t="s">
        <v>139</v>
      </c>
      <c r="C13" s="4" t="s">
        <v>69</v>
      </c>
      <c r="D13" s="4" t="s">
        <v>82</v>
      </c>
      <c r="E13" s="4" t="s">
        <v>68</v>
      </c>
      <c r="F13" s="5">
        <v>4.88</v>
      </c>
    </row>
    <row r="14" spans="1:6" x14ac:dyDescent="0.25">
      <c r="A14" s="4" t="s">
        <v>140</v>
      </c>
      <c r="B14" s="4" t="s">
        <v>141</v>
      </c>
      <c r="C14" s="4" t="s">
        <v>160</v>
      </c>
      <c r="D14" s="4" t="s">
        <v>82</v>
      </c>
      <c r="E14" s="4" t="s">
        <v>142</v>
      </c>
      <c r="F14" s="5">
        <v>0.45</v>
      </c>
    </row>
    <row r="15" spans="1:6" x14ac:dyDescent="0.25">
      <c r="A15" s="3" t="s">
        <v>164</v>
      </c>
      <c r="B15" s="3" t="s">
        <v>118</v>
      </c>
      <c r="C15" s="4" t="s">
        <v>91</v>
      </c>
      <c r="D15" s="4" t="s">
        <v>5</v>
      </c>
      <c r="E15" s="4" t="s">
        <v>28</v>
      </c>
      <c r="F15" s="5">
        <v>0.112</v>
      </c>
    </row>
    <row r="16" spans="1:6" x14ac:dyDescent="0.25">
      <c r="A16" s="3" t="s">
        <v>159</v>
      </c>
      <c r="B16" s="3" t="s">
        <v>97</v>
      </c>
      <c r="C16" s="4" t="s">
        <v>26</v>
      </c>
      <c r="D16" s="4" t="s">
        <v>5</v>
      </c>
      <c r="E16" s="4" t="s">
        <v>98</v>
      </c>
      <c r="F16" s="5">
        <v>5.8900000000000001E-2</v>
      </c>
    </row>
    <row r="17" spans="1:6" x14ac:dyDescent="0.25">
      <c r="A17" s="3" t="s">
        <v>114</v>
      </c>
      <c r="B17" s="3" t="s">
        <v>113</v>
      </c>
      <c r="C17" s="4" t="s">
        <v>33</v>
      </c>
      <c r="D17" s="4" t="s">
        <v>5</v>
      </c>
      <c r="E17" s="4" t="s">
        <v>116</v>
      </c>
      <c r="F17" s="5">
        <v>0.28699999999999998</v>
      </c>
    </row>
    <row r="18" spans="1:6" x14ac:dyDescent="0.25">
      <c r="A18" s="3" t="s">
        <v>109</v>
      </c>
      <c r="B18" s="3" t="s">
        <v>107</v>
      </c>
      <c r="C18" s="4" t="s">
        <v>108</v>
      </c>
      <c r="D18" s="4" t="s">
        <v>5</v>
      </c>
      <c r="E18" s="4" t="s">
        <v>115</v>
      </c>
      <c r="F18" s="5">
        <v>1.55</v>
      </c>
    </row>
    <row r="19" spans="1:6" x14ac:dyDescent="0.25">
      <c r="A19" s="3" t="s">
        <v>168</v>
      </c>
      <c r="B19" s="3" t="s">
        <v>38</v>
      </c>
      <c r="C19" s="4" t="s">
        <v>169</v>
      </c>
      <c r="D19" s="4" t="s">
        <v>82</v>
      </c>
      <c r="E19" s="4" t="s">
        <v>37</v>
      </c>
      <c r="F19" s="5">
        <v>2.08</v>
      </c>
    </row>
    <row r="20" spans="1:6" x14ac:dyDescent="0.25">
      <c r="A20" s="3">
        <v>9352260</v>
      </c>
      <c r="B20" s="3" t="s">
        <v>38</v>
      </c>
      <c r="C20" s="4" t="s">
        <v>92</v>
      </c>
      <c r="D20" s="4" t="s">
        <v>5</v>
      </c>
      <c r="E20" s="4" t="s">
        <v>37</v>
      </c>
      <c r="F20" s="5">
        <v>2.76</v>
      </c>
    </row>
    <row r="21" spans="1:6" x14ac:dyDescent="0.25">
      <c r="A21" s="3" t="s">
        <v>134</v>
      </c>
      <c r="B21" s="3" t="s">
        <v>133</v>
      </c>
      <c r="C21" s="4" t="s">
        <v>7</v>
      </c>
      <c r="D21" s="4" t="s">
        <v>5</v>
      </c>
      <c r="E21" s="4" t="s">
        <v>132</v>
      </c>
      <c r="F21" s="5">
        <v>0.34899999999999998</v>
      </c>
    </row>
    <row r="22" spans="1:6" x14ac:dyDescent="0.25">
      <c r="A22" s="3">
        <v>2112100</v>
      </c>
      <c r="B22" s="3" t="s">
        <v>34</v>
      </c>
      <c r="C22" s="4" t="s">
        <v>33</v>
      </c>
      <c r="D22" s="4" t="s">
        <v>5</v>
      </c>
      <c r="E22" s="4" t="s">
        <v>32</v>
      </c>
      <c r="F22" s="5">
        <v>0.28999999999999998</v>
      </c>
    </row>
    <row r="23" spans="1:6" x14ac:dyDescent="0.25">
      <c r="A23" s="3" t="s">
        <v>89</v>
      </c>
      <c r="B23" s="3" t="s">
        <v>90</v>
      </c>
      <c r="C23" s="4" t="s">
        <v>91</v>
      </c>
      <c r="D23" s="4" t="s">
        <v>5</v>
      </c>
      <c r="E23" s="4" t="s">
        <v>96</v>
      </c>
      <c r="F23" s="5">
        <v>0.32600000000000001</v>
      </c>
    </row>
    <row r="24" spans="1:6" x14ac:dyDescent="0.25">
      <c r="A24" s="3">
        <v>2064805</v>
      </c>
      <c r="B24" s="3" t="s">
        <v>40</v>
      </c>
      <c r="C24" s="4" t="s">
        <v>7</v>
      </c>
      <c r="D24" s="4" t="s">
        <v>5</v>
      </c>
      <c r="E24" s="4" t="s">
        <v>39</v>
      </c>
      <c r="F24" s="5">
        <v>2.95</v>
      </c>
    </row>
    <row r="25" spans="1:6" x14ac:dyDescent="0.25">
      <c r="A25" s="4" t="s">
        <v>74</v>
      </c>
      <c r="B25" s="4" t="s">
        <v>77</v>
      </c>
      <c r="C25" s="4" t="s">
        <v>76</v>
      </c>
      <c r="D25" s="4" t="s">
        <v>82</v>
      </c>
      <c r="E25" s="4" t="s">
        <v>75</v>
      </c>
      <c r="F25" s="5">
        <v>2.98</v>
      </c>
    </row>
    <row r="26" spans="1:6" x14ac:dyDescent="0.25">
      <c r="A26" s="3" t="s">
        <v>187</v>
      </c>
      <c r="B26" s="3" t="s">
        <v>188</v>
      </c>
      <c r="C26" s="4" t="s">
        <v>177</v>
      </c>
      <c r="D26" s="4" t="s">
        <v>82</v>
      </c>
      <c r="E26" s="4" t="s">
        <v>189</v>
      </c>
      <c r="F26" s="5">
        <v>1.95E-2</v>
      </c>
    </row>
    <row r="27" spans="1:6" x14ac:dyDescent="0.25">
      <c r="A27" s="3">
        <v>2380458</v>
      </c>
      <c r="B27" s="3" t="s">
        <v>59</v>
      </c>
      <c r="C27" s="4" t="s">
        <v>58</v>
      </c>
      <c r="D27" s="4" t="s">
        <v>5</v>
      </c>
      <c r="E27" s="4" t="s">
        <v>57</v>
      </c>
      <c r="F27" s="5">
        <v>3.7499999999999999E-2</v>
      </c>
    </row>
    <row r="28" spans="1:6" x14ac:dyDescent="0.25">
      <c r="A28" s="3">
        <v>9845356</v>
      </c>
      <c r="B28" s="3" t="s">
        <v>46</v>
      </c>
      <c r="C28" s="4" t="s">
        <v>45</v>
      </c>
      <c r="D28" s="4" t="s">
        <v>5</v>
      </c>
      <c r="E28" s="4" t="s">
        <v>44</v>
      </c>
      <c r="F28" s="5">
        <v>0.42199999999999999</v>
      </c>
    </row>
    <row r="29" spans="1:6" x14ac:dyDescent="0.25">
      <c r="A29" s="3" t="s">
        <v>190</v>
      </c>
      <c r="B29" s="3" t="s">
        <v>191</v>
      </c>
      <c r="C29" s="4" t="s">
        <v>177</v>
      </c>
      <c r="D29" s="4" t="s">
        <v>82</v>
      </c>
      <c r="E29" s="4" t="s">
        <v>192</v>
      </c>
      <c r="F29" s="5">
        <v>1.82</v>
      </c>
    </row>
    <row r="30" spans="1:6" x14ac:dyDescent="0.25">
      <c r="A30" s="3">
        <v>2461217</v>
      </c>
      <c r="B30" s="3" t="s">
        <v>16</v>
      </c>
      <c r="C30" s="4" t="s">
        <v>33</v>
      </c>
      <c r="D30" s="4" t="s">
        <v>5</v>
      </c>
      <c r="E30" s="4" t="s">
        <v>15</v>
      </c>
      <c r="F30" s="5">
        <v>0.20200000000000001</v>
      </c>
    </row>
    <row r="31" spans="1:6" x14ac:dyDescent="0.25">
      <c r="A31" s="3">
        <v>9451242</v>
      </c>
      <c r="B31" s="3" t="s">
        <v>14</v>
      </c>
      <c r="C31" s="4" t="s">
        <v>33</v>
      </c>
      <c r="D31" s="4" t="s">
        <v>5</v>
      </c>
      <c r="E31" s="4" t="s">
        <v>13</v>
      </c>
      <c r="F31" s="5">
        <v>5.1700000000000003E-2</v>
      </c>
    </row>
    <row r="32" spans="1:6" x14ac:dyDescent="0.25">
      <c r="A32" s="3" t="s">
        <v>163</v>
      </c>
      <c r="B32" s="3" t="s">
        <v>12</v>
      </c>
      <c r="C32" s="4" t="s">
        <v>33</v>
      </c>
      <c r="D32" s="4" t="s">
        <v>5</v>
      </c>
      <c r="E32" s="4" t="s">
        <v>11</v>
      </c>
      <c r="F32" s="5">
        <v>5.0900000000000001E-2</v>
      </c>
    </row>
    <row r="33" spans="1:6" x14ac:dyDescent="0.25">
      <c r="A33" s="3">
        <v>1576507</v>
      </c>
      <c r="B33" s="3" t="s">
        <v>61</v>
      </c>
      <c r="C33" s="4" t="s">
        <v>33</v>
      </c>
      <c r="D33" s="4" t="s">
        <v>5</v>
      </c>
      <c r="E33" s="4" t="s">
        <v>60</v>
      </c>
      <c r="F33" s="5">
        <v>4.4499999999999998E-2</v>
      </c>
    </row>
    <row r="34" spans="1:6" x14ac:dyDescent="0.25">
      <c r="A34" s="3">
        <v>2073701</v>
      </c>
      <c r="B34" s="3" t="s">
        <v>56</v>
      </c>
      <c r="C34" s="4" t="s">
        <v>33</v>
      </c>
      <c r="D34" s="4" t="s">
        <v>5</v>
      </c>
      <c r="E34" s="4" t="s">
        <v>55</v>
      </c>
      <c r="F34" s="5">
        <v>1.55E-2</v>
      </c>
    </row>
    <row r="35" spans="1:6" x14ac:dyDescent="0.25">
      <c r="A35" s="3">
        <v>2073779</v>
      </c>
      <c r="B35" s="3" t="s">
        <v>54</v>
      </c>
      <c r="C35" s="4" t="s">
        <v>33</v>
      </c>
      <c r="D35" s="4" t="s">
        <v>5</v>
      </c>
      <c r="E35" s="4" t="s">
        <v>53</v>
      </c>
      <c r="F35" s="5">
        <v>2.3E-2</v>
      </c>
    </row>
    <row r="36" spans="1:6" x14ac:dyDescent="0.25">
      <c r="A36" s="3">
        <v>1851909</v>
      </c>
      <c r="B36" s="3" t="s">
        <v>24</v>
      </c>
      <c r="C36" s="4" t="s">
        <v>94</v>
      </c>
      <c r="D36" s="4" t="s">
        <v>5</v>
      </c>
      <c r="E36" s="4" t="s">
        <v>23</v>
      </c>
      <c r="F36" s="5">
        <v>0.51600000000000001</v>
      </c>
    </row>
    <row r="37" spans="1:6" x14ac:dyDescent="0.25">
      <c r="A37" s="3">
        <v>8540829</v>
      </c>
      <c r="B37" s="3" t="s">
        <v>18</v>
      </c>
      <c r="C37" s="4" t="s">
        <v>94</v>
      </c>
      <c r="D37" s="4" t="s">
        <v>5</v>
      </c>
      <c r="E37" s="4" t="s">
        <v>17</v>
      </c>
      <c r="F37" s="5">
        <v>0.246</v>
      </c>
    </row>
    <row r="38" spans="1:6" x14ac:dyDescent="0.25">
      <c r="A38" s="3" t="s">
        <v>103</v>
      </c>
      <c r="B38" s="6" t="s">
        <v>101</v>
      </c>
      <c r="C38" s="4" t="s">
        <v>94</v>
      </c>
      <c r="D38" s="4" t="s">
        <v>5</v>
      </c>
      <c r="E38" s="4" t="s">
        <v>102</v>
      </c>
      <c r="F38" s="5">
        <v>0.34</v>
      </c>
    </row>
    <row r="39" spans="1:6" x14ac:dyDescent="0.25">
      <c r="A39" s="3" t="s">
        <v>106</v>
      </c>
      <c r="B39" s="3" t="s">
        <v>105</v>
      </c>
      <c r="C39" s="4" t="s">
        <v>94</v>
      </c>
      <c r="D39" s="4" t="s">
        <v>5</v>
      </c>
      <c r="E39" s="4" t="s">
        <v>104</v>
      </c>
      <c r="F39" s="5">
        <v>0.44600000000000001</v>
      </c>
    </row>
    <row r="40" spans="1:6" x14ac:dyDescent="0.25">
      <c r="A40" s="3" t="s">
        <v>99</v>
      </c>
      <c r="B40" s="6" t="s">
        <v>100</v>
      </c>
      <c r="C40" s="4" t="s">
        <v>94</v>
      </c>
      <c r="D40" s="4" t="s">
        <v>5</v>
      </c>
      <c r="E40" s="4" t="s">
        <v>104</v>
      </c>
      <c r="F40" s="5">
        <v>0.44600000000000001</v>
      </c>
    </row>
    <row r="41" spans="1:6" x14ac:dyDescent="0.25">
      <c r="A41" s="3">
        <v>1332159</v>
      </c>
      <c r="B41" s="3" t="s">
        <v>22</v>
      </c>
      <c r="C41" s="4" t="s">
        <v>94</v>
      </c>
      <c r="D41" s="4" t="s">
        <v>5</v>
      </c>
      <c r="E41" s="4" t="s">
        <v>21</v>
      </c>
      <c r="F41" s="5">
        <v>0.57499999999999996</v>
      </c>
    </row>
    <row r="42" spans="1:6" x14ac:dyDescent="0.25">
      <c r="A42" s="3">
        <v>2694097</v>
      </c>
      <c r="B42" s="3" t="s">
        <v>63</v>
      </c>
      <c r="C42" s="4" t="s">
        <v>33</v>
      </c>
      <c r="D42" s="4" t="s">
        <v>5</v>
      </c>
      <c r="E42" s="4" t="s">
        <v>62</v>
      </c>
      <c r="F42" s="5">
        <v>2.3900000000000001E-2</v>
      </c>
    </row>
    <row r="43" spans="1:6" x14ac:dyDescent="0.25">
      <c r="A43" s="3">
        <v>2447573</v>
      </c>
      <c r="B43" s="3" t="s">
        <v>52</v>
      </c>
      <c r="C43" s="4" t="s">
        <v>51</v>
      </c>
      <c r="D43" s="4" t="s">
        <v>5</v>
      </c>
      <c r="E43" s="4" t="s">
        <v>50</v>
      </c>
      <c r="F43" s="5">
        <v>1.0999999999999999E-2</v>
      </c>
    </row>
    <row r="44" spans="1:6" x14ac:dyDescent="0.25">
      <c r="A44" s="3">
        <v>2677151</v>
      </c>
      <c r="B44" s="3" t="s">
        <v>27</v>
      </c>
      <c r="C44" s="4" t="s">
        <v>45</v>
      </c>
      <c r="D44" s="4" t="s">
        <v>5</v>
      </c>
      <c r="E44" s="4" t="s">
        <v>25</v>
      </c>
      <c r="F44" s="5">
        <v>0.26500000000000001</v>
      </c>
    </row>
    <row r="45" spans="1:6" x14ac:dyDescent="0.25">
      <c r="A45" s="4" t="s">
        <v>70</v>
      </c>
      <c r="B45" s="4" t="s">
        <v>73</v>
      </c>
      <c r="C45" s="4" t="s">
        <v>72</v>
      </c>
      <c r="D45" s="4" t="s">
        <v>82</v>
      </c>
      <c r="E45" s="4" t="s">
        <v>71</v>
      </c>
      <c r="F45" s="5">
        <v>1.07</v>
      </c>
    </row>
    <row r="46" spans="1:6" x14ac:dyDescent="0.25">
      <c r="A46" s="4" t="s">
        <v>152</v>
      </c>
      <c r="B46" s="4" t="s">
        <v>153</v>
      </c>
      <c r="C46" s="4" t="s">
        <v>80</v>
      </c>
      <c r="D46" s="4" t="s">
        <v>82</v>
      </c>
      <c r="E46" s="4" t="s">
        <v>154</v>
      </c>
      <c r="F46" s="5">
        <v>1.53</v>
      </c>
    </row>
    <row r="47" spans="1:6" x14ac:dyDescent="0.25">
      <c r="A47" s="4" t="s">
        <v>78</v>
      </c>
      <c r="B47" s="4" t="s">
        <v>81</v>
      </c>
      <c r="C47" s="4" t="s">
        <v>80</v>
      </c>
      <c r="D47" s="4" t="s">
        <v>82</v>
      </c>
      <c r="E47" s="4" t="s">
        <v>79</v>
      </c>
      <c r="F47" s="5">
        <v>1.57</v>
      </c>
    </row>
    <row r="48" spans="1:6" x14ac:dyDescent="0.25">
      <c r="A48" s="4" t="s">
        <v>146</v>
      </c>
      <c r="B48" s="4" t="s">
        <v>147</v>
      </c>
      <c r="C48" s="4" t="s">
        <v>80</v>
      </c>
      <c r="D48" s="4" t="s">
        <v>82</v>
      </c>
      <c r="E48" s="4" t="s">
        <v>148</v>
      </c>
      <c r="F48" s="5">
        <v>1.47</v>
      </c>
    </row>
    <row r="49" spans="1:6" x14ac:dyDescent="0.25">
      <c r="A49" s="4" t="s">
        <v>149</v>
      </c>
      <c r="B49" s="4" t="s">
        <v>150</v>
      </c>
      <c r="C49" s="4" t="s">
        <v>80</v>
      </c>
      <c r="D49" s="4" t="s">
        <v>82</v>
      </c>
      <c r="E49" s="4" t="s">
        <v>151</v>
      </c>
      <c r="F49" s="5">
        <v>1.43</v>
      </c>
    </row>
    <row r="50" spans="1:6" x14ac:dyDescent="0.25">
      <c r="A50" s="4" t="s">
        <v>64</v>
      </c>
      <c r="B50" s="4" t="s">
        <v>158</v>
      </c>
      <c r="C50" s="4" t="s">
        <v>95</v>
      </c>
      <c r="D50" s="4" t="s">
        <v>82</v>
      </c>
      <c r="E50" s="4" t="s">
        <v>66</v>
      </c>
      <c r="F50" s="5">
        <v>15.9</v>
      </c>
    </row>
    <row r="51" spans="1:6" x14ac:dyDescent="0.25">
      <c r="A51" s="3">
        <v>1779259</v>
      </c>
      <c r="B51" s="3" t="s">
        <v>43</v>
      </c>
      <c r="C51" s="4" t="s">
        <v>7</v>
      </c>
      <c r="D51" s="4" t="s">
        <v>5</v>
      </c>
      <c r="E51" s="4" t="s">
        <v>41</v>
      </c>
      <c r="F51" s="5">
        <v>0.27100000000000002</v>
      </c>
    </row>
    <row r="52" spans="1:6" x14ac:dyDescent="0.25">
      <c r="A52" s="3" t="s">
        <v>196</v>
      </c>
      <c r="B52" s="3" t="s">
        <v>197</v>
      </c>
      <c r="C52" s="4" t="s">
        <v>177</v>
      </c>
      <c r="D52" s="4" t="s">
        <v>82</v>
      </c>
      <c r="E52" s="4" t="s">
        <v>198</v>
      </c>
      <c r="F52" s="5">
        <v>15.95</v>
      </c>
    </row>
    <row r="53" spans="1:6" x14ac:dyDescent="0.25">
      <c r="A53" s="3" t="s">
        <v>137</v>
      </c>
      <c r="B53" s="3" t="s">
        <v>136</v>
      </c>
      <c r="C53" s="4" t="s">
        <v>127</v>
      </c>
      <c r="D53" s="4" t="s">
        <v>5</v>
      </c>
      <c r="E53" s="4" t="s">
        <v>135</v>
      </c>
      <c r="F53" s="5">
        <v>0.27100000000000002</v>
      </c>
    </row>
    <row r="54" spans="1:6" x14ac:dyDescent="0.25">
      <c r="A54" s="3">
        <v>1287598</v>
      </c>
      <c r="B54" s="3" t="s">
        <v>9</v>
      </c>
      <c r="C54" s="4" t="s">
        <v>7</v>
      </c>
      <c r="D54" s="4" t="s">
        <v>5</v>
      </c>
      <c r="E54" s="4" t="s">
        <v>10</v>
      </c>
      <c r="F54" s="5">
        <v>0.33100000000000002</v>
      </c>
    </row>
    <row r="55" spans="1:6" x14ac:dyDescent="0.25">
      <c r="A55" s="3" t="s">
        <v>121</v>
      </c>
      <c r="B55" s="3" t="s">
        <v>120</v>
      </c>
      <c r="C55" s="4" t="s">
        <v>33</v>
      </c>
      <c r="D55" s="4" t="s">
        <v>5</v>
      </c>
      <c r="E55" s="4" t="s">
        <v>119</v>
      </c>
      <c r="F55" s="5">
        <v>0.26500000000000001</v>
      </c>
    </row>
    <row r="56" spans="1:6" x14ac:dyDescent="0.25">
      <c r="A56" s="3" t="s">
        <v>193</v>
      </c>
      <c r="B56" s="3" t="s">
        <v>194</v>
      </c>
      <c r="C56" s="4" t="s">
        <v>177</v>
      </c>
      <c r="D56" s="4" t="s">
        <v>82</v>
      </c>
      <c r="E56" s="4" t="s">
        <v>195</v>
      </c>
      <c r="F56" s="5">
        <v>2.64</v>
      </c>
    </row>
    <row r="57" spans="1:6" x14ac:dyDescent="0.25">
      <c r="A57" s="3">
        <v>1141380</v>
      </c>
      <c r="B57" s="3" t="s">
        <v>49</v>
      </c>
      <c r="C57" s="4" t="s">
        <v>48</v>
      </c>
      <c r="D57" s="4" t="s">
        <v>5</v>
      </c>
      <c r="E57" s="4" t="s">
        <v>47</v>
      </c>
      <c r="F57" s="5">
        <v>1.62</v>
      </c>
    </row>
    <row r="58" spans="1:6" x14ac:dyDescent="0.25">
      <c r="A58" s="3" t="s">
        <v>130</v>
      </c>
      <c r="B58" s="3" t="s">
        <v>129</v>
      </c>
      <c r="C58" s="4" t="s">
        <v>127</v>
      </c>
      <c r="D58" s="4" t="s">
        <v>5</v>
      </c>
      <c r="E58" s="4" t="s">
        <v>131</v>
      </c>
      <c r="F58" s="5">
        <v>0.54600000000000004</v>
      </c>
    </row>
    <row r="59" spans="1:6" x14ac:dyDescent="0.25">
      <c r="A59" s="3" t="s">
        <v>128</v>
      </c>
      <c r="B59" s="3" t="s">
        <v>126</v>
      </c>
      <c r="C59" s="4" t="s">
        <v>127</v>
      </c>
      <c r="D59" s="4" t="s">
        <v>5</v>
      </c>
      <c r="E59" s="4" t="s">
        <v>125</v>
      </c>
      <c r="F59" s="5">
        <v>0.68600000000000005</v>
      </c>
    </row>
    <row r="60" spans="1:6" x14ac:dyDescent="0.25">
      <c r="A60" s="4" t="s">
        <v>143</v>
      </c>
      <c r="B60" s="4" t="s">
        <v>144</v>
      </c>
      <c r="C60" s="4" t="s">
        <v>161</v>
      </c>
      <c r="D60" s="4" t="s">
        <v>82</v>
      </c>
      <c r="E60" s="4" t="s">
        <v>145</v>
      </c>
      <c r="F60" s="5">
        <v>2.52</v>
      </c>
    </row>
    <row r="61" spans="1:6" x14ac:dyDescent="0.25">
      <c r="A61" s="3">
        <v>2896645</v>
      </c>
      <c r="B61" s="3" t="s">
        <v>36</v>
      </c>
      <c r="C61" s="4" t="s">
        <v>42</v>
      </c>
      <c r="D61" s="4" t="s">
        <v>5</v>
      </c>
      <c r="E61" s="4" t="s">
        <v>35</v>
      </c>
      <c r="F61" s="5">
        <v>0.106</v>
      </c>
    </row>
    <row r="62" spans="1:6" x14ac:dyDescent="0.25">
      <c r="A62" s="3">
        <v>2682731</v>
      </c>
      <c r="B62" s="3" t="s">
        <v>20</v>
      </c>
      <c r="C62" s="4" t="s">
        <v>42</v>
      </c>
      <c r="D62" s="4" t="s">
        <v>5</v>
      </c>
      <c r="E62" s="4" t="s">
        <v>19</v>
      </c>
      <c r="F62" s="5">
        <v>3.64</v>
      </c>
    </row>
    <row r="63" spans="1:6" x14ac:dyDescent="0.25">
      <c r="A63" s="3" t="s">
        <v>181</v>
      </c>
      <c r="B63" s="3" t="s">
        <v>182</v>
      </c>
      <c r="C63" s="4" t="s">
        <v>177</v>
      </c>
      <c r="D63" s="4" t="s">
        <v>82</v>
      </c>
      <c r="E63" s="4" t="s">
        <v>183</v>
      </c>
      <c r="F63" s="5">
        <v>0.8</v>
      </c>
    </row>
    <row r="64" spans="1:6" x14ac:dyDescent="0.25">
      <c r="A64" s="3" t="s">
        <v>184</v>
      </c>
      <c r="B64" s="3" t="s">
        <v>185</v>
      </c>
      <c r="C64" s="4" t="s">
        <v>177</v>
      </c>
      <c r="D64" s="4" t="s">
        <v>82</v>
      </c>
      <c r="E64" s="4" t="s">
        <v>186</v>
      </c>
      <c r="F64" s="5">
        <v>1.06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E7D-9139-456E-9221-4F89CF92C083}">
  <sheetPr codeName="Sheet9">
    <tabColor rgb="FF92D050"/>
  </sheetPr>
  <dimension ref="A1:O4"/>
  <sheetViews>
    <sheetView topLeftCell="H1" zoomScaleNormal="100" workbookViewId="0">
      <selection activeCell="H8" sqref="H8"/>
    </sheetView>
  </sheetViews>
  <sheetFormatPr defaultRowHeight="15" x14ac:dyDescent="0.25"/>
  <cols>
    <col min="1" max="1" width="26.85546875" bestFit="1" customWidth="1"/>
    <col min="2" max="2" width="19" customWidth="1"/>
    <col min="3" max="3" width="20.28515625" customWidth="1"/>
    <col min="4" max="4" width="10.28515625" bestFit="1" customWidth="1"/>
    <col min="5" max="5" width="9" bestFit="1" customWidth="1"/>
    <col min="6" max="6" width="34.5703125" customWidth="1"/>
    <col min="7" max="7" width="10" bestFit="1" customWidth="1"/>
    <col min="8" max="9" width="12" bestFit="1" customWidth="1"/>
    <col min="10" max="10" width="11" style="26" bestFit="1" customWidth="1"/>
    <col min="11" max="11" width="12.5703125" style="26" bestFit="1" customWidth="1"/>
    <col min="12" max="12" width="12.5703125" style="19" customWidth="1"/>
    <col min="13" max="13" width="32.5703125" style="19" bestFit="1" customWidth="1"/>
    <col min="14" max="14" width="21.140625" style="24" customWidth="1"/>
    <col min="15" max="15" width="28.7109375" style="24" bestFit="1" customWidth="1"/>
  </cols>
  <sheetData>
    <row r="1" spans="1:15" ht="15.75" thickBot="1" x14ac:dyDescent="0.3">
      <c r="A1" s="2" t="s">
        <v>1</v>
      </c>
      <c r="B1" s="2" t="s">
        <v>511</v>
      </c>
      <c r="C1" s="2" t="s">
        <v>6</v>
      </c>
      <c r="D1" s="2" t="s">
        <v>4</v>
      </c>
      <c r="E1" s="2" t="s">
        <v>351</v>
      </c>
      <c r="F1" s="21" t="s">
        <v>2</v>
      </c>
      <c r="G1" s="2" t="s">
        <v>3</v>
      </c>
      <c r="H1" s="27" t="s">
        <v>508</v>
      </c>
      <c r="I1" s="18" t="s">
        <v>8</v>
      </c>
      <c r="J1" s="32" t="s">
        <v>138</v>
      </c>
      <c r="K1" s="29" t="s">
        <v>509</v>
      </c>
      <c r="L1" s="29" t="s">
        <v>451</v>
      </c>
      <c r="M1" s="29" t="s">
        <v>453</v>
      </c>
      <c r="N1" s="23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25">
        <f>ROUNDUP(Table8[[#This Row],[Min Stock]]-Table8[[#This Row],[In stock]],0)</f>
        <v>0</v>
      </c>
      <c r="K2" s="28">
        <f>Table8[[#This Row],[Quantity]]*Table8[[#This Row],[Unit price]]</f>
        <v>0</v>
      </c>
      <c r="L2" s="30">
        <f>Table8[[#This Row],[Quantity]]</f>
        <v>0</v>
      </c>
      <c r="M2" s="30">
        <f>Table8[[#This Row],[Ret. Art. Number]]</f>
        <v>0</v>
      </c>
      <c r="O2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25">
        <f>ROUNDUP(Table8[[#This Row],[Min Stock]]-Table8[[#This Row],[In stock]],0)</f>
        <v>0</v>
      </c>
      <c r="K3" s="28">
        <f>Table8[[#This Row],[Quantity]]*Table8[[#This Row],[Unit price]]</f>
        <v>0</v>
      </c>
      <c r="L3" s="30">
        <f>Table8[[#This Row],[Quantity]]</f>
        <v>0</v>
      </c>
      <c r="M3" s="30">
        <f>Table8[[#This Row],[Ret. Art. Number]]</f>
        <v>0</v>
      </c>
      <c r="O3"/>
    </row>
    <row r="4" spans="1:15" x14ac:dyDescent="0.25">
      <c r="A4" s="4" t="s">
        <v>510</v>
      </c>
      <c r="B4" s="4"/>
      <c r="C4" s="4"/>
      <c r="D4" s="4"/>
      <c r="E4" s="4"/>
      <c r="F4" s="4"/>
      <c r="G4" s="4"/>
      <c r="H4" s="4"/>
      <c r="I4" s="4"/>
      <c r="J4" s="28"/>
      <c r="K4" s="25">
        <f>SUBTOTAL(109,Table8[Total price])</f>
        <v>0</v>
      </c>
      <c r="L4" s="31"/>
      <c r="M4" s="3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Button 2">
              <controlPr defaultSize="0" print="0" autoFill="0" autoPict="0" macro="[1]!btn_ClearCommands">
                <anchor>
                  <from>
                    <xdr:col>13</xdr:col>
                    <xdr:colOff>333375</xdr:colOff>
                    <xdr:row>1</xdr:row>
                    <xdr:rowOff>0</xdr:rowOff>
                  </from>
                  <to>
                    <xdr:col>14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Button 8">
              <controlPr defaultSize="0" print="0" autoFill="0" autoPict="0" macro="[1]!InsertCmdRow_Click">
                <anchor>
                  <from>
                    <xdr:col>13</xdr:col>
                    <xdr:colOff>333375</xdr:colOff>
                    <xdr:row>4</xdr:row>
                    <xdr:rowOff>0</xdr:rowOff>
                  </from>
                  <to>
                    <xdr:col>14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Button 11">
              <controlPr defaultSize="0" print="0" autoFill="0" autoPict="0" macro="[1]!ResetFirstsLines_Click">
                <anchor>
                  <from>
                    <xdr:col>13</xdr:col>
                    <xdr:colOff>333375</xdr:colOff>
                    <xdr:row>7</xdr:row>
                    <xdr:rowOff>0</xdr:rowOff>
                  </from>
                  <to>
                    <xdr:col>14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Button 12">
              <controlPr defaultSize="0" print="0" autoFill="0" autoPict="0" macro="[1]!btn_CreateOrder">
                <anchor>
                  <from>
                    <xdr:col>13</xdr:col>
                    <xdr:colOff>333375</xdr:colOff>
                    <xdr:row>10</xdr:row>
                    <xdr:rowOff>0</xdr:rowOff>
                  </from>
                  <to>
                    <xdr:col>14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8D84-59B5-45C2-A0A8-AEE7502DE1DD}">
  <sheetPr codeName="Sheet3"/>
  <dimension ref="A1:K40"/>
  <sheetViews>
    <sheetView workbookViewId="0">
      <pane ySplit="1" topLeftCell="A2" activePane="bottomLeft" state="frozen"/>
      <selection activeCell="B6" sqref="B6"/>
      <selection pane="bottomLeft" activeCell="D19" sqref="D19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4" t="s">
        <v>77</v>
      </c>
      <c r="B2" s="4" t="str">
        <f>VLOOKUP(Table14[[#This Row],[Man. Number]],Articles!A:E,COLUMN(Articles!$D$1)-COLUMN(Articles!$A$1)+1,FALSE)</f>
        <v>AUDIO PIEZO INDICATOR 2-5V TH</v>
      </c>
      <c r="C2" s="4" t="s">
        <v>312</v>
      </c>
      <c r="D2" s="4">
        <v>1</v>
      </c>
      <c r="E2" s="4">
        <f>VLOOKUP(Table14[[#This Row],[Man. Number]],Articles!A:E,COLUMN(Articles!$E$1)-COLUMN(Articles!$A$1)+1,FALSE)</f>
        <v>1</v>
      </c>
      <c r="F2" s="4" t="str">
        <f>IF(Table14[[#This Row],[In stock]] &gt;= Table14[[#This Row],[Quantity]],"YES","NO")</f>
        <v>YES</v>
      </c>
      <c r="G2" s="4">
        <f>Table14[[#This Row],[Quantity]]*$K$1</f>
        <v>1</v>
      </c>
      <c r="H2" s="4" t="str">
        <f>IF(Table14[[#This Row],[In stock]] &gt;= Table14[[#This Row],[Total quantity]],"YES","NO")</f>
        <v>YES</v>
      </c>
    </row>
    <row r="3" spans="1:11" x14ac:dyDescent="0.25">
      <c r="A3" s="3">
        <v>90990</v>
      </c>
      <c r="B3" s="4" t="str">
        <f>VLOOKUP(Table14[[#This Row],[Man. Number]],Articles!A:E,COLUMN(Articles!$D$1)-COLUMN(Articles!$A$1)+1,FALSE)</f>
        <v>Batterie Li-Po 3.7V 2000mAh</v>
      </c>
      <c r="C3" s="4" t="s">
        <v>315</v>
      </c>
      <c r="D3" s="4">
        <v>1</v>
      </c>
      <c r="E3" s="4">
        <f>VLOOKUP(Table14[[#This Row],[Man. Number]],Articles!A:E,COLUMN(Articles!$E$1)-COLUMN(Articles!$A$1)+1,FALSE)</f>
        <v>1</v>
      </c>
      <c r="F3" s="4" t="str">
        <f>IF(Table14[[#This Row],[In stock]] &gt;= Table14[[#This Row],[Quantity]],"YES","NO")</f>
        <v>YES</v>
      </c>
      <c r="G3" s="4">
        <f>Table14[[#This Row],[Quantity]]*$K$1</f>
        <v>1</v>
      </c>
      <c r="H3" s="4" t="str">
        <f>IF(Table14[[#This Row],[In stock]] &gt;= Table14[[#This Row],[Total quantity]],"YES","NO")</f>
        <v>YES</v>
      </c>
    </row>
    <row r="4" spans="1:11" x14ac:dyDescent="0.25">
      <c r="A4" s="4" t="s">
        <v>158</v>
      </c>
      <c r="B4" s="4" t="str">
        <f>VLOOKUP(Table14[[#This Row],[Man. Number]],Articles!A:E,COLUMN(Articles!$D$1)-COLUMN(Articles!$A$1)+1,FALSE)</f>
        <v>BOX PLASTIC GRY/CLR 4.9"LX4.92"W</v>
      </c>
      <c r="C4" s="4" t="s">
        <v>65</v>
      </c>
      <c r="D4" s="4">
        <v>1</v>
      </c>
      <c r="E4" s="4">
        <f>VLOOKUP(Table14[[#This Row],[Man. Number]],Articles!A:E,COLUMN(Articles!$E$1)-COLUMN(Articles!$A$1)+1,FALSE)</f>
        <v>1</v>
      </c>
      <c r="F4" s="4" t="str">
        <f>IF(Table14[[#This Row],[In stock]] &gt;= Table14[[#This Row],[Quantity]],"YES","NO")</f>
        <v>YES</v>
      </c>
      <c r="G4" s="4">
        <f>Table14[[#This Row],[Quantity]]*$K$1</f>
        <v>1</v>
      </c>
      <c r="H4" s="4" t="str">
        <f>IF(Table14[[#This Row],[In stock]] &gt;= Table14[[#This Row],[Total quantity]],"YES","NO")</f>
        <v>YES</v>
      </c>
    </row>
    <row r="5" spans="1:11" hidden="1" x14ac:dyDescent="0.25">
      <c r="A5" s="3" t="s">
        <v>16</v>
      </c>
      <c r="B5" s="4" t="str">
        <f>VLOOKUP(Table14[[#This Row],[Man. Number]],Articles!A:E,COLUMN(Articles!$D$1)-COLUMN(Articles!$A$1)+1,FALSE)</f>
        <v>Fusible à cartouche, Action rapide, 630 mA, 250 V</v>
      </c>
      <c r="D5" s="4">
        <v>0</v>
      </c>
      <c r="E5" s="4">
        <f>VLOOKUP(Table14[[#This Row],[Man. Number]],Articles!A:E,COLUMN(Articles!$E$1)-COLUMN(Articles!$A$1)+1,FALSE)</f>
        <v>14</v>
      </c>
      <c r="F5" s="4" t="str">
        <f>IF(Table14[[#This Row],[In stock]] &gt;= Table14[[#This Row],[Quantity]],"YES","NO")</f>
        <v>YES</v>
      </c>
      <c r="G5" s="4">
        <f>Table14[[#This Row],[Quantity]]*$K$1</f>
        <v>0</v>
      </c>
      <c r="H5" s="4" t="str">
        <f>IF(Table14[[#This Row],[In stock]] &gt;= Table14[[#This Row],[Total quantity]],"YES","NO")</f>
        <v>YES</v>
      </c>
    </row>
    <row r="6" spans="1:11" x14ac:dyDescent="0.25">
      <c r="A6" s="3" t="s">
        <v>118</v>
      </c>
      <c r="B6" s="4" t="str">
        <f>VLOOKUP(Table14[[#This Row],[Man. Number]],Articles!A:E,COLUMN(Articles!$D$1)-COLUMN(Articles!$A$1)+1,FALSE)</f>
        <v>Cavalier (barre bus), Shunt, Shunt, Embases au pas de 0.100", 2 Voies, 2.54 mm</v>
      </c>
      <c r="C6" s="4" t="s">
        <v>65</v>
      </c>
      <c r="D6" s="4">
        <v>19</v>
      </c>
      <c r="E6" s="4">
        <f>VLOOKUP(Table14[[#This Row],[Man. Number]],Articles!A:E,COLUMN(Articles!$E$1)-COLUMN(Articles!$A$1)+1,FALSE)</f>
        <v>100</v>
      </c>
      <c r="F6" s="4" t="str">
        <f>IF(Table14[[#This Row],[In stock]] &gt;= Table14[[#This Row],[Quantity]],"YES","NO")</f>
        <v>YES</v>
      </c>
      <c r="G6" s="4">
        <f>Table14[[#This Row],[Quantity]]*$K$1</f>
        <v>19</v>
      </c>
      <c r="H6" s="4" t="str">
        <f>IF(Table14[[#This Row],[In stock]] &gt;= Table14[[#This Row],[Total quantity]],"YES","NO")</f>
        <v>YES</v>
      </c>
    </row>
    <row r="7" spans="1:11" hidden="1" x14ac:dyDescent="0.25">
      <c r="A7" s="3" t="s">
        <v>18</v>
      </c>
      <c r="B7" s="4" t="str">
        <f>VLOOKUP(Table14[[#This Row],[Man. Number]],Articles!A:E,COLUMN(Articles!$D$1)-COLUMN(Articles!$A$1)+1,FALSE)</f>
        <v>Amplificateur opérationnel, Simple, 1 amplificateur, 1 MHz, 0.6 V/µs, 1.8V à 6V</v>
      </c>
      <c r="D7" s="4">
        <v>0</v>
      </c>
      <c r="E7" s="4">
        <f>VLOOKUP(Table14[[#This Row],[Man. Number]],Articles!A:E,COLUMN(Articles!$E$1)-COLUMN(Articles!$A$1)+1,FALSE)</f>
        <v>19</v>
      </c>
      <c r="F7" s="4" t="str">
        <f>IF(Table14[[#This Row],[In stock]] &gt;= Table14[[#This Row],[Quantity]],"YES","NO")</f>
        <v>YES</v>
      </c>
      <c r="G7" s="4">
        <f>Table14[[#This Row],[Quantity]]*$K$1</f>
        <v>0</v>
      </c>
      <c r="H7" s="4" t="str">
        <f>IF(Table14[[#This Row],[In stock]] &gt;= Table14[[#This Row],[Total quantity]],"YES","NO")</f>
        <v>YES</v>
      </c>
    </row>
    <row r="8" spans="1:11" hidden="1" x14ac:dyDescent="0.25">
      <c r="A8" s="3" t="s">
        <v>20</v>
      </c>
      <c r="B8" s="4" t="str">
        <f>VLOOKUP(Table14[[#This Row],[Man. Number]],Articles!A:E,COLUMN(Articles!$D$1)-COLUMN(Articles!$A$1)+1,FALSE)</f>
        <v>LED haute luminosité, Little Star Series, Blanc froid, 120 °, 100 lm, 350 mA</v>
      </c>
      <c r="D8" s="4">
        <v>0</v>
      </c>
      <c r="E8" s="4">
        <f>VLOOKUP(Table14[[#This Row],[Man. Number]],Articles!A:E,COLUMN(Articles!$E$1)-COLUMN(Articles!$A$1)+1,FALSE)</f>
        <v>0</v>
      </c>
      <c r="F8" s="4" t="str">
        <f>IF(Table14[[#This Row],[In stock]] &gt;= Table14[[#This Row],[Quantity]],"YES","NO")</f>
        <v>YES</v>
      </c>
      <c r="G8" s="4">
        <f>Table14[[#This Row],[Quantity]]*$K$1</f>
        <v>0</v>
      </c>
      <c r="H8" s="4" t="str">
        <f>IF(Table14[[#This Row],[In stock]] &gt;= Table14[[#This Row],[Total quantity]],"YES","NO")</f>
        <v>YES</v>
      </c>
    </row>
    <row r="9" spans="1:11" x14ac:dyDescent="0.25">
      <c r="A9" s="3" t="s">
        <v>22</v>
      </c>
      <c r="B9" s="4" t="str">
        <f>VLOOKUP(Table14[[#This Row],[Man. Number]],Articles!A:E,COLUMN(Articles!$D$1)-COLUMN(Articles!$A$1)+1,FALSE)</f>
        <v>Chargeur de batterie pour 1 cellule Li-Ion, batterie Li-Pol, entrée 6V, charge 4.2V/500mA</v>
      </c>
      <c r="C9" s="4" t="s">
        <v>297</v>
      </c>
      <c r="D9" s="4">
        <v>1</v>
      </c>
      <c r="E9" s="4">
        <f>VLOOKUP(Table14[[#This Row],[Man. Number]],Articles!A:E,COLUMN(Articles!$E$1)-COLUMN(Articles!$A$1)+1,FALSE)</f>
        <v>9</v>
      </c>
      <c r="F9" s="4" t="str">
        <f>IF(Table14[[#This Row],[In stock]] &gt;= Table14[[#This Row],[Quantity]],"YES","NO")</f>
        <v>YES</v>
      </c>
      <c r="G9" s="4">
        <f>Table14[[#This Row],[Quantity]]*$K$1</f>
        <v>1</v>
      </c>
      <c r="H9" s="4" t="str">
        <f>IF(Table14[[#This Row],[In stock]] &gt;= Table14[[#This Row],[Total quantity]],"YES","NO")</f>
        <v>YES</v>
      </c>
    </row>
    <row r="10" spans="1:11" x14ac:dyDescent="0.25">
      <c r="A10" s="3">
        <v>912951</v>
      </c>
      <c r="B10" s="4" t="str">
        <f>VLOOKUP(Table14[[#This Row],[Man. Number]],Articles!A:E,COLUMN(Articles!$D$1)-COLUMN(Articles!$A$1)+1,FALSE)</f>
        <v>Communication RF</v>
      </c>
      <c r="C10" s="4" t="s">
        <v>316</v>
      </c>
      <c r="D10" s="4">
        <v>1</v>
      </c>
      <c r="E10" s="4">
        <f>VLOOKUP(Table14[[#This Row],[Man. Number]],Articles!A:E,COLUMN(Articles!$E$1)-COLUMN(Articles!$A$1)+1,FALSE)</f>
        <v>1</v>
      </c>
      <c r="F10" s="4" t="str">
        <f>IF(Table14[[#This Row],[In stock]] &gt;= Table14[[#This Row],[Quantity]],"YES","NO")</f>
        <v>YES</v>
      </c>
      <c r="G10" s="4">
        <f>Table14[[#This Row],[Quantity]]*$K$1</f>
        <v>1</v>
      </c>
      <c r="H10" s="4" t="str">
        <f>IF(Table14[[#This Row],[In stock]] &gt;= Table14[[#This Row],[Total quantity]],"YES","NO")</f>
        <v>YES</v>
      </c>
    </row>
    <row r="11" spans="1:11" x14ac:dyDescent="0.25">
      <c r="A11" s="3" t="s">
        <v>36</v>
      </c>
      <c r="B11" s="4" t="str">
        <f>VLOOKUP(Table14[[#This Row],[Man. Number]],Articles!A:E,COLUMN(Articles!$D$1)-COLUMN(Articles!$A$1)+1,FALSE)</f>
        <v>Condensateur céramique multicouche CMS, 1206 [3216 Metric], 0.1 µF, 25 V, ± 10%, X7R</v>
      </c>
      <c r="C11" s="4" t="s">
        <v>293</v>
      </c>
      <c r="D11" s="4">
        <v>4</v>
      </c>
      <c r="E11" s="4">
        <f>VLOOKUP(Table14[[#This Row],[Man. Number]],Articles!A:E,COLUMN(Articles!$E$1)-COLUMN(Articles!$A$1)+1,FALSE)</f>
        <v>92</v>
      </c>
      <c r="F11" s="4" t="str">
        <f>IF(Table14[[#This Row],[In stock]] &gt;= Table14[[#This Row],[Quantity]],"YES","NO")</f>
        <v>YES</v>
      </c>
      <c r="G11" s="4">
        <f>Table14[[#This Row],[Quantity]]*$K$1</f>
        <v>4</v>
      </c>
      <c r="H11" s="4" t="str">
        <f>IF(Table14[[#This Row],[In stock]] &gt;= Table14[[#This Row],[Total quantity]],"YES","NO")</f>
        <v>YES</v>
      </c>
    </row>
    <row r="12" spans="1:11" x14ac:dyDescent="0.25">
      <c r="A12" s="3" t="s">
        <v>14</v>
      </c>
      <c r="B12" s="4" t="str">
        <f>VLOOKUP(Table14[[#This Row],[Man. Number]],Articles!A:E,COLUMN(Articles!$D$1)-COLUMN(Articles!$A$1)+1,FALSE)</f>
        <v>Condensateur électrolytique, 10 µF, 35 V, Série MCGPR, ± 20%, À sorties radiales, 5 mm</v>
      </c>
      <c r="C12" s="4" t="s">
        <v>295</v>
      </c>
      <c r="D12" s="4">
        <v>1</v>
      </c>
      <c r="E12" s="4">
        <f>VLOOKUP(Table14[[#This Row],[Man. Number]],Articles!A:E,COLUMN(Articles!$E$1)-COLUMN(Articles!$A$1)+1,FALSE)</f>
        <v>49</v>
      </c>
      <c r="F12" s="4" t="str">
        <f>IF(Table14[[#This Row],[In stock]] &gt;= Table14[[#This Row],[Quantity]],"YES","NO")</f>
        <v>YES</v>
      </c>
      <c r="G12" s="4">
        <f>Table14[[#This Row],[Quantity]]*$K$1</f>
        <v>1</v>
      </c>
      <c r="H12" s="4" t="str">
        <f>IF(Table14[[#This Row],[In stock]] &gt;= Table14[[#This Row],[Total quantity]],"YES","NO")</f>
        <v>YES</v>
      </c>
    </row>
    <row r="13" spans="1:11" hidden="1" x14ac:dyDescent="0.25">
      <c r="A13" s="3" t="s">
        <v>117</v>
      </c>
      <c r="B13" s="4" t="str">
        <f>VLOOKUP(Table14[[#This Row],[Man. Number]],Articles!A:E,COLUMN(Articles!$D$1)-COLUMN(Articles!$A$1)+1,FALSE)</f>
        <v>Porte fusible, Design ouvert, 500V, 10A, 5 x 20mm, traversant, noir</v>
      </c>
      <c r="D13" s="4">
        <v>0</v>
      </c>
      <c r="E13" s="4">
        <f>VLOOKUP(Table14[[#This Row],[Man. Number]],Articles!A:E,COLUMN(Articles!$E$1)-COLUMN(Articles!$A$1)+1,FALSE)</f>
        <v>4</v>
      </c>
      <c r="F13" s="4" t="str">
        <f>IF(Table14[[#This Row],[In stock]] &gt;= Table14[[#This Row],[Quantity]],"YES","NO")</f>
        <v>YES</v>
      </c>
      <c r="G13" s="4">
        <f>Table14[[#This Row],[Quantity]]*$K$1</f>
        <v>0</v>
      </c>
      <c r="H13" s="4" t="str">
        <f>IF(Table14[[#This Row],[In stock]] &gt;= Table14[[#This Row],[Total quantity]],"YES","NO")</f>
        <v>YES</v>
      </c>
    </row>
    <row r="14" spans="1:11" hidden="1" x14ac:dyDescent="0.25">
      <c r="A14" s="3" t="s">
        <v>31</v>
      </c>
      <c r="B14" s="4" t="str">
        <f>VLOOKUP(Table14[[#This Row],[Man. Number]],Articles!A:E,COLUMN(Articles!$D$1)-COLUMN(Articles!$A$1)+1,FALSE)</f>
        <v>Accessoire de fusible, Fusible cartouche, 5 x 20mm, OGN et OGN-SMD, Noir, Poignée</v>
      </c>
      <c r="D14" s="4">
        <v>0</v>
      </c>
      <c r="E14" s="4">
        <f>VLOOKUP(Table14[[#This Row],[Man. Number]],Articles!A:E,COLUMN(Articles!$E$1)-COLUMN(Articles!$A$1)+1,FALSE)</f>
        <v>4</v>
      </c>
      <c r="F14" s="4" t="str">
        <f>IF(Table14[[#This Row],[In stock]] &gt;= Table14[[#This Row],[Quantity]],"YES","NO")</f>
        <v>YES</v>
      </c>
      <c r="G14" s="4">
        <f>Table14[[#This Row],[Quantity]]*$K$1</f>
        <v>0</v>
      </c>
      <c r="H14" s="4" t="str">
        <f>IF(Table14[[#This Row],[In stock]] &gt;= Table14[[#This Row],[Total quantity]],"YES","NO")</f>
        <v>YES</v>
      </c>
    </row>
    <row r="15" spans="1:11" x14ac:dyDescent="0.25">
      <c r="A15" s="3" t="s">
        <v>12</v>
      </c>
      <c r="B15" s="4" t="str">
        <f>VLOOKUP(Table14[[#This Row],[Man. Number]],Articles!A:E,COLUMN(Articles!$D$1)-COLUMN(Articles!$A$1)+1,FALSE)</f>
        <v>Condensateur électrolytique, 4.7 µF, 35 V, Série MCGPR, ± 20%, À sorties radiales, 5 mm</v>
      </c>
      <c r="C15" s="4" t="s">
        <v>294</v>
      </c>
      <c r="D15" s="4">
        <v>1</v>
      </c>
      <c r="E15" s="4">
        <f>VLOOKUP(Table14[[#This Row],[Man. Number]],Articles!A:E,COLUMN(Articles!$E$1)-COLUMN(Articles!$A$1)+1,FALSE)</f>
        <v>48</v>
      </c>
      <c r="F15" s="4" t="str">
        <f>IF(Table14[[#This Row],[In stock]] &gt;= Table14[[#This Row],[Quantity]],"YES","NO")</f>
        <v>YES</v>
      </c>
      <c r="G15" s="4">
        <f>Table14[[#This Row],[Quantity]]*$K$1</f>
        <v>1</v>
      </c>
      <c r="H15" s="4" t="str">
        <f>IF(Table14[[#This Row],[In stock]] &gt;= Table14[[#This Row],[Total quantity]],"YES","NO")</f>
        <v>YES</v>
      </c>
    </row>
    <row r="16" spans="1:11" x14ac:dyDescent="0.25">
      <c r="A16" s="3" t="s">
        <v>40</v>
      </c>
      <c r="B16" s="4" t="str">
        <f>VLOOKUP(Table14[[#This Row],[Man. Number]],Articles!A:E,COLUMN(Articles!$D$1)-COLUMN(Articles!$A$1)+1,FALSE)</f>
        <v>Connecteur carte-à-carte, 2.54 mm, 36 Contact(s), Embase</v>
      </c>
      <c r="C16" s="4" t="s">
        <v>65</v>
      </c>
      <c r="D16" s="4">
        <v>0.63888888888888884</v>
      </c>
      <c r="E16" s="4">
        <f>VLOOKUP(Table14[[#This Row],[Man. Number]],Articles!A:E,COLUMN(Articles!$E$1)-COLUMN(Articles!$A$1)+1,FALSE)</f>
        <v>0</v>
      </c>
      <c r="F16" s="4" t="str">
        <f>IF(Table14[[#This Row],[In stock]] &gt;= Table14[[#This Row],[Quantity]],"YES","NO")</f>
        <v>NO</v>
      </c>
      <c r="G16" s="4">
        <f>Table14[[#This Row],[Quantity]]*$K$1</f>
        <v>0.63888888888888884</v>
      </c>
      <c r="H16" s="4" t="str">
        <f>IF(Table14[[#This Row],[In stock]] &gt;= Table14[[#This Row],[Total quantity]],"YES","NO")</f>
        <v>NO</v>
      </c>
    </row>
    <row r="17" spans="1:8" x14ac:dyDescent="0.25">
      <c r="A17" s="3" t="s">
        <v>290</v>
      </c>
      <c r="B17" s="4" t="str">
        <f>VLOOKUP(Table14[[#This Row],[Man. Number]],Articles!A:E,COLUMN(Articles!$D$1)-COLUMN(Articles!$A$1)+1,FALSE)</f>
        <v>FUSE BOARD MNT 630MA 63VDC 1206</v>
      </c>
      <c r="C17" s="4" t="s">
        <v>292</v>
      </c>
      <c r="D17" s="4">
        <v>1</v>
      </c>
      <c r="E17" s="4">
        <f>VLOOKUP(Table14[[#This Row],[Man. Number]],Articles!A:E,COLUMN(Articles!$E$1)-COLUMN(Articles!$A$1)+1,FALSE)</f>
        <v>0</v>
      </c>
      <c r="F17" s="4" t="str">
        <f>IF(Table14[[#This Row],[In stock]] &gt;= Table14[[#This Row],[Quantity]],"YES","NO")</f>
        <v>NO</v>
      </c>
      <c r="G17" s="4">
        <f>Table14[[#This Row],[Quantity]]*$K$1</f>
        <v>1</v>
      </c>
      <c r="H17" s="4" t="str">
        <f>IF(Table14[[#This Row],[In stock]] &gt;= Table14[[#This Row],[Total quantity]],"YES","NO")</f>
        <v>NO</v>
      </c>
    </row>
    <row r="18" spans="1:8" x14ac:dyDescent="0.25">
      <c r="A18" s="4" t="s">
        <v>81</v>
      </c>
      <c r="B18" s="4" t="str">
        <f>VLOOKUP(Table14[[#This Row],[Man. Number]],Articles!A:E,COLUMN(Articles!$D$1)-COLUMN(Articles!$A$1)+1,FALSE)</f>
        <v>IC MCU 8BIT 7KB FLASH 18DIP</v>
      </c>
      <c r="C18" s="4" t="s">
        <v>313</v>
      </c>
      <c r="D18" s="4">
        <v>1</v>
      </c>
      <c r="E18" s="4">
        <f>VLOOKUP(Table14[[#This Row],[Man. Number]],Articles!A:E,COLUMN(Articles!$E$1)-COLUMN(Articles!$A$1)+1,FALSE)</f>
        <v>2</v>
      </c>
      <c r="F18" s="4" t="str">
        <f>IF(Table14[[#This Row],[In stock]] &gt;= Table14[[#This Row],[Quantity]],"YES","NO")</f>
        <v>YES</v>
      </c>
      <c r="G18" s="4">
        <f>Table14[[#This Row],[Quantity]]*$K$1</f>
        <v>1</v>
      </c>
      <c r="H18" s="4" t="str">
        <f>IF(Table14[[#This Row],[In stock]] &gt;= Table14[[#This Row],[Total quantity]],"YES","NO")</f>
        <v>YES</v>
      </c>
    </row>
    <row r="19" spans="1:8" x14ac:dyDescent="0.25">
      <c r="A19" s="3" t="s">
        <v>34</v>
      </c>
      <c r="B19" s="4" t="str">
        <f>VLOOKUP(Table14[[#This Row],[Man. Number]],Articles!A:E,COLUMN(Articles!$D$1)-COLUMN(Articles!$A$1)+1,FALSE)</f>
        <v>LED, Rouge, Traversant, 3mm, 20 mA, 1.8 V, 643 nm</v>
      </c>
      <c r="C19" s="4" t="s">
        <v>298</v>
      </c>
      <c r="D19" s="4">
        <v>1</v>
      </c>
      <c r="E19" s="4">
        <f>VLOOKUP(Table14[[#This Row],[Man. Number]],Articles!A:E,COLUMN(Articles!$E$1)-COLUMN(Articles!$A$1)+1,FALSE)</f>
        <v>4</v>
      </c>
      <c r="F19" s="4" t="str">
        <f>IF(Table14[[#This Row],[In stock]] &gt;= Table14[[#This Row],[Quantity]],"YES","NO")</f>
        <v>YES</v>
      </c>
      <c r="G19" s="4">
        <f>Table14[[#This Row],[Quantity]]*$K$1</f>
        <v>1</v>
      </c>
      <c r="H19" s="4" t="str">
        <f>IF(Table14[[#This Row],[In stock]] &gt;= Table14[[#This Row],[Total quantity]],"YES","NO")</f>
        <v>YES</v>
      </c>
    </row>
    <row r="20" spans="1:8" x14ac:dyDescent="0.25">
      <c r="A20" s="3">
        <v>1004068</v>
      </c>
      <c r="B20" s="4" t="str">
        <f>VLOOKUP(Table14[[#This Row],[Man. Number]],Articles!A:E,COLUMN(Articles!$D$1)-COLUMN(Articles!$A$1)+1,FALSE)</f>
        <v>Panneau solaire</v>
      </c>
      <c r="C20" s="4" t="s">
        <v>314</v>
      </c>
      <c r="D20" s="4">
        <v>1</v>
      </c>
      <c r="E20" s="4">
        <f>VLOOKUP(Table14[[#This Row],[Man. Number]],Articles!A:E,COLUMN(Articles!$E$1)-COLUMN(Articles!$A$1)+1,FALSE)</f>
        <v>2</v>
      </c>
      <c r="F20" s="4" t="str">
        <f>IF(Table14[[#This Row],[In stock]] &gt;= Table14[[#This Row],[Quantity]],"YES","NO")</f>
        <v>YES</v>
      </c>
      <c r="G20" s="4">
        <f>Table14[[#This Row],[Quantity]]*$K$1</f>
        <v>1</v>
      </c>
      <c r="H20" s="4" t="str">
        <f>IF(Table14[[#This Row],[In stock]] &gt;= Table14[[#This Row],[Total quantity]],"YES","NO")</f>
        <v>YES</v>
      </c>
    </row>
    <row r="21" spans="1:8" x14ac:dyDescent="0.25">
      <c r="A21" s="3" t="s">
        <v>326</v>
      </c>
      <c r="B21" s="4" t="str">
        <f>VLOOKUP(Table14[[#This Row],[Man. Number]],Articles!A:E,COLUMN(Articles!$D$1)-COLUMN(Articles!$A$1)+1,FALSE)</f>
        <v>PCB Lampe solaire v4</v>
      </c>
      <c r="C21" s="4" t="s">
        <v>65</v>
      </c>
      <c r="D21" s="4">
        <v>1</v>
      </c>
      <c r="E21" s="4">
        <f>VLOOKUP(Table14[[#This Row],[Man. Number]],Articles!A:E,COLUMN(Articles!$E$1)-COLUMN(Articles!$A$1)+1,FALSE)</f>
        <v>10</v>
      </c>
      <c r="F21" s="4" t="str">
        <f>IF(Table14[[#This Row],[In stock]] &gt;= Table14[[#This Row],[Quantity]],"YES","NO")</f>
        <v>YES</v>
      </c>
      <c r="G21" s="4">
        <f>Table14[[#This Row],[Quantity]]*$K$1</f>
        <v>1</v>
      </c>
      <c r="H21" s="4" t="str">
        <f>IF(Table14[[#This Row],[In stock]] &gt;= Table14[[#This Row],[Total quantity]],"YES","NO")</f>
        <v>YES</v>
      </c>
    </row>
    <row r="22" spans="1:8" hidden="1" x14ac:dyDescent="0.25">
      <c r="A22" s="3" t="s">
        <v>52</v>
      </c>
      <c r="B22" s="4" t="str">
        <f>VLOOKUP(Table14[[#This Row],[Man. Number]],Articles!A:E,COLUMN(Articles!$D$1)-COLUMN(Articles!$A$1)+1,FALSE)</f>
        <v>Résistance à puce CMS, Couche épaisse, 150 kohm</v>
      </c>
      <c r="D22" s="4">
        <v>0</v>
      </c>
      <c r="E22" s="4">
        <f>VLOOKUP(Table14[[#This Row],[Man. Number]],Articles!A:E,COLUMN(Articles!$E$1)-COLUMN(Articles!$A$1)+1,FALSE)</f>
        <v>9</v>
      </c>
      <c r="F22" s="4" t="str">
        <f>IF(Table14[[#This Row],[In stock]] &gt;= Table14[[#This Row],[Quantity]],"YES","NO")</f>
        <v>YES</v>
      </c>
      <c r="G22" s="4">
        <f>Table14[[#This Row],[Quantity]]*$K$1</f>
        <v>0</v>
      </c>
      <c r="H22" s="4" t="str">
        <f>IF(Table14[[#This Row],[In stock]] &gt;= Table14[[#This Row],[Total quantity]],"YES","NO")</f>
        <v>YES</v>
      </c>
    </row>
    <row r="23" spans="1:8" x14ac:dyDescent="0.25">
      <c r="A23" s="3" t="s">
        <v>324</v>
      </c>
      <c r="B23" s="4" t="str">
        <f>VLOOKUP(Table14[[#This Row],[Man. Number]],Articles!A:E,COLUMN(Articles!$D$1)-COLUMN(Articles!$A$1)+1,FALSE)</f>
        <v>PCB Led adaptateur v1</v>
      </c>
      <c r="C23" s="4" t="s">
        <v>301</v>
      </c>
      <c r="D23" s="4">
        <v>1</v>
      </c>
      <c r="E23" s="4">
        <f>VLOOKUP(Table14[[#This Row],[Man. Number]],Articles!A:E,COLUMN(Articles!$E$1)-COLUMN(Articles!$A$1)+1,FALSE)</f>
        <v>9</v>
      </c>
      <c r="F23" s="4" t="str">
        <f>IF(Table14[[#This Row],[In stock]] &gt;= Table14[[#This Row],[Quantity]],"YES","NO")</f>
        <v>YES</v>
      </c>
      <c r="G23" s="4">
        <f>Table14[[#This Row],[Quantity]]*$K$1</f>
        <v>1</v>
      </c>
      <c r="H23" s="4" t="str">
        <f>IF(Table14[[#This Row],[In stock]] &gt;= Table14[[#This Row],[Total quantity]],"YES","NO")</f>
        <v>YES</v>
      </c>
    </row>
    <row r="24" spans="1:8" x14ac:dyDescent="0.25">
      <c r="A24" s="3" t="s">
        <v>9</v>
      </c>
      <c r="B24" s="4" t="str">
        <f>VLOOKUP(Table14[[#This Row],[Man. Number]],Articles!A:E,COLUMN(Articles!$D$1)-COLUMN(Articles!$A$1)+1,FALSE)</f>
        <v>Porte Logique NON-ET, 4 Portes, 2 entrées, 12 mA, 2V à 5.5V</v>
      </c>
      <c r="C24" s="4" t="s">
        <v>296</v>
      </c>
      <c r="D24" s="4">
        <v>1</v>
      </c>
      <c r="E24" s="4">
        <f>VLOOKUP(Table14[[#This Row],[Man. Number]],Articles!A:E,COLUMN(Articles!$E$1)-COLUMN(Articles!$A$1)+1,FALSE)</f>
        <v>4</v>
      </c>
      <c r="F24" s="4" t="str">
        <f>IF(Table14[[#This Row],[In stock]] &gt;= Table14[[#This Row],[Quantity]],"YES","NO")</f>
        <v>YES</v>
      </c>
      <c r="G24" s="4">
        <f>Table14[[#This Row],[Quantity]]*$K$1</f>
        <v>1</v>
      </c>
      <c r="H24" s="4" t="str">
        <f>IF(Table14[[#This Row],[In stock]] &gt;= Table14[[#This Row],[Total quantity]],"YES","NO")</f>
        <v>YES</v>
      </c>
    </row>
    <row r="25" spans="1:8" x14ac:dyDescent="0.25">
      <c r="A25" s="3">
        <v>965083</v>
      </c>
      <c r="B25" s="4" t="str">
        <f>VLOOKUP(Table14[[#This Row],[Man. Number]],Articles!A:E,COLUMN(Articles!$D$1)-COLUMN(Articles!$A$1)+1,FALSE)</f>
        <v>Porte-batterie</v>
      </c>
      <c r="C25" s="4" t="s">
        <v>315</v>
      </c>
      <c r="D25" s="4">
        <v>1</v>
      </c>
      <c r="E25" s="4">
        <f>VLOOKUP(Table14[[#This Row],[Man. Number]],Articles!A:E,COLUMN(Articles!$E$1)-COLUMN(Articles!$A$1)+1,FALSE)</f>
        <v>2</v>
      </c>
      <c r="F25" s="4" t="str">
        <f>IF(Table14[[#This Row],[In stock]] &gt;= Table14[[#This Row],[Quantity]],"YES","NO")</f>
        <v>YES</v>
      </c>
      <c r="G25" s="4">
        <f>Table14[[#This Row],[Quantity]]*$K$1</f>
        <v>1</v>
      </c>
      <c r="H25" s="4" t="str">
        <f>IF(Table14[[#This Row],[In stock]] &gt;= Table14[[#This Row],[Total quantity]],"YES","NO")</f>
        <v>YES</v>
      </c>
    </row>
    <row r="26" spans="1:8" hidden="1" x14ac:dyDescent="0.25">
      <c r="A26" s="3" t="s">
        <v>59</v>
      </c>
      <c r="B26" s="4" t="str">
        <f>VLOOKUP(Table14[[#This Row],[Man. Number]],Articles!A:E,COLUMN(Articles!$D$1)-COLUMN(Articles!$A$1)+1,FALSE)</f>
        <v>Résistance à puce CMS, Couche épaisse, 110 kohm</v>
      </c>
      <c r="D26" s="4">
        <v>0</v>
      </c>
      <c r="E26" s="4">
        <f>VLOOKUP(Table14[[#This Row],[Man. Number]],Articles!A:E,COLUMN(Articles!$E$1)-COLUMN(Articles!$A$1)+1,FALSE)</f>
        <v>19</v>
      </c>
      <c r="F26" s="4" t="str">
        <f>IF(Table14[[#This Row],[In stock]] &gt;= Table14[[#This Row],[Quantity]],"YES","NO")</f>
        <v>YES</v>
      </c>
      <c r="G26" s="4">
        <f>Table14[[#This Row],[Quantity]]*$K$1</f>
        <v>0</v>
      </c>
      <c r="H26" s="4" t="str">
        <f>IF(Table14[[#This Row],[In stock]] &gt;= Table14[[#This Row],[Total quantity]],"YES","NO")</f>
        <v>YES</v>
      </c>
    </row>
    <row r="27" spans="1:8" x14ac:dyDescent="0.25">
      <c r="A27" s="3" t="s">
        <v>38</v>
      </c>
      <c r="B27" s="4" t="str">
        <f>VLOOKUP(Table14[[#This Row],[Man. Number]],Articles!A:E,COLUMN(Articles!$D$1)-COLUMN(Articles!$A$1)+1,FALSE)</f>
        <v>Potentiomètres variables, 10 ohm, 15 Tour(s), Traversant</v>
      </c>
      <c r="C27" s="4" t="s">
        <v>302</v>
      </c>
      <c r="D27" s="4">
        <v>2</v>
      </c>
      <c r="E27" s="4">
        <f>VLOOKUP(Table14[[#This Row],[Man. Number]],Articles!A:E,COLUMN(Articles!$E$1)-COLUMN(Articles!$A$1)+1,FALSE)</f>
        <v>2</v>
      </c>
      <c r="F27" s="4" t="str">
        <f>IF(Table14[[#This Row],[In stock]] &gt;= Table14[[#This Row],[Quantity]],"YES","NO")</f>
        <v>YES</v>
      </c>
      <c r="G27" s="4">
        <f>Table14[[#This Row],[Quantity]]*$K$1</f>
        <v>2</v>
      </c>
      <c r="H27" s="4" t="str">
        <f>IF(Table14[[#This Row],[In stock]] &gt;= Table14[[#This Row],[Total quantity]],"YES","NO")</f>
        <v>YES</v>
      </c>
    </row>
    <row r="28" spans="1:8" x14ac:dyDescent="0.25">
      <c r="A28" s="3" t="s">
        <v>49</v>
      </c>
      <c r="B28" s="4" t="str">
        <f>VLOOKUP(Table14[[#This Row],[Man. Number]],Articles!A:E,COLUMN(Articles!$D$1)-COLUMN(Articles!$A$1)+1,FALSE)</f>
        <v>Potentiomètres variables, 100 kohm, 23 Tour(s), Traversant</v>
      </c>
      <c r="C28" s="4" t="s">
        <v>305</v>
      </c>
      <c r="D28" s="4">
        <v>1</v>
      </c>
      <c r="E28" s="4">
        <f>VLOOKUP(Table14[[#This Row],[Man. Number]],Articles!A:E,COLUMN(Articles!$E$1)-COLUMN(Articles!$A$1)+1,FALSE)</f>
        <v>1</v>
      </c>
      <c r="F28" s="4" t="str">
        <f>IF(Table14[[#This Row],[In stock]] &gt;= Table14[[#This Row],[Quantity]],"YES","NO")</f>
        <v>YES</v>
      </c>
      <c r="G28" s="4">
        <f>Table14[[#This Row],[Quantity]]*$K$1</f>
        <v>1</v>
      </c>
      <c r="H28" s="4" t="str">
        <f>IF(Table14[[#This Row],[In stock]] &gt;= Table14[[#This Row],[Total quantity]],"YES","NO")</f>
        <v>YES</v>
      </c>
    </row>
    <row r="29" spans="1:8" x14ac:dyDescent="0.25">
      <c r="A29" s="3" t="s">
        <v>27</v>
      </c>
      <c r="B29" s="4" t="str">
        <f>VLOOKUP(Table14[[#This Row],[Man. Number]],Articles!A:E,COLUMN(Articles!$D$1)-COLUMN(Articles!$A$1)+1,FALSE)</f>
        <v>Régulateur LDO, Fixe, Entrée 1.7 V à 5,5 V, Sortie 3.3 V/300 mA, Chute de 150 mV</v>
      </c>
      <c r="C29" s="4" t="s">
        <v>300</v>
      </c>
      <c r="D29" s="4">
        <v>1</v>
      </c>
      <c r="E29" s="4">
        <f>VLOOKUP(Table14[[#This Row],[Man. Number]],Articles!A:E,COLUMN(Articles!$E$1)-COLUMN(Articles!$A$1)+1,FALSE)</f>
        <v>9</v>
      </c>
      <c r="F29" s="4" t="str">
        <f>IF(Table14[[#This Row],[In stock]] &gt;= Table14[[#This Row],[Quantity]],"YES","NO")</f>
        <v>YES</v>
      </c>
      <c r="G29" s="4">
        <f>Table14[[#This Row],[Quantity]]*$K$1</f>
        <v>1</v>
      </c>
      <c r="H29" s="4" t="str">
        <f>IF(Table14[[#This Row],[In stock]] &gt;= Table14[[#This Row],[Total quantity]],"YES","NO")</f>
        <v>YES</v>
      </c>
    </row>
    <row r="30" spans="1:8" x14ac:dyDescent="0.25">
      <c r="A30" s="4" t="s">
        <v>139</v>
      </c>
      <c r="B30" s="4" t="str">
        <f>VLOOKUP(Table14[[#This Row],[Man. Number]],Articles!A:E,COLUMN(Articles!$D$1)-COLUMN(Articles!$A$1)+1,FALSE)</f>
        <v>RELAY TELECOM DPDT 5A 2.4V</v>
      </c>
      <c r="C30" s="4" t="s">
        <v>311</v>
      </c>
      <c r="D30" s="4">
        <v>1</v>
      </c>
      <c r="E30" s="4">
        <f>VLOOKUP(Table14[[#This Row],[Man. Number]],Articles!A:E,COLUMN(Articles!$E$1)-COLUMN(Articles!$A$1)+1,FALSE)</f>
        <v>1</v>
      </c>
      <c r="F30" s="4" t="str">
        <f>IF(Table14[[#This Row],[In stock]] &gt;= Table14[[#This Row],[Quantity]],"YES","NO")</f>
        <v>YES</v>
      </c>
      <c r="G30" s="4">
        <f>Table14[[#This Row],[Quantity]]*$K$1</f>
        <v>1</v>
      </c>
      <c r="H30" s="4" t="str">
        <f>IF(Table14[[#This Row],[In stock]] &gt;= Table14[[#This Row],[Total quantity]],"YES","NO")</f>
        <v>YES</v>
      </c>
    </row>
    <row r="31" spans="1:8" x14ac:dyDescent="0.25">
      <c r="A31" s="3" t="s">
        <v>188</v>
      </c>
      <c r="B31" s="4" t="str">
        <f>VLOOKUP(Table14[[#This Row],[Man. Number]],Articles!A:E,COLUMN(Articles!$D$1)-COLUMN(Articles!$A$1)+1,FALSE)</f>
        <v>RES SMD 4.7K OHM 1% 1/8W 0805</v>
      </c>
      <c r="C31" s="4" t="s">
        <v>306</v>
      </c>
      <c r="D31" s="4">
        <v>3</v>
      </c>
      <c r="E31" s="4">
        <f>VLOOKUP(Table14[[#This Row],[Man. Number]],Articles!A:E,COLUMN(Articles!$E$1)-COLUMN(Articles!$A$1)+1,FALSE)</f>
        <v>99</v>
      </c>
      <c r="F31" s="4" t="str">
        <f>IF(Table14[[#This Row],[In stock]] &gt;= Table14[[#This Row],[Quantity]],"YES","NO")</f>
        <v>YES</v>
      </c>
      <c r="G31" s="4">
        <f>Table14[[#This Row],[Quantity]]*$K$1</f>
        <v>3</v>
      </c>
      <c r="H31" s="4" t="str">
        <f>IF(Table14[[#This Row],[In stock]] &gt;= Table14[[#This Row],[Total quantity]],"YES","NO")</f>
        <v>YES</v>
      </c>
    </row>
    <row r="32" spans="1:8" x14ac:dyDescent="0.25">
      <c r="A32" s="3" t="s">
        <v>321</v>
      </c>
      <c r="B32" s="4" t="str">
        <f>VLOOKUP(Table14[[#This Row],[Man. Number]],Articles!A:E,COLUMN(Articles!$D$1)-COLUMN(Articles!$A$1)+1,FALSE)</f>
        <v>Résistance SMD 1k OHM 0805</v>
      </c>
      <c r="C32" s="4" t="s">
        <v>307</v>
      </c>
      <c r="D32" s="4">
        <v>4</v>
      </c>
      <c r="E32" s="4">
        <f>VLOOKUP(Table14[[#This Row],[Man. Number]],Articles!A:E,COLUMN(Articles!$E$1)-COLUMN(Articles!$A$1)+1,FALSE)</f>
        <v>5</v>
      </c>
      <c r="F32" s="4" t="str">
        <f>IF(Table14[[#This Row],[In stock]] &gt;= Table14[[#This Row],[Quantity]],"YES","NO")</f>
        <v>YES</v>
      </c>
      <c r="G32" s="4">
        <f>Table14[[#This Row],[Quantity]]*$K$1</f>
        <v>4</v>
      </c>
      <c r="H32" s="4" t="str">
        <f>IF(Table14[[#This Row],[In stock]] &gt;= Table14[[#This Row],[Total quantity]],"YES","NO")</f>
        <v>YES</v>
      </c>
    </row>
    <row r="33" spans="1:8" x14ac:dyDescent="0.25">
      <c r="A33" s="3" t="s">
        <v>320</v>
      </c>
      <c r="B33" s="4" t="str">
        <f>VLOOKUP(Table14[[#This Row],[Man. Number]],Articles!A:E,COLUMN(Articles!$D$1)-COLUMN(Articles!$A$1)+1,FALSE)</f>
        <v>Résistance SMD 3.3k OHM 0805</v>
      </c>
      <c r="C33" s="4" t="s">
        <v>317</v>
      </c>
      <c r="D33" s="4">
        <v>1</v>
      </c>
      <c r="E33" s="4">
        <f>VLOOKUP(Table14[[#This Row],[Man. Number]],Articles!A:E,COLUMN(Articles!$E$1)-COLUMN(Articles!$A$1)+1,FALSE)</f>
        <v>5</v>
      </c>
      <c r="F33" s="4" t="str">
        <f>IF(Table14[[#This Row],[In stock]] &gt;= Table14[[#This Row],[Quantity]],"YES","NO")</f>
        <v>YES</v>
      </c>
      <c r="G33" s="4">
        <f>Table14[[#This Row],[Quantity]]*$K$1</f>
        <v>1</v>
      </c>
      <c r="H33" s="4" t="str">
        <f>IF(Table14[[#This Row],[In stock]] &gt;= Table14[[#This Row],[Total quantity]],"YES","NO")</f>
        <v>YES</v>
      </c>
    </row>
    <row r="34" spans="1:8" x14ac:dyDescent="0.25">
      <c r="A34" s="3" t="s">
        <v>63</v>
      </c>
      <c r="B34" s="4" t="str">
        <f>VLOOKUP(Table14[[#This Row],[Man. Number]],Articles!A:E,COLUMN(Articles!$D$1)-COLUMN(Articles!$A$1)+1,FALSE)</f>
        <v>Résistance à puce CMS, 100 kohm</v>
      </c>
      <c r="C34" s="4" t="s">
        <v>310</v>
      </c>
      <c r="D34" s="4">
        <v>2</v>
      </c>
      <c r="E34" s="4">
        <f>VLOOKUP(Table14[[#This Row],[Man. Number]],Articles!A:E,COLUMN(Articles!$E$1)-COLUMN(Articles!$A$1)+1,FALSE)</f>
        <v>7</v>
      </c>
      <c r="F34" s="4" t="str">
        <f>IF(Table14[[#This Row],[In stock]] &gt;= Table14[[#This Row],[Quantity]],"YES","NO")</f>
        <v>YES</v>
      </c>
      <c r="G34" s="4">
        <f>Table14[[#This Row],[Quantity]]*$K$1</f>
        <v>2</v>
      </c>
      <c r="H34" s="4" t="str">
        <f>IF(Table14[[#This Row],[In stock]] &gt;= Table14[[#This Row],[Total quantity]],"YES","NO")</f>
        <v>YES</v>
      </c>
    </row>
    <row r="35" spans="1:8" x14ac:dyDescent="0.25">
      <c r="A35" s="3" t="s">
        <v>56</v>
      </c>
      <c r="B35" s="4" t="str">
        <f>VLOOKUP(Table14[[#This Row],[Man. Number]],Articles!A:E,COLUMN(Articles!$D$1)-COLUMN(Articles!$A$1)+1,FALSE)</f>
        <v>Résistance à puce CMS, Céramique, 22 ohm</v>
      </c>
      <c r="C35" s="4" t="s">
        <v>308</v>
      </c>
      <c r="D35" s="4">
        <v>1</v>
      </c>
      <c r="E35" s="4">
        <f>VLOOKUP(Table14[[#This Row],[Man. Number]],Articles!A:E,COLUMN(Articles!$E$1)-COLUMN(Articles!$A$1)+1,FALSE)</f>
        <v>9</v>
      </c>
      <c r="F35" s="4" t="str">
        <f>IF(Table14[[#This Row],[In stock]] &gt;= Table14[[#This Row],[Quantity]],"YES","NO")</f>
        <v>YES</v>
      </c>
      <c r="G35" s="4">
        <f>Table14[[#This Row],[Quantity]]*$K$1</f>
        <v>1</v>
      </c>
      <c r="H35" s="4" t="str">
        <f>IF(Table14[[#This Row],[In stock]] &gt;= Table14[[#This Row],[Total quantity]],"YES","NO")</f>
        <v>YES</v>
      </c>
    </row>
    <row r="36" spans="1:8" x14ac:dyDescent="0.25">
      <c r="A36" s="3" t="s">
        <v>61</v>
      </c>
      <c r="B36" s="4" t="str">
        <f>VLOOKUP(Table14[[#This Row],[Man. Number]],Articles!A:E,COLUMN(Articles!$D$1)-COLUMN(Articles!$A$1)+1,FALSE)</f>
        <v>Résistance à puce CMS, Couche épaisse, 1 Mohm</v>
      </c>
      <c r="C36" s="4" t="s">
        <v>309</v>
      </c>
      <c r="D36" s="4">
        <v>1</v>
      </c>
      <c r="E36" s="4">
        <f>VLOOKUP(Table14[[#This Row],[Man. Number]],Articles!A:E,COLUMN(Articles!$E$1)-COLUMN(Articles!$A$1)+1,FALSE)</f>
        <v>9</v>
      </c>
      <c r="F36" s="4" t="str">
        <f>IF(Table14[[#This Row],[In stock]] &gt;= Table14[[#This Row],[Quantity]],"YES","NO")</f>
        <v>YES</v>
      </c>
      <c r="G36" s="4">
        <f>Table14[[#This Row],[Quantity]]*$K$1</f>
        <v>1</v>
      </c>
      <c r="H36" s="4" t="str">
        <f>IF(Table14[[#This Row],[In stock]] &gt;= Table14[[#This Row],[Total quantity]],"YES","NO")</f>
        <v>YES</v>
      </c>
    </row>
    <row r="37" spans="1:8" hidden="1" x14ac:dyDescent="0.25">
      <c r="A37" s="3">
        <v>1181876</v>
      </c>
      <c r="B37" s="4" t="str">
        <f>VLOOKUP(Table14[[#This Row],[Man. Number]],Articles!A:E,COLUMN(Articles!$D$1)-COLUMN(Articles!$A$1)+1,FALSE)</f>
        <v>DC Step-up</v>
      </c>
      <c r="D37" s="4">
        <v>0</v>
      </c>
      <c r="E37" s="4">
        <f>VLOOKUP(Table14[[#This Row],[Man. Number]],Articles!A:E,COLUMN(Articles!$E$1)-COLUMN(Articles!$A$1)+1,FALSE)</f>
        <v>9</v>
      </c>
      <c r="F37" s="4" t="str">
        <f>IF(Table14[[#This Row],[In stock]] &gt;= Table14[[#This Row],[Quantity]],"YES","NO")</f>
        <v>YES</v>
      </c>
      <c r="G37" s="4">
        <f>Table14[[#This Row],[Quantity]]*$K$1</f>
        <v>0</v>
      </c>
      <c r="H37" s="4" t="str">
        <f>IF(Table14[[#This Row],[In stock]] &gt;= Table14[[#This Row],[Total quantity]],"YES","NO")</f>
        <v>YES</v>
      </c>
    </row>
    <row r="38" spans="1:8" x14ac:dyDescent="0.25">
      <c r="A38" s="3" t="s">
        <v>24</v>
      </c>
      <c r="B38" s="4" t="str">
        <f>VLOOKUP(Table14[[#This Row],[Man. Number]],Articles!A:E,COLUMN(Articles!$D$1)-COLUMN(Articles!$A$1)+1,FALSE)</f>
        <v>Superviseur, Reset drain ouvert, actif à l'état bas, 1V-5.5Vin</v>
      </c>
      <c r="C38" s="4" t="s">
        <v>299</v>
      </c>
      <c r="D38" s="4">
        <v>1</v>
      </c>
      <c r="E38" s="4">
        <f>VLOOKUP(Table14[[#This Row],[Man. Number]],Articles!A:E,COLUMN(Articles!$E$1)-COLUMN(Articles!$A$1)+1,FALSE)</f>
        <v>4</v>
      </c>
      <c r="F38" s="4" t="str">
        <f>IF(Table14[[#This Row],[In stock]] &gt;= Table14[[#This Row],[Quantity]],"YES","NO")</f>
        <v>YES</v>
      </c>
      <c r="G38" s="4">
        <f>Table14[[#This Row],[Quantity]]*$K$1</f>
        <v>1</v>
      </c>
      <c r="H38" s="4" t="str">
        <f>IF(Table14[[#This Row],[In stock]] &gt;= Table14[[#This Row],[Total quantity]],"YES","NO")</f>
        <v>YES</v>
      </c>
    </row>
    <row r="39" spans="1:8" x14ac:dyDescent="0.25">
      <c r="A39" s="3" t="s">
        <v>46</v>
      </c>
      <c r="B39" s="4" t="str">
        <f>VLOOKUP(Table14[[#This Row],[Man. Number]],Articles!A:E,COLUMN(Articles!$D$1)-COLUMN(Articles!$A$1)+1,FALSE)</f>
        <v>Transistor MOSFET, Canal N, 2.2 A, 30 V, 65 mohm, 4.5 V, 700 mV</v>
      </c>
      <c r="C39" s="4" t="s">
        <v>304</v>
      </c>
      <c r="D39" s="4">
        <v>5</v>
      </c>
      <c r="E39" s="4">
        <f>VLOOKUP(Table14[[#This Row],[Man. Number]],Articles!A:E,COLUMN(Articles!$E$1)-COLUMN(Articles!$A$1)+1,FALSE)</f>
        <v>16</v>
      </c>
      <c r="F39" s="4" t="str">
        <f>IF(Table14[[#This Row],[In stock]] &gt;= Table14[[#This Row],[Quantity]],"YES","NO")</f>
        <v>YES</v>
      </c>
      <c r="G39" s="4">
        <f>Table14[[#This Row],[Quantity]]*$K$1</f>
        <v>5</v>
      </c>
      <c r="H39" s="4" t="str">
        <f>IF(Table14[[#This Row],[In stock]] &gt;= Table14[[#This Row],[Total quantity]],"YES","NO")</f>
        <v>YES</v>
      </c>
    </row>
    <row r="40" spans="1:8" x14ac:dyDescent="0.25">
      <c r="A40" s="3" t="s">
        <v>43</v>
      </c>
      <c r="B40" s="4" t="str">
        <f>VLOOKUP(Table14[[#This Row],[Man. Number]],Articles!A:E,COLUMN(Articles!$D$1)-COLUMN(Articles!$A$1)+1,FALSE)</f>
        <v>Transistor MOSFET, Canal P, -7.1 A, -12 V, 28.5 mohm, -4.5 V, -400 mV</v>
      </c>
      <c r="C40" s="4" t="s">
        <v>303</v>
      </c>
      <c r="D40" s="4">
        <v>2</v>
      </c>
      <c r="E40" s="4">
        <f>VLOOKUP(Table14[[#This Row],[Man. Number]],Articles!A:E,COLUMN(Articles!$E$1)-COLUMN(Articles!$A$1)+1,FALSE)</f>
        <v>24</v>
      </c>
      <c r="F40" s="4" t="str">
        <f>IF(Table14[[#This Row],[In stock]] &gt;= Table14[[#This Row],[Quantity]],"YES","NO")</f>
        <v>YES</v>
      </c>
      <c r="G40" s="4">
        <f>Table14[[#This Row],[Quantity]]*$K$1</f>
        <v>2</v>
      </c>
      <c r="H40" s="4" t="str">
        <f>IF(Table14[[#This Row],[In stock]] &gt;= Table14[[#This Row],[Total quantity]],"YES","NO")</f>
        <v>YES</v>
      </c>
    </row>
  </sheetData>
  <conditionalFormatting sqref="F2:G1048576">
    <cfRule type="containsText" dxfId="64" priority="3" operator="containsText" text="NO">
      <formula>NOT(ISERROR(SEARCH("NO",F2)))</formula>
    </cfRule>
  </conditionalFormatting>
  <conditionalFormatting sqref="A24">
    <cfRule type="duplicateValues" dxfId="63" priority="1"/>
  </conditionalFormatting>
  <dataValidations count="1">
    <dataValidation type="whole" errorStyle="warning" operator="greaterThan" showErrorMessage="1" errorTitle="Invalid value" error="The multiplier has to be a whole number greater than 0." sqref="K1" xr:uid="{AA1D89FA-ED8D-46F5-8B7E-771C7B1E6782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NO" id="{40EC6F50-91C0-442A-B64E-8D4F01F7D441}">
            <xm:f>NOT(ISERROR(SEARCH("NO",TempoMetter_v1!H2)))</xm:f>
            <x14:dxf>
              <fill>
                <patternFill>
                  <bgColor rgb="FFFF8F8F"/>
                </patternFill>
              </fill>
            </x14:dxf>
          </x14:cfRule>
          <xm:sqref>H2:H1048576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0330-3491-403F-BEB4-6AC16E74DE21}">
  <sheetPr codeName="Sheet6"/>
  <dimension ref="A1:K1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3" bestFit="1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215</v>
      </c>
      <c r="B2" s="4" t="str">
        <f>VLOOKUP(Table146[[#This Row],[Man. Number]],Articles!A:E,COLUMN(Articles!$D$1)-COLUMN(Articles!$A$1)+1,FALSE)</f>
        <v>IC MCU 8BIT 7KB FLASH 14SOIC</v>
      </c>
      <c r="D2" s="4">
        <v>1</v>
      </c>
      <c r="E2" s="4">
        <f>VLOOKUP(Table146[[#This Row],[Man. Number]],Articles!A:E,COLUMN(Articles!$E$1)-COLUMN(Articles!$A$1)+1,FALSE)</f>
        <v>4</v>
      </c>
      <c r="F2" s="4" t="str">
        <f>IF(Table146[[#This Row],[In stock]] &gt;= Table146[[#This Row],[Quantity]],"YES","NO")</f>
        <v>YES</v>
      </c>
      <c r="G2" s="4">
        <f>Table146[[#This Row],[Quantity]]*$K$1</f>
        <v>1</v>
      </c>
      <c r="H2" s="4" t="str">
        <f>IF(Table146[[#This Row],[In stock]] &gt;= Table146[[#This Row],[Total quantity]],"YES","NO")</f>
        <v>YES</v>
      </c>
    </row>
    <row r="3" spans="1:11" x14ac:dyDescent="0.25">
      <c r="A3" s="3" t="s">
        <v>216</v>
      </c>
      <c r="B3" s="4" t="str">
        <f>VLOOKUP(Table146[[#This Row],[Man. Number]],Articles!A:E,COLUMN(Articles!$D$1)-COLUMN(Articles!$A$1)+1,FALSE)</f>
        <v>ACCELEROMETER 2-8G I2C 16QFN</v>
      </c>
      <c r="D3" s="4">
        <v>1</v>
      </c>
      <c r="E3" s="4">
        <f>VLOOKUP(Table146[[#This Row],[Man. Number]],Articles!A:E,COLUMN(Articles!$E$1)-COLUMN(Articles!$A$1)+1,FALSE)</f>
        <v>4</v>
      </c>
      <c r="F3" s="4" t="str">
        <f>IF(Table146[[#This Row],[In stock]] &gt;= Table146[[#This Row],[Quantity]],"YES","NO")</f>
        <v>YES</v>
      </c>
      <c r="G3" s="4">
        <f>Table146[[#This Row],[Quantity]]*$K$1</f>
        <v>1</v>
      </c>
      <c r="H3" s="4" t="str">
        <f>IF(Table146[[#This Row],[In stock]] &gt;= Table146[[#This Row],[Total quantity]],"YES","NO")</f>
        <v>YES</v>
      </c>
    </row>
    <row r="4" spans="1:11" x14ac:dyDescent="0.25">
      <c r="A4" s="3" t="s">
        <v>221</v>
      </c>
      <c r="B4" s="4" t="str">
        <f>VLOOKUP(Table146[[#This Row],[Man. Number]],Articles!A:E,COLUMN(Articles!$D$1)-COLUMN(Articles!$A$1)+1,FALSE)</f>
        <v>IC REG LINEAR 2.5V 300MA SOT23-5</v>
      </c>
      <c r="D4" s="4">
        <v>1</v>
      </c>
      <c r="E4" s="4">
        <f>VLOOKUP(Table146[[#This Row],[Man. Number]],Articles!A:E,COLUMN(Articles!$E$1)-COLUMN(Articles!$A$1)+1,FALSE)</f>
        <v>24</v>
      </c>
      <c r="F4" s="4" t="str">
        <f>IF(Table146[[#This Row],[In stock]] &gt;= Table146[[#This Row],[Quantity]],"YES","NO")</f>
        <v>YES</v>
      </c>
      <c r="G4" s="4">
        <f>Table146[[#This Row],[Quantity]]*$K$1</f>
        <v>1</v>
      </c>
      <c r="H4" s="4" t="str">
        <f>IF(Table146[[#This Row],[In stock]] &gt;= Table146[[#This Row],[Total quantity]],"YES","NO")</f>
        <v>YES</v>
      </c>
    </row>
    <row r="5" spans="1:11" x14ac:dyDescent="0.25">
      <c r="A5" s="3" t="s">
        <v>225</v>
      </c>
      <c r="B5" s="4" t="str">
        <f>VLOOKUP(Table146[[#This Row],[Man. Number]],Articles!A:E,COLUMN(Articles!$D$1)-COLUMN(Articles!$A$1)+1,FALSE)</f>
        <v>BATTERY HOLDER COIN 20MM SMD</v>
      </c>
      <c r="D5" s="4">
        <v>1</v>
      </c>
      <c r="E5" s="4">
        <f>VLOOKUP(Table146[[#This Row],[Man. Number]],Articles!A:E,COLUMN(Articles!$E$1)-COLUMN(Articles!$A$1)+1,FALSE)</f>
        <v>4</v>
      </c>
      <c r="F5" s="4" t="str">
        <f>IF(Table146[[#This Row],[In stock]] &gt;= Table146[[#This Row],[Quantity]],"YES","NO")</f>
        <v>YES</v>
      </c>
      <c r="G5" s="4">
        <f>Table146[[#This Row],[Quantity]]*$K$1</f>
        <v>1</v>
      </c>
      <c r="H5" s="4" t="str">
        <f>IF(Table146[[#This Row],[In stock]] &gt;= Table146[[#This Row],[Total quantity]],"YES","NO")</f>
        <v>YES</v>
      </c>
    </row>
    <row r="6" spans="1:11" x14ac:dyDescent="0.25">
      <c r="A6" s="3" t="s">
        <v>229</v>
      </c>
      <c r="B6" s="4" t="str">
        <f>VLOOKUP(Table146[[#This Row],[Man. Number]],Articles!A:E,COLUMN(Articles!$D$1)-COLUMN(Articles!$A$1)+1,FALSE)</f>
        <v>LED GREEN CLEAR 0603 SMD</v>
      </c>
      <c r="D6" s="4">
        <v>1</v>
      </c>
      <c r="E6" s="4">
        <f>VLOOKUP(Table146[[#This Row],[Man. Number]],Articles!A:E,COLUMN(Articles!$E$1)-COLUMN(Articles!$A$1)+1,FALSE)</f>
        <v>9</v>
      </c>
      <c r="F6" s="4" t="str">
        <f>IF(Table146[[#This Row],[In stock]] &gt;= Table146[[#This Row],[Quantity]],"YES","NO")</f>
        <v>YES</v>
      </c>
      <c r="G6" s="4">
        <f>Table146[[#This Row],[Quantity]]*$K$1</f>
        <v>1</v>
      </c>
      <c r="H6" s="4" t="str">
        <f>IF(Table146[[#This Row],[In stock]] &gt;= Table146[[#This Row],[Total quantity]],"YES","NO")</f>
        <v>YES</v>
      </c>
    </row>
    <row r="7" spans="1:11" x14ac:dyDescent="0.25">
      <c r="A7" s="3" t="s">
        <v>231</v>
      </c>
      <c r="B7" s="4" t="str">
        <f>VLOOKUP(Table146[[#This Row],[Man. Number]],Articles!A:E,COLUMN(Articles!$D$1)-COLUMN(Articles!$A$1)+1,FALSE)</f>
        <v>LED RED 0603 SMD</v>
      </c>
      <c r="D7" s="4">
        <v>1</v>
      </c>
      <c r="E7" s="4">
        <f>VLOOKUP(Table146[[#This Row],[Man. Number]],Articles!A:E,COLUMN(Articles!$E$1)-COLUMN(Articles!$A$1)+1,FALSE)</f>
        <v>9</v>
      </c>
      <c r="F7" s="4" t="str">
        <f>IF(Table146[[#This Row],[In stock]] &gt;= Table146[[#This Row],[Quantity]],"YES","NO")</f>
        <v>YES</v>
      </c>
      <c r="G7" s="4">
        <f>Table146[[#This Row],[Quantity]]*$K$1</f>
        <v>1</v>
      </c>
      <c r="H7" s="4" t="str">
        <f>IF(Table146[[#This Row],[In stock]] &gt;= Table146[[#This Row],[Total quantity]],"YES","NO")</f>
        <v>YES</v>
      </c>
    </row>
    <row r="8" spans="1:11" x14ac:dyDescent="0.25">
      <c r="A8" s="3" t="s">
        <v>234</v>
      </c>
      <c r="B8" s="4" t="str">
        <f>VLOOKUP(Table146[[#This Row],[Man. Number]],Articles!A:E,COLUMN(Articles!$D$1)-COLUMN(Articles!$A$1)+1,FALSE)</f>
        <v>SWITCH SLIDE SPDT 300MA 125V</v>
      </c>
      <c r="D8" s="4">
        <v>1</v>
      </c>
      <c r="E8" s="4">
        <f>VLOOKUP(Table146[[#This Row],[Man. Number]],Articles!A:E,COLUMN(Articles!$E$1)-COLUMN(Articles!$A$1)+1,FALSE)</f>
        <v>4</v>
      </c>
      <c r="F8" s="4" t="str">
        <f>IF(Table146[[#This Row],[In stock]] &gt;= Table146[[#This Row],[Quantity]],"YES","NO")</f>
        <v>YES</v>
      </c>
      <c r="G8" s="4">
        <f>Table146[[#This Row],[Quantity]]*$K$1</f>
        <v>1</v>
      </c>
      <c r="H8" s="4" t="str">
        <f>IF(Table146[[#This Row],[In stock]] &gt;= Table146[[#This Row],[Total quantity]],"YES","NO")</f>
        <v>YES</v>
      </c>
    </row>
    <row r="9" spans="1:11" x14ac:dyDescent="0.25">
      <c r="A9" s="3" t="s">
        <v>238</v>
      </c>
      <c r="B9" s="4" t="str">
        <f>VLOOKUP(Table146[[#This Row],[Man. Number]],Articles!A:E,COLUMN(Articles!$D$1)-COLUMN(Articles!$A$1)+1,FALSE)</f>
        <v>SWITCH SLIDE DIP SPST 100MA 24V</v>
      </c>
      <c r="D9" s="4">
        <v>1</v>
      </c>
      <c r="E9" s="4">
        <f>VLOOKUP(Table146[[#This Row],[Man. Number]],Articles!A:E,COLUMN(Articles!$E$1)-COLUMN(Articles!$A$1)+1,FALSE)</f>
        <v>4</v>
      </c>
      <c r="F9" s="4" t="str">
        <f>IF(Table146[[#This Row],[In stock]] &gt;= Table146[[#This Row],[Quantity]],"YES","NO")</f>
        <v>YES</v>
      </c>
      <c r="G9" s="4">
        <f>Table146[[#This Row],[Quantity]]*$K$1</f>
        <v>1</v>
      </c>
      <c r="H9" s="4" t="str">
        <f>IF(Table146[[#This Row],[In stock]] &gt;= Table146[[#This Row],[Total quantity]],"YES","NO")</f>
        <v>YES</v>
      </c>
    </row>
    <row r="10" spans="1:11" x14ac:dyDescent="0.25">
      <c r="A10" s="3" t="s">
        <v>242</v>
      </c>
      <c r="B10" s="4" t="str">
        <f>VLOOKUP(Table146[[#This Row],[Man. Number]],Articles!A:E,COLUMN(Articles!$D$1)-COLUMN(Articles!$A$1)+1,FALSE)</f>
        <v>CAP CER 4.7UF 25V X7R 1206</v>
      </c>
      <c r="D10" s="4">
        <v>3</v>
      </c>
      <c r="E10" s="4">
        <f>VLOOKUP(Table146[[#This Row],[Man. Number]],Articles!A:E,COLUMN(Articles!$E$1)-COLUMN(Articles!$A$1)+1,FALSE)</f>
        <v>17</v>
      </c>
      <c r="F10" s="4" t="str">
        <f>IF(Table146[[#This Row],[In stock]] &gt;= Table146[[#This Row],[Quantity]],"YES","NO")</f>
        <v>YES</v>
      </c>
      <c r="G10" s="4">
        <f>Table146[[#This Row],[Quantity]]*$K$1</f>
        <v>3</v>
      </c>
      <c r="H10" s="4" t="str">
        <f>IF(Table146[[#This Row],[In stock]] &gt;= Table146[[#This Row],[Total quantity]],"YES","NO")</f>
        <v>YES</v>
      </c>
    </row>
    <row r="11" spans="1:11" x14ac:dyDescent="0.25">
      <c r="A11" s="3" t="s">
        <v>188</v>
      </c>
      <c r="B11" s="4" t="str">
        <f>VLOOKUP(Table146[[#This Row],[Man. Number]],Articles!A:E,COLUMN(Articles!$D$1)-COLUMN(Articles!$A$1)+1,FALSE)</f>
        <v>RES SMD 4.7K OHM 1% 1/8W 0805</v>
      </c>
      <c r="D11" s="4">
        <v>4</v>
      </c>
      <c r="E11" s="4">
        <f>VLOOKUP(Table146[[#This Row],[Man. Number]],Articles!A:E,COLUMN(Articles!$E$1)-COLUMN(Articles!$A$1)+1,FALSE)</f>
        <v>99</v>
      </c>
      <c r="F11" s="4" t="str">
        <f>IF(Table146[[#This Row],[In stock]] &gt;= Table146[[#This Row],[Quantity]],"YES","NO")</f>
        <v>YES</v>
      </c>
      <c r="G11" s="4">
        <f>Table146[[#This Row],[Quantity]]*$K$1</f>
        <v>4</v>
      </c>
      <c r="H11" s="4" t="str">
        <f>IF(Table146[[#This Row],[In stock]] &gt;= Table146[[#This Row],[Total quantity]],"YES","NO")</f>
        <v>YES</v>
      </c>
    </row>
    <row r="12" spans="1:11" x14ac:dyDescent="0.25">
      <c r="A12" s="3" t="s">
        <v>36</v>
      </c>
      <c r="B12" s="4" t="str">
        <f>VLOOKUP(Table146[[#This Row],[Man. Number]],Articles!A:E,COLUMN(Articles!$D$1)-COLUMN(Articles!$A$1)+1,FALSE)</f>
        <v>Condensateur céramique multicouche CMS, 1206 [3216 Metric], 0.1 µF, 25 V, ± 10%, X7R</v>
      </c>
      <c r="D12" s="4">
        <v>2</v>
      </c>
      <c r="E12" s="4">
        <f>VLOOKUP(Table146[[#This Row],[Man. Number]],Articles!A:E,COLUMN(Articles!$E$1)-COLUMN(Articles!$A$1)+1,FALSE)</f>
        <v>92</v>
      </c>
      <c r="F12" s="4" t="str">
        <f>IF(Table146[[#This Row],[In stock]] &gt;= Table146[[#This Row],[Quantity]],"YES","NO")</f>
        <v>YES</v>
      </c>
      <c r="G12" s="4">
        <f>Table146[[#This Row],[Quantity]]*$K$1</f>
        <v>2</v>
      </c>
      <c r="H12" s="4" t="str">
        <f>IF(Table146[[#This Row],[In stock]] &gt;= Table146[[#This Row],[Total quantity]],"YES","NO")</f>
        <v>YES</v>
      </c>
    </row>
    <row r="13" spans="1:11" x14ac:dyDescent="0.25">
      <c r="A13" s="3" t="s">
        <v>246</v>
      </c>
      <c r="B13" s="4" t="str">
        <f>VLOOKUP(Table146[[#This Row],[Man. Number]],Articles!A:E,COLUMN(Articles!$D$1)-COLUMN(Articles!$A$1)+1,FALSE)</f>
        <v>RES SMD 150 OHM 1% 1/8W 0805</v>
      </c>
      <c r="D13" s="4">
        <v>1</v>
      </c>
      <c r="E13" s="4">
        <f>VLOOKUP(Table146[[#This Row],[Man. Number]],Articles!A:E,COLUMN(Articles!$E$1)-COLUMN(Articles!$A$1)+1,FALSE)</f>
        <v>99</v>
      </c>
      <c r="F13" s="4" t="str">
        <f>IF(Table146[[#This Row],[In stock]] &gt;= Table146[[#This Row],[Quantity]],"YES","NO")</f>
        <v>YES</v>
      </c>
      <c r="G13" s="4">
        <f>Table146[[#This Row],[Quantity]]*$K$1</f>
        <v>1</v>
      </c>
      <c r="H13" s="4" t="str">
        <f>IF(Table146[[#This Row],[In stock]] &gt;= Table146[[#This Row],[Total quantity]],"YES","NO")</f>
        <v>YES</v>
      </c>
    </row>
    <row r="14" spans="1:11" x14ac:dyDescent="0.25">
      <c r="A14" s="3" t="s">
        <v>250</v>
      </c>
      <c r="B14" s="4" t="str">
        <f>VLOOKUP(Table146[[#This Row],[Man. Number]],Articles!A:E,COLUMN(Articles!$D$1)-COLUMN(Articles!$A$1)+1,FALSE)</f>
        <v>RES SMD 100 OHM 1% 1/8W 0805</v>
      </c>
      <c r="D14" s="4">
        <v>1</v>
      </c>
      <c r="E14" s="4">
        <f>VLOOKUP(Table146[[#This Row],[Man. Number]],Articles!A:E,COLUMN(Articles!$E$1)-COLUMN(Articles!$A$1)+1,FALSE)</f>
        <v>99</v>
      </c>
      <c r="F14" s="4" t="str">
        <f>IF(Table146[[#This Row],[In stock]] &gt;= Table146[[#This Row],[Quantity]],"YES","NO")</f>
        <v>YES</v>
      </c>
      <c r="G14" s="4">
        <f>Table146[[#This Row],[Quantity]]*$K$1</f>
        <v>1</v>
      </c>
      <c r="H14" s="4" t="str">
        <f>IF(Table146[[#This Row],[In stock]] &gt;= Table146[[#This Row],[Total quantity]],"YES","NO")</f>
        <v>YES</v>
      </c>
    </row>
    <row r="15" spans="1:11" x14ac:dyDescent="0.25">
      <c r="A15" s="3" t="s">
        <v>325</v>
      </c>
      <c r="B15" s="4" t="str">
        <f>VLOOKUP(Table146[[#This Row],[Man. Number]],Articles!A:E,COLUMN(Articles!$D$1)-COLUMN(Articles!$A$1)+1,FALSE)</f>
        <v>PCB TempoMetter v1</v>
      </c>
      <c r="D15" s="4">
        <v>1</v>
      </c>
      <c r="E15" s="4">
        <f>VLOOKUP(Table146[[#This Row],[Man. Number]],Articles!A:E,COLUMN(Articles!$E$1)-COLUMN(Articles!$A$1)+1,FALSE)</f>
        <v>9</v>
      </c>
      <c r="F15" s="4" t="str">
        <f>IF(Table146[[#This Row],[In stock]] &gt;= Table146[[#This Row],[Quantity]],"YES","NO")</f>
        <v>YES</v>
      </c>
      <c r="G15" s="4">
        <f>Table146[[#This Row],[Quantity]]*$K$1</f>
        <v>1</v>
      </c>
      <c r="H15" s="4" t="str">
        <f>IF(Table146[[#This Row],[In stock]] &gt;= Table146[[#This Row],[Total quantity]],"YES","NO")</f>
        <v>YES</v>
      </c>
    </row>
  </sheetData>
  <conditionalFormatting sqref="F2:G1048576">
    <cfRule type="containsText" dxfId="50" priority="4" operator="containsText" text="NO">
      <formula>NOT(ISERROR(SEARCH("NO",F2)))</formula>
    </cfRule>
  </conditionalFormatting>
  <conditionalFormatting sqref="H2:H1048576">
    <cfRule type="containsText" dxfId="49" priority="3" operator="containsText" text="NO">
      <formula>NOT(ISERROR(SEARCH("NO",H2)))</formula>
    </cfRule>
  </conditionalFormatting>
  <conditionalFormatting sqref="A13:A14">
    <cfRule type="duplicateValues" dxfId="48" priority="1"/>
  </conditionalFormatting>
  <dataValidations count="1">
    <dataValidation type="whole" errorStyle="warning" operator="greaterThan" showErrorMessage="1" errorTitle="Invalid value" error="The multiplier has to be a whole number greater than 0." sqref="K1" xr:uid="{80445AC7-CDD5-46B8-B349-4ED24B24F081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1B2E-97C9-435E-A088-17F0FFAA02EF}">
  <sheetPr codeName="Sheet12"/>
  <dimension ref="A1:K2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VLOOKUP(Table146810[[#This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VLOOKUP(Table146810[[#This Row],[Man. Number]],Articles!A:E,COLUMN(Articles!$E$1)-COLUMN(Articles!$A$1)+1,FALSE)</f>
        <v>#N/A</v>
      </c>
      <c r="F2" s="4" t="e">
        <f>IF(Table146810[[#This Row],[In stock]] &gt;= Table146810[[#This Row],[Quantity]],"YES","NO")</f>
        <v>#N/A</v>
      </c>
      <c r="G2" s="4" t="e">
        <f>Table146810[[#This Row],[Quantity]]*$K$1</f>
        <v>#VALUE!</v>
      </c>
      <c r="H2" s="4" t="e">
        <f>IF(Table146810[[#This Row],[In stock]] &gt;= Table146810[[#This Row],[Total quantity]],"YES","NO")</f>
        <v>#N/A</v>
      </c>
    </row>
  </sheetData>
  <conditionalFormatting sqref="F2:H1048576">
    <cfRule type="containsText" dxfId="36" priority="1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7772D080-A72C-4963-A92C-B6657D5A24EC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FC8B-7ABF-4F44-9C58-DD0CA6E6148C}">
  <sheetPr codeName="Sheet13"/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VLOOKUP(Table146811[[#This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VLOOKUP(Table146811[[#This Row],[Man. Number]],Articles!A:E,COLUMN(Articles!$E$1)-COLUMN(Articles!$A$1)+1,FALSE)</f>
        <v>#N/A</v>
      </c>
      <c r="F2" s="4" t="e">
        <f>IF(Table146811[[#This Row],[In stock]] &gt;= Table146811[[#This Row],[Quantity]],"YES","NO")</f>
        <v>#N/A</v>
      </c>
      <c r="G2" s="4" t="e">
        <f>Table146811[[#This Row],[Quantity]]*$K$1</f>
        <v>#VALUE!</v>
      </c>
      <c r="H2" s="4" t="e">
        <f>IF(Table146811[[#This Row],[In stock]] &gt;= Table146811[[#This Row],[Total quantity]],"YES","NO")</f>
        <v>#N/A</v>
      </c>
    </row>
  </sheetData>
  <conditionalFormatting sqref="F2:H1048576">
    <cfRule type="containsText" dxfId="24" priority="1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266625BE-A37D-4F09-A010-9A6AA5DD79B9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3595-1784-431F-A71E-80AD20BDD4E8}">
  <sheetPr codeName="Sheet11"/>
  <dimension ref="A1:K2"/>
  <sheetViews>
    <sheetView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VLOOKUP(Table1468[[#This Row],[Man. Number]],Articles!A:E,COLUMN(Articles!$E$1)-COLUMN(Articles!$A$1)+1,FALSE)</f>
        <v>#N/A</v>
      </c>
      <c r="F2" s="4" t="e">
        <f>IF(Table1468[[#This Row],[In stock]] &gt;= Table1468[[#This Row],[Quantity]],"YES","NO")</f>
        <v>#N/A</v>
      </c>
      <c r="G2" s="4" t="e">
        <f>Table1468[[#This Row],[Quantity]]*$K$1</f>
        <v>#VALUE!</v>
      </c>
      <c r="H2" s="4" t="e">
        <f>IF(Table1468[[#This Row],[In stock]] &gt;= Table1468[[#This Row],[Total quantity]],"YES","NO")</f>
        <v>#N/A</v>
      </c>
    </row>
  </sheetData>
  <conditionalFormatting sqref="F2:H1048576">
    <cfRule type="containsText" dxfId="12" priority="3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15B4F726-3894-4EC9-BE49-619C8AAAFE2E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2E5D-A702-4303-A987-7B4F880F0FE4}">
  <sheetPr codeName="Sheet7">
    <tabColor rgb="FFFFC000"/>
  </sheetPr>
  <dimension ref="A1:D10"/>
  <sheetViews>
    <sheetView workbookViewId="0">
      <selection activeCell="C3" sqref="C3"/>
    </sheetView>
  </sheetViews>
  <sheetFormatPr defaultRowHeight="15" x14ac:dyDescent="0.25"/>
  <cols>
    <col min="1" max="1" width="8.28515625" bestFit="1" customWidth="1"/>
    <col min="2" max="2" width="16.28515625" bestFit="1" customWidth="1"/>
    <col min="3" max="3" width="17.5703125" bestFit="1" customWidth="1"/>
  </cols>
  <sheetData>
    <row r="1" spans="1:4" x14ac:dyDescent="0.25">
      <c r="A1" t="s">
        <v>359</v>
      </c>
      <c r="B1" t="s">
        <v>213</v>
      </c>
      <c r="C1" t="s">
        <v>464</v>
      </c>
      <c r="D1" t="s">
        <v>466</v>
      </c>
    </row>
    <row r="3" spans="1:4" s="51" customFormat="1" ht="15" customHeight="1" x14ac:dyDescent="0.35"/>
    <row r="6" spans="1:4" x14ac:dyDescent="0.25">
      <c r="A6" t="s">
        <v>209</v>
      </c>
      <c r="B6" t="s">
        <v>210</v>
      </c>
      <c r="C6" t="s">
        <v>211</v>
      </c>
    </row>
    <row r="7" spans="1:4" x14ac:dyDescent="0.25">
      <c r="A7">
        <v>0</v>
      </c>
      <c r="B7" t="s">
        <v>358</v>
      </c>
      <c r="C7" t="s">
        <v>359</v>
      </c>
    </row>
    <row r="8" spans="1:4" x14ac:dyDescent="0.25">
      <c r="A8">
        <v>1</v>
      </c>
      <c r="B8" t="s">
        <v>212</v>
      </c>
      <c r="C8" t="s">
        <v>213</v>
      </c>
    </row>
    <row r="9" spans="1:4" x14ac:dyDescent="0.25">
      <c r="A9">
        <v>2</v>
      </c>
      <c r="B9" t="s">
        <v>463</v>
      </c>
      <c r="C9" t="s">
        <v>464</v>
      </c>
    </row>
    <row r="10" spans="1:4" x14ac:dyDescent="0.25">
      <c r="A10">
        <v>3</v>
      </c>
      <c r="B10" t="s">
        <v>465</v>
      </c>
      <c r="C10" t="s">
        <v>466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591-378F-407D-9187-FF7FBFD31CE1}">
  <sheetPr codeName="Sheet8">
    <tabColor theme="4" tint="0.39997558519241921"/>
  </sheetPr>
  <dimension ref="A2:W9"/>
  <sheetViews>
    <sheetView workbookViewId="0">
      <selection activeCell="R5" sqref="R5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28515625" bestFit="1" customWidth="1"/>
    <col min="4" max="4" width="13.140625" bestFit="1" customWidth="1"/>
    <col min="5" max="5" width="8" bestFit="1" customWidth="1"/>
    <col min="6" max="6" width="11.140625" bestFit="1" customWidth="1"/>
    <col min="7" max="7" width="9.5703125" bestFit="1" customWidth="1"/>
    <col min="8" max="8" width="11.7109375" bestFit="1" customWidth="1"/>
    <col min="15" max="15" width="15.42578125" bestFit="1" customWidth="1"/>
    <col min="16" max="16" width="8.7109375" bestFit="1" customWidth="1"/>
    <col min="17" max="17" width="11.7109375" bestFit="1" customWidth="1"/>
    <col min="18" max="18" width="13.28515625" bestFit="1" customWidth="1"/>
    <col min="19" max="19" width="13.140625" bestFit="1" customWidth="1"/>
    <col min="20" max="20" width="8" bestFit="1" customWidth="1"/>
    <col min="21" max="21" width="11.140625" bestFit="1" customWidth="1"/>
    <col min="22" max="22" width="9.5703125" bestFit="1" customWidth="1"/>
    <col min="23" max="23" width="11.7109375" bestFit="1" customWidth="1"/>
  </cols>
  <sheetData>
    <row r="2" spans="1:23" x14ac:dyDescent="0.25">
      <c r="A2" s="53" t="s">
        <v>353</v>
      </c>
      <c r="B2" s="53"/>
      <c r="C2" s="53"/>
      <c r="D2" s="53"/>
      <c r="F2" s="54" t="str">
        <f>IF(ISNUMBER(C5),"","Man. Number must be set")</f>
        <v/>
      </c>
      <c r="G2" s="54"/>
      <c r="H2" s="54"/>
    </row>
    <row r="4" spans="1:23" x14ac:dyDescent="0.25">
      <c r="A4" s="16" t="s">
        <v>138</v>
      </c>
      <c r="B4" s="16" t="s">
        <v>260</v>
      </c>
      <c r="C4" s="16" t="s">
        <v>0</v>
      </c>
      <c r="D4" s="16" t="s">
        <v>6</v>
      </c>
      <c r="E4" s="16" t="s">
        <v>4</v>
      </c>
      <c r="F4" s="16" t="s">
        <v>2</v>
      </c>
      <c r="G4" s="16" t="s">
        <v>8</v>
      </c>
      <c r="H4" s="16" t="s">
        <v>259</v>
      </c>
      <c r="O4" s="15" t="s">
        <v>350</v>
      </c>
      <c r="P4" t="s">
        <v>138</v>
      </c>
      <c r="Q4" t="s">
        <v>260</v>
      </c>
      <c r="R4" t="s">
        <v>0</v>
      </c>
      <c r="S4" t="s">
        <v>6</v>
      </c>
      <c r="T4" t="s">
        <v>4</v>
      </c>
      <c r="U4" t="s">
        <v>2</v>
      </c>
      <c r="V4" t="s">
        <v>8</v>
      </c>
      <c r="W4" t="s">
        <v>259</v>
      </c>
    </row>
    <row r="5" spans="1:23" x14ac:dyDescent="0.25">
      <c r="A5" s="14">
        <v>8</v>
      </c>
      <c r="B5" s="14">
        <v>3</v>
      </c>
      <c r="C5" s="14">
        <v>1</v>
      </c>
      <c r="D5" s="14">
        <v>2</v>
      </c>
      <c r="E5" s="14" t="s">
        <v>82</v>
      </c>
      <c r="F5" s="14">
        <v>13</v>
      </c>
      <c r="G5" s="14">
        <v>9</v>
      </c>
      <c r="H5" s="14">
        <v>2</v>
      </c>
      <c r="O5" s="8"/>
      <c r="P5" s="8">
        <v>2</v>
      </c>
      <c r="Q5" s="8">
        <v>3</v>
      </c>
      <c r="R5" s="8">
        <v>4</v>
      </c>
      <c r="S5" s="8" t="s">
        <v>258</v>
      </c>
      <c r="T5" s="8" t="s">
        <v>82</v>
      </c>
      <c r="U5" s="8">
        <v>5</v>
      </c>
      <c r="V5" s="8">
        <v>8</v>
      </c>
      <c r="W5" s="8">
        <v>2</v>
      </c>
    </row>
    <row r="8" spans="1:23" x14ac:dyDescent="0.25">
      <c r="O8" s="15" t="s">
        <v>484</v>
      </c>
      <c r="P8" t="s">
        <v>138</v>
      </c>
      <c r="Q8" t="s">
        <v>260</v>
      </c>
      <c r="R8" t="s">
        <v>0</v>
      </c>
      <c r="S8" t="s">
        <v>6</v>
      </c>
      <c r="T8" t="s">
        <v>4</v>
      </c>
      <c r="U8" t="s">
        <v>2</v>
      </c>
      <c r="V8" t="s">
        <v>8</v>
      </c>
      <c r="W8" t="s">
        <v>259</v>
      </c>
    </row>
    <row r="9" spans="1:23" x14ac:dyDescent="0.25">
      <c r="O9" s="22"/>
      <c r="P9" s="22">
        <v>8</v>
      </c>
      <c r="Q9" s="22">
        <v>3</v>
      </c>
      <c r="R9" s="22">
        <v>1</v>
      </c>
      <c r="S9" s="22">
        <v>2</v>
      </c>
      <c r="T9" s="22" t="s">
        <v>82</v>
      </c>
      <c r="U9" s="22">
        <v>13</v>
      </c>
      <c r="V9" s="22">
        <v>9</v>
      </c>
      <c r="W9" s="22">
        <v>2</v>
      </c>
    </row>
  </sheetData>
  <mergeCells count="2">
    <mergeCell ref="A2:D2"/>
    <mergeCell ref="F2:H2"/>
  </mergeCells>
  <conditionalFormatting sqref="F2:H2">
    <cfRule type="cellIs" dxfId="0" priority="1" operator="notEqual">
      <formula>""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btn_AddOrder">
                <anchor moveWithCells="1" siz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92D-24B8-4F04-8E94-C803D99A7FB6}">
  <sheetPr codeName="Sheet10">
    <tabColor rgb="FFFF0000"/>
  </sheetPr>
  <dimension ref="A1:Q12"/>
  <sheetViews>
    <sheetView workbookViewId="0">
      <selection activeCell="G33" sqref="G33"/>
    </sheetView>
  </sheetViews>
  <sheetFormatPr defaultColWidth="20.7109375" defaultRowHeight="15" x14ac:dyDescent="0.25"/>
  <cols>
    <col min="1" max="16384" width="20.7109375" style="17"/>
  </cols>
  <sheetData>
    <row r="1" spans="1:17" x14ac:dyDescent="0.25">
      <c r="A1" t="s">
        <v>524</v>
      </c>
      <c r="B1" s="17" t="s">
        <v>6</v>
      </c>
      <c r="C1" s="17" t="s">
        <v>525</v>
      </c>
      <c r="D1" s="17" t="s">
        <v>526</v>
      </c>
      <c r="E1" s="17" t="s">
        <v>527</v>
      </c>
      <c r="F1" s="17" t="s">
        <v>528</v>
      </c>
      <c r="G1" s="17" t="s">
        <v>529</v>
      </c>
      <c r="H1" s="17" t="s">
        <v>138</v>
      </c>
      <c r="I1" s="17" t="s">
        <v>530</v>
      </c>
      <c r="J1" s="17" t="s">
        <v>531</v>
      </c>
      <c r="K1" s="17" t="s">
        <v>532</v>
      </c>
      <c r="L1" s="17" t="s">
        <v>533</v>
      </c>
      <c r="M1" s="17" t="s">
        <v>2</v>
      </c>
      <c r="N1" s="17" t="s">
        <v>534</v>
      </c>
      <c r="O1" s="17" t="s">
        <v>535</v>
      </c>
      <c r="P1" s="17" t="s">
        <v>536</v>
      </c>
      <c r="Q1" s="17" t="s">
        <v>537</v>
      </c>
    </row>
    <row r="2" spans="1:17" x14ac:dyDescent="0.25">
      <c r="A2" s="17" t="s">
        <v>215</v>
      </c>
      <c r="B2" s="17" t="s">
        <v>80</v>
      </c>
      <c r="C2" s="17" t="s">
        <v>220</v>
      </c>
      <c r="D2" s="17" t="s">
        <v>538</v>
      </c>
      <c r="E2" s="17" t="s">
        <v>538</v>
      </c>
      <c r="F2" s="17" t="s">
        <v>539</v>
      </c>
      <c r="G2" s="17" t="s">
        <v>540</v>
      </c>
      <c r="H2" s="17">
        <v>1</v>
      </c>
      <c r="I2" s="17">
        <v>0.92</v>
      </c>
      <c r="J2" s="17" t="s">
        <v>541</v>
      </c>
      <c r="K2" s="17">
        <v>1415</v>
      </c>
      <c r="L2" s="17" t="s">
        <v>542</v>
      </c>
      <c r="M2" s="17" t="s">
        <v>214</v>
      </c>
      <c r="N2" s="17" t="s">
        <v>543</v>
      </c>
      <c r="O2" s="17" t="s">
        <v>544</v>
      </c>
      <c r="P2" s="17" t="s">
        <v>545</v>
      </c>
      <c r="Q2" s="17" t="s">
        <v>538</v>
      </c>
    </row>
    <row r="3" spans="1:17" x14ac:dyDescent="0.25">
      <c r="A3" s="17" t="s">
        <v>216</v>
      </c>
      <c r="B3" s="17" t="s">
        <v>219</v>
      </c>
      <c r="C3" s="17" t="s">
        <v>218</v>
      </c>
      <c r="D3" s="17" t="s">
        <v>538</v>
      </c>
      <c r="E3" s="17" t="s">
        <v>538</v>
      </c>
      <c r="F3" s="17" t="s">
        <v>546</v>
      </c>
      <c r="G3" s="17" t="s">
        <v>540</v>
      </c>
      <c r="H3" s="17">
        <v>1</v>
      </c>
      <c r="I3" s="17">
        <v>2.64</v>
      </c>
      <c r="J3" s="17" t="s">
        <v>547</v>
      </c>
      <c r="K3" s="17">
        <v>53700</v>
      </c>
      <c r="L3" s="17" t="s">
        <v>548</v>
      </c>
      <c r="M3" s="17" t="s">
        <v>217</v>
      </c>
      <c r="N3" s="17" t="s">
        <v>543</v>
      </c>
      <c r="O3" s="17" t="s">
        <v>544</v>
      </c>
      <c r="P3" s="17" t="s">
        <v>545</v>
      </c>
      <c r="Q3" s="17" t="s">
        <v>538</v>
      </c>
    </row>
    <row r="4" spans="1:17" x14ac:dyDescent="0.25">
      <c r="A4" s="17" t="s">
        <v>221</v>
      </c>
      <c r="B4" s="17" t="s">
        <v>80</v>
      </c>
      <c r="C4" s="17" t="s">
        <v>223</v>
      </c>
      <c r="D4" s="17" t="s">
        <v>538</v>
      </c>
      <c r="E4" s="17" t="s">
        <v>538</v>
      </c>
      <c r="F4" s="17" t="s">
        <v>546</v>
      </c>
      <c r="G4" s="17" t="s">
        <v>540</v>
      </c>
      <c r="H4" s="17">
        <v>1</v>
      </c>
      <c r="I4" s="17">
        <v>0.11</v>
      </c>
      <c r="J4" s="17" t="s">
        <v>549</v>
      </c>
      <c r="K4" s="17">
        <v>8089</v>
      </c>
      <c r="L4" s="17" t="s">
        <v>542</v>
      </c>
      <c r="M4" s="17" t="s">
        <v>222</v>
      </c>
      <c r="N4" s="17" t="s">
        <v>543</v>
      </c>
      <c r="O4" s="17" t="s">
        <v>544</v>
      </c>
      <c r="P4" s="17" t="s">
        <v>550</v>
      </c>
      <c r="Q4" s="17" t="s">
        <v>538</v>
      </c>
    </row>
    <row r="5" spans="1:17" x14ac:dyDescent="0.25">
      <c r="A5" s="17" t="s">
        <v>225</v>
      </c>
      <c r="B5" s="17" t="s">
        <v>226</v>
      </c>
      <c r="C5" s="17" t="s">
        <v>224</v>
      </c>
      <c r="D5" s="17" t="s">
        <v>538</v>
      </c>
      <c r="E5" s="17" t="s">
        <v>538</v>
      </c>
      <c r="F5" s="17" t="s">
        <v>546</v>
      </c>
      <c r="G5" s="17" t="s">
        <v>540</v>
      </c>
      <c r="H5" s="17">
        <v>1</v>
      </c>
      <c r="I5" s="17">
        <v>1.48</v>
      </c>
      <c r="J5" s="17" t="s">
        <v>551</v>
      </c>
      <c r="K5" s="17">
        <v>124986</v>
      </c>
      <c r="L5" s="17" t="s">
        <v>552</v>
      </c>
      <c r="M5" s="17" t="s">
        <v>227</v>
      </c>
      <c r="N5" s="17" t="s">
        <v>543</v>
      </c>
      <c r="O5" s="17" t="s">
        <v>544</v>
      </c>
      <c r="P5" s="17" t="s">
        <v>545</v>
      </c>
      <c r="Q5" s="17" t="s">
        <v>553</v>
      </c>
    </row>
    <row r="6" spans="1:17" x14ac:dyDescent="0.25">
      <c r="A6" s="17" t="s">
        <v>229</v>
      </c>
      <c r="B6" s="17" t="s">
        <v>160</v>
      </c>
      <c r="C6" s="17" t="s">
        <v>228</v>
      </c>
      <c r="D6" s="17" t="s">
        <v>538</v>
      </c>
      <c r="E6" s="17" t="s">
        <v>538</v>
      </c>
      <c r="F6" s="17" t="s">
        <v>546</v>
      </c>
      <c r="G6" s="17" t="s">
        <v>540</v>
      </c>
      <c r="H6" s="17">
        <v>1</v>
      </c>
      <c r="I6" s="17">
        <v>0.14000000000000001</v>
      </c>
      <c r="J6" s="17" t="s">
        <v>554</v>
      </c>
      <c r="K6" s="17">
        <v>164094</v>
      </c>
      <c r="L6" s="17" t="s">
        <v>555</v>
      </c>
      <c r="M6" s="17" t="s">
        <v>230</v>
      </c>
      <c r="N6" s="17" t="s">
        <v>543</v>
      </c>
      <c r="O6" s="17" t="s">
        <v>544</v>
      </c>
      <c r="P6" s="17" t="s">
        <v>545</v>
      </c>
      <c r="Q6" s="17" t="s">
        <v>553</v>
      </c>
    </row>
    <row r="7" spans="1:17" x14ac:dyDescent="0.25">
      <c r="A7" s="17" t="s">
        <v>231</v>
      </c>
      <c r="B7" s="17" t="s">
        <v>161</v>
      </c>
      <c r="C7" s="17" t="s">
        <v>556</v>
      </c>
      <c r="D7" s="17" t="s">
        <v>538</v>
      </c>
      <c r="E7" s="17" t="s">
        <v>538</v>
      </c>
      <c r="F7" s="17" t="s">
        <v>546</v>
      </c>
      <c r="G7" s="17" t="s">
        <v>540</v>
      </c>
      <c r="H7" s="17">
        <v>1</v>
      </c>
      <c r="I7" s="17">
        <v>0.52</v>
      </c>
      <c r="J7" s="17" t="s">
        <v>557</v>
      </c>
      <c r="K7" s="17">
        <v>80524</v>
      </c>
      <c r="L7" s="17" t="s">
        <v>542</v>
      </c>
      <c r="M7" s="17" t="s">
        <v>232</v>
      </c>
      <c r="N7" s="17" t="s">
        <v>543</v>
      </c>
      <c r="O7" s="17" t="s">
        <v>544</v>
      </c>
      <c r="P7" s="17" t="s">
        <v>550</v>
      </c>
      <c r="Q7" s="17" t="s">
        <v>538</v>
      </c>
    </row>
    <row r="8" spans="1:17" x14ac:dyDescent="0.25">
      <c r="A8" s="17" t="s">
        <v>234</v>
      </c>
      <c r="B8" s="17" t="s">
        <v>235</v>
      </c>
      <c r="C8" s="17" t="s">
        <v>233</v>
      </c>
      <c r="D8" s="17" t="s">
        <v>538</v>
      </c>
      <c r="E8" s="17" t="s">
        <v>538</v>
      </c>
      <c r="F8" s="17" t="s">
        <v>539</v>
      </c>
      <c r="G8" s="17" t="s">
        <v>540</v>
      </c>
      <c r="H8" s="17">
        <v>1</v>
      </c>
      <c r="I8" s="17">
        <v>1.42</v>
      </c>
      <c r="J8" s="17" t="s">
        <v>558</v>
      </c>
      <c r="K8" s="17">
        <v>3005</v>
      </c>
      <c r="L8" s="17" t="s">
        <v>559</v>
      </c>
      <c r="M8" s="17" t="s">
        <v>236</v>
      </c>
      <c r="N8" s="17" t="s">
        <v>543</v>
      </c>
      <c r="O8" s="17" t="s">
        <v>544</v>
      </c>
      <c r="P8" s="17" t="s">
        <v>545</v>
      </c>
      <c r="Q8" s="17" t="s">
        <v>538</v>
      </c>
    </row>
    <row r="9" spans="1:17" x14ac:dyDescent="0.25">
      <c r="A9" s="17" t="s">
        <v>238</v>
      </c>
      <c r="B9" s="17" t="s">
        <v>239</v>
      </c>
      <c r="C9" s="17" t="s">
        <v>237</v>
      </c>
      <c r="D9" s="17" t="s">
        <v>538</v>
      </c>
      <c r="E9" s="17" t="s">
        <v>538</v>
      </c>
      <c r="F9" s="17" t="s">
        <v>539</v>
      </c>
      <c r="G9" s="17" t="s">
        <v>540</v>
      </c>
      <c r="H9" s="17">
        <v>1</v>
      </c>
      <c r="I9" s="17">
        <v>0.85</v>
      </c>
      <c r="J9" s="17" t="s">
        <v>560</v>
      </c>
      <c r="K9" s="17">
        <v>13626</v>
      </c>
      <c r="L9" s="17" t="s">
        <v>561</v>
      </c>
      <c r="M9" s="17" t="s">
        <v>240</v>
      </c>
      <c r="N9" s="17" t="s">
        <v>543</v>
      </c>
      <c r="O9" s="17" t="s">
        <v>544</v>
      </c>
      <c r="P9" s="17" t="s">
        <v>550</v>
      </c>
      <c r="Q9" s="17" t="s">
        <v>538</v>
      </c>
    </row>
    <row r="10" spans="1:17" x14ac:dyDescent="0.25">
      <c r="A10" s="17" t="s">
        <v>242</v>
      </c>
      <c r="B10" s="17" t="s">
        <v>243</v>
      </c>
      <c r="C10" s="17" t="s">
        <v>241</v>
      </c>
      <c r="D10" s="17" t="s">
        <v>538</v>
      </c>
      <c r="E10" s="17" t="s">
        <v>538</v>
      </c>
      <c r="F10" s="17" t="s">
        <v>546</v>
      </c>
      <c r="G10" s="17" t="s">
        <v>540</v>
      </c>
      <c r="H10" s="17">
        <v>3</v>
      </c>
      <c r="I10" s="17">
        <v>0.32</v>
      </c>
      <c r="J10" s="17" t="s">
        <v>562</v>
      </c>
      <c r="K10" s="17">
        <v>84424</v>
      </c>
      <c r="L10" s="17" t="s">
        <v>550</v>
      </c>
      <c r="M10" s="17" t="s">
        <v>244</v>
      </c>
      <c r="N10" s="17" t="s">
        <v>543</v>
      </c>
      <c r="O10" s="17" t="s">
        <v>544</v>
      </c>
      <c r="P10" s="17" t="s">
        <v>545</v>
      </c>
      <c r="Q10" s="17" t="s">
        <v>563</v>
      </c>
    </row>
    <row r="11" spans="1:17" x14ac:dyDescent="0.25">
      <c r="A11" s="17" t="s">
        <v>250</v>
      </c>
      <c r="B11" s="17" t="s">
        <v>251</v>
      </c>
      <c r="C11" s="17" t="s">
        <v>249</v>
      </c>
      <c r="D11" s="17" t="s">
        <v>538</v>
      </c>
      <c r="E11" s="17" t="s">
        <v>538</v>
      </c>
      <c r="F11" s="17" t="s">
        <v>546</v>
      </c>
      <c r="G11" s="17" t="s">
        <v>540</v>
      </c>
      <c r="H11" s="17">
        <v>1</v>
      </c>
      <c r="I11" s="17">
        <v>0.1</v>
      </c>
      <c r="J11" s="17" t="s">
        <v>564</v>
      </c>
      <c r="K11" s="17">
        <v>525437</v>
      </c>
      <c r="L11" s="17" t="s">
        <v>550</v>
      </c>
      <c r="M11" s="17" t="s">
        <v>252</v>
      </c>
      <c r="N11" s="17" t="s">
        <v>543</v>
      </c>
      <c r="O11" s="17" t="s">
        <v>544</v>
      </c>
      <c r="P11" s="17" t="s">
        <v>550</v>
      </c>
      <c r="Q11" s="17" t="s">
        <v>563</v>
      </c>
    </row>
    <row r="12" spans="1:17" x14ac:dyDescent="0.25">
      <c r="A12" s="17" t="s">
        <v>246</v>
      </c>
      <c r="B12" s="17" t="s">
        <v>247</v>
      </c>
      <c r="C12" s="17" t="s">
        <v>245</v>
      </c>
      <c r="D12" s="17" t="s">
        <v>538</v>
      </c>
      <c r="E12" s="17" t="s">
        <v>538</v>
      </c>
      <c r="F12" s="17" t="s">
        <v>546</v>
      </c>
      <c r="G12" s="17" t="s">
        <v>540</v>
      </c>
      <c r="H12" s="17">
        <v>1</v>
      </c>
      <c r="I12" s="17">
        <v>0.1</v>
      </c>
      <c r="J12" s="17" t="s">
        <v>564</v>
      </c>
      <c r="K12" s="17">
        <v>170269</v>
      </c>
      <c r="L12" s="17" t="s">
        <v>565</v>
      </c>
      <c r="M12" s="17" t="s">
        <v>248</v>
      </c>
      <c r="N12" s="17" t="s">
        <v>543</v>
      </c>
      <c r="O12" s="17" t="s">
        <v>544</v>
      </c>
      <c r="P12" s="17" t="s">
        <v>545</v>
      </c>
      <c r="Q12" s="17" t="s">
        <v>553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StockHistory</vt:lpstr>
      <vt:lpstr>Articles</vt:lpstr>
      <vt:lpstr>Main</vt:lpstr>
      <vt:lpstr>Articles_commandes</vt:lpstr>
      <vt:lpstr>Commands</vt:lpstr>
      <vt:lpstr>LampeSolaire_v4</vt:lpstr>
      <vt:lpstr>TempoMetter_v1</vt:lpstr>
      <vt:lpstr>USB_Tool_v1</vt:lpstr>
      <vt:lpstr>RF_Transceiver_v1</vt:lpstr>
      <vt:lpstr>ProductTemplate</vt:lpstr>
      <vt:lpstr>ProductConfig</vt:lpstr>
      <vt:lpstr>OrderAdder</vt:lpstr>
      <vt:lpstr>OrderAdder_work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Esseiva Nicolas</dc:creator>
  <cp:lastModifiedBy>Esseiva Nicolas</cp:lastModifiedBy>
  <cp:lastPrinted>2019-04-19T15:54:30Z</cp:lastPrinted>
  <dcterms:created xsi:type="dcterms:W3CDTF">2018-08-18T11:04:50Z</dcterms:created>
  <dcterms:modified xsi:type="dcterms:W3CDTF">2019-04-19T23:33:24Z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77c9cfae-5108-421e-8a75-a52cefa67c63</vt:lpwstr>
  </property>
</Properties>
</file>