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kak\OneDrive\Рабочий стол\SMAD\"/>
    </mc:Choice>
  </mc:AlternateContent>
  <bookViews>
    <workbookView xWindow="1872" yWindow="0" windowWidth="22092" windowHeight="9972"/>
  </bookViews>
  <sheets>
    <sheet name="Лист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4" i="1" l="1"/>
  <c r="B138" i="1"/>
  <c r="B147" i="1"/>
  <c r="D125" i="1"/>
  <c r="D130" i="1" s="1"/>
  <c r="D131" i="1" s="1"/>
  <c r="C125" i="1"/>
  <c r="C130" i="1" s="1"/>
  <c r="C131" i="1" s="1"/>
  <c r="B104" i="1"/>
  <c r="B99" i="1"/>
  <c r="C92" i="1"/>
  <c r="B130" i="1"/>
  <c r="B131" i="1" s="1"/>
  <c r="E125" i="1"/>
  <c r="E130" i="1" s="1"/>
  <c r="E131" i="1" s="1"/>
  <c r="E132" i="1" s="1"/>
  <c r="F125" i="1"/>
  <c r="F130" i="1" s="1"/>
  <c r="F131" i="1" s="1"/>
  <c r="F132" i="1" s="1"/>
  <c r="G125" i="1"/>
  <c r="G130" i="1" s="1"/>
  <c r="G131" i="1" s="1"/>
  <c r="G132" i="1" s="1"/>
  <c r="B137" i="1"/>
  <c r="B140" i="1" l="1"/>
  <c r="D140" i="1" s="1"/>
  <c r="B135" i="1" s="1"/>
  <c r="B155" i="1"/>
  <c r="B107" i="1"/>
  <c r="C90" i="1"/>
  <c r="C102" i="1" s="1"/>
  <c r="B90" i="1"/>
  <c r="B65" i="1"/>
  <c r="C72" i="1"/>
  <c r="C68" i="1"/>
  <c r="C66" i="1"/>
  <c r="C65" i="1"/>
  <c r="C59" i="1"/>
  <c r="B68" i="1"/>
  <c r="B72" i="1"/>
  <c r="B59" i="1"/>
  <c r="B159" i="1" l="1"/>
  <c r="B154" i="1"/>
  <c r="B139" i="1"/>
  <c r="D139" i="1" s="1"/>
  <c r="B136" i="1" s="1"/>
  <c r="B143" i="1" s="1"/>
  <c r="B102" i="1"/>
  <c r="B109" i="1" s="1"/>
  <c r="B111" i="1" s="1"/>
  <c r="B113" i="1" s="1"/>
  <c r="B153" i="1"/>
  <c r="C70" i="1"/>
  <c r="C74" i="1"/>
  <c r="B40" i="1"/>
  <c r="B42" i="1" s="1"/>
  <c r="B149" i="1" l="1"/>
  <c r="B148" i="1"/>
  <c r="B150" i="1" s="1"/>
  <c r="B171" i="1" s="1"/>
  <c r="B172" i="1" s="1"/>
  <c r="B161" i="1"/>
  <c r="B160" i="1"/>
  <c r="B164" i="1" s="1"/>
  <c r="B166" i="1" s="1"/>
  <c r="C76" i="1"/>
  <c r="C78" i="1" s="1"/>
  <c r="B66" i="1"/>
  <c r="B74" i="1" s="1"/>
  <c r="B70" i="1"/>
  <c r="B28" i="1"/>
  <c r="B51" i="1" s="1"/>
  <c r="B36" i="1"/>
  <c r="B26" i="1"/>
  <c r="B38" i="1" s="1"/>
  <c r="B173" i="1" l="1"/>
  <c r="B174" i="1" s="1"/>
  <c r="B167" i="1"/>
  <c r="B168" i="1" s="1"/>
  <c r="B76" i="1"/>
  <c r="B78" i="1" s="1"/>
  <c r="B44" i="1"/>
  <c r="B46" i="1" s="1"/>
  <c r="B20" i="1"/>
  <c r="B21" i="1" s="1"/>
  <c r="B16" i="1"/>
  <c r="B17" i="1"/>
  <c r="B11" i="1"/>
  <c r="B10" i="1"/>
  <c r="B19" i="1" l="1"/>
</calcChain>
</file>

<file path=xl/comments1.xml><?xml version="1.0" encoding="utf-8"?>
<comments xmlns="http://schemas.openxmlformats.org/spreadsheetml/2006/main">
  <authors>
    <author>Victoria Krivova</author>
  </authors>
  <commentList>
    <comment ref="B100" authorId="0" shapeId="0">
      <text>
        <r>
          <rPr>
            <b/>
            <sz val="9"/>
            <color indexed="81"/>
            <rFont val="Tahoma"/>
            <family val="2"/>
            <charset val="204"/>
          </rPr>
          <t>Victoria Krivova:</t>
        </r>
        <r>
          <rPr>
            <sz val="9"/>
            <color indexed="81"/>
            <rFont val="Tahoma"/>
            <family val="2"/>
            <charset val="204"/>
          </rPr>
          <t xml:space="preserve">
Omnidirectional</t>
        </r>
      </text>
    </comment>
    <comment ref="E132" authorId="0" shapeId="0">
      <text>
        <r>
          <rPr>
            <b/>
            <sz val="9"/>
            <color indexed="81"/>
            <rFont val="Tahoma"/>
            <family val="2"/>
            <charset val="204"/>
          </rPr>
          <t>Victoria Krivova:</t>
        </r>
        <r>
          <rPr>
            <sz val="9"/>
            <color indexed="81"/>
            <rFont val="Tahoma"/>
            <family val="2"/>
            <charset val="204"/>
          </rPr>
          <t xml:space="preserve">
400 seconds is a maximum time in contact with ground stations</t>
        </r>
      </text>
    </comment>
    <comment ref="F132" authorId="0" shapeId="0">
      <text>
        <r>
          <rPr>
            <b/>
            <sz val="9"/>
            <color indexed="81"/>
            <rFont val="Tahoma"/>
            <family val="2"/>
            <charset val="204"/>
          </rPr>
          <t xml:space="preserve">Victoria Krivova:
</t>
        </r>
        <r>
          <rPr>
            <sz val="9"/>
            <color indexed="81"/>
            <rFont val="Tahoma"/>
            <family val="2"/>
            <charset val="204"/>
          </rPr>
          <t>Well, kinda weird way to average the value: max 7 minutes for observations followed by 60 minutes of data processing and it happens once per 10 hours</t>
        </r>
      </text>
    </comment>
    <comment ref="B135" authorId="0" shapeId="0">
      <text>
        <r>
          <rPr>
            <b/>
            <sz val="9"/>
            <color indexed="81"/>
            <rFont val="Tahoma"/>
            <family val="2"/>
            <charset val="204"/>
          </rPr>
          <t>Victoria Krivova:</t>
        </r>
        <r>
          <rPr>
            <sz val="9"/>
            <color indexed="81"/>
            <rFont val="Tahoma"/>
            <family val="2"/>
            <charset val="204"/>
          </rPr>
          <t xml:space="preserve">
Another weird way to find something mean</t>
        </r>
      </text>
    </comment>
    <comment ref="B137" authorId="0" shapeId="0">
      <text>
        <r>
          <rPr>
            <b/>
            <sz val="9"/>
            <color indexed="81"/>
            <rFont val="Tahoma"/>
            <family val="2"/>
            <charset val="204"/>
          </rPr>
          <t>Victoria Krivova:</t>
        </r>
        <r>
          <rPr>
            <sz val="9"/>
            <color indexed="81"/>
            <rFont val="Tahoma"/>
            <family val="2"/>
            <charset val="204"/>
          </rPr>
          <t xml:space="preserve">
2*pi*a^(3/2)/mu^(1/2)</t>
        </r>
      </text>
    </comment>
    <comment ref="B140" authorId="0" shapeId="0">
      <text>
        <r>
          <rPr>
            <b/>
            <sz val="9"/>
            <color indexed="81"/>
            <rFont val="Tahoma"/>
            <family val="2"/>
            <charset val="204"/>
          </rPr>
          <t>Victoria Krivova:</t>
        </r>
        <r>
          <rPr>
            <sz val="9"/>
            <color indexed="81"/>
            <rFont val="Tahoma"/>
            <family val="2"/>
            <charset val="204"/>
          </rPr>
          <t xml:space="preserve">
2*Angle/360 * To</t>
        </r>
      </text>
    </comment>
    <comment ref="B147" authorId="0" shapeId="0">
      <text>
        <r>
          <rPr>
            <b/>
            <sz val="9"/>
            <color indexed="81"/>
            <rFont val="Tahoma"/>
            <family val="2"/>
            <charset val="204"/>
          </rPr>
          <t>Victoria Krivova:
Eff(BOL)*(1-Dyr)^Nyr</t>
        </r>
      </text>
    </comment>
    <comment ref="B148" authorId="0" shapeId="0">
      <text>
        <r>
          <rPr>
            <b/>
            <sz val="9"/>
            <color indexed="81"/>
            <rFont val="Tahoma"/>
            <family val="2"/>
            <charset val="204"/>
          </rPr>
          <t>Victoria Krivova:</t>
        </r>
        <r>
          <rPr>
            <sz val="9"/>
            <color indexed="81"/>
            <rFont val="Tahoma"/>
            <family val="2"/>
            <charset val="204"/>
          </rPr>
          <t xml:space="preserve">
Power/(Eff(BOL)*Flux)</t>
        </r>
      </text>
    </comment>
    <comment ref="E148" authorId="0" shapeId="0">
      <text>
        <r>
          <rPr>
            <b/>
            <sz val="9"/>
            <color indexed="81"/>
            <rFont val="Tahoma"/>
            <family val="2"/>
            <charset val="204"/>
          </rPr>
          <t>Victoria Krivova:</t>
        </r>
        <r>
          <rPr>
            <sz val="9"/>
            <color indexed="81"/>
            <rFont val="Tahoma"/>
            <family val="2"/>
            <charset val="204"/>
          </rPr>
          <t xml:space="preserve">
Taken from the lecture</t>
        </r>
      </text>
    </comment>
    <comment ref="B149" authorId="0" shapeId="0">
      <text>
        <r>
          <rPr>
            <b/>
            <sz val="9"/>
            <color indexed="81"/>
            <rFont val="Tahoma"/>
            <family val="2"/>
            <charset val="204"/>
          </rPr>
          <t>Victoria Krivova:</t>
        </r>
        <r>
          <rPr>
            <sz val="9"/>
            <color indexed="81"/>
            <rFont val="Tahoma"/>
            <family val="2"/>
            <charset val="204"/>
          </rPr>
          <t xml:space="preserve">
Power/(EOL(eff)*Flux)
</t>
        </r>
      </text>
    </comment>
    <comment ref="B150" authorId="0" shapeId="0">
      <text>
        <r>
          <rPr>
            <b/>
            <sz val="9"/>
            <color indexed="81"/>
            <rFont val="Tahoma"/>
            <family val="2"/>
            <charset val="204"/>
          </rPr>
          <t>Victoria Krivova:</t>
        </r>
        <r>
          <rPr>
            <sz val="9"/>
            <color indexed="81"/>
            <rFont val="Tahoma"/>
            <family val="2"/>
            <charset val="204"/>
          </rPr>
          <t xml:space="preserve">
Cosine losses are introduced by BOL effective area over cosine of pi/4</t>
        </r>
      </text>
    </comment>
    <comment ref="B159" authorId="0" shapeId="0">
      <text>
        <r>
          <rPr>
            <b/>
            <sz val="9"/>
            <color indexed="81"/>
            <rFont val="Tahoma"/>
            <family val="2"/>
            <charset val="204"/>
          </rPr>
          <t>Victoria Krivova:</t>
        </r>
        <r>
          <rPr>
            <sz val="9"/>
            <color indexed="81"/>
            <rFont val="Tahoma"/>
            <family val="2"/>
            <charset val="204"/>
          </rPr>
          <t xml:space="preserve">
Pe*Te/DoD
</t>
        </r>
      </text>
    </comment>
    <comment ref="B160" authorId="0" shapeId="0">
      <text>
        <r>
          <rPr>
            <b/>
            <sz val="9"/>
            <color indexed="81"/>
            <rFont val="Tahoma"/>
            <family val="2"/>
            <charset val="204"/>
          </rPr>
          <t>Victoria Krivova:</t>
        </r>
        <r>
          <rPr>
            <sz val="9"/>
            <color indexed="81"/>
            <rFont val="Tahoma"/>
            <family val="2"/>
            <charset val="204"/>
          </rPr>
          <t xml:space="preserve">
Min batery capacity over (1-expected degradation)</t>
        </r>
      </text>
    </comment>
    <comment ref="B165" authorId="0" shapeId="0">
      <text>
        <r>
          <rPr>
            <b/>
            <sz val="9"/>
            <color indexed="81"/>
            <rFont val="Tahoma"/>
            <family val="2"/>
            <charset val="204"/>
          </rPr>
          <t>Victoria Krivova:</t>
        </r>
        <r>
          <rPr>
            <sz val="9"/>
            <color indexed="81"/>
            <rFont val="Tahoma"/>
            <family val="2"/>
            <charset val="204"/>
          </rPr>
          <t xml:space="preserve">
Taken from SMAD</t>
        </r>
      </text>
    </comment>
  </commentList>
</comments>
</file>

<file path=xl/sharedStrings.xml><?xml version="1.0" encoding="utf-8"?>
<sst xmlns="http://schemas.openxmlformats.org/spreadsheetml/2006/main" count="229" uniqueCount="157">
  <si>
    <t>fmax, GHz</t>
  </si>
  <si>
    <t>fmin, GHz</t>
  </si>
  <si>
    <t>L-bandwidth corresponds to frequencies of 1-2 GHz</t>
  </si>
  <si>
    <t>Typical ratio of C/λ for a helix antenna lies between 0.8 and 1.2. For rough estimation, let us consider C/λ ≈ 1. Thus, C ≈ λ ≈ (15 - 30 cm)</t>
  </si>
  <si>
    <t>Cmax, m</t>
  </si>
  <si>
    <t>Cmin, m</t>
  </si>
  <si>
    <t>Now we can estimate the diameter of the helix via D = C/π</t>
  </si>
  <si>
    <t>Dmax, m</t>
  </si>
  <si>
    <t>Dmin, m</t>
  </si>
  <si>
    <t>(C - circumference of a helix)</t>
  </si>
  <si>
    <t>Typical max gain lies between 5 and 20 dBi for this type of the antenna. Let us make rough estimations of the length of the antenna from</t>
  </si>
  <si>
    <t>Gmax1, dBi</t>
  </si>
  <si>
    <t>Gmax2, dBi</t>
  </si>
  <si>
    <t>Lmax, m</t>
  </si>
  <si>
    <t>Lmin, m</t>
  </si>
  <si>
    <t>Gmax = 10.3 + 10*lg(C**2 * L / λ ** 3) = [since C ≈ λ] = 10.3 + 10*lg(L/C) =&gt; L = C * 10 ** ((Gmax - 10.3) / 10)</t>
  </si>
  <si>
    <t>Let us choose some average values:</t>
  </si>
  <si>
    <t>D, m</t>
  </si>
  <si>
    <t>G, dBi</t>
  </si>
  <si>
    <t>L, m</t>
  </si>
  <si>
    <t>Problem 1. The formulas and typical values are taken from SMAD.</t>
  </si>
  <si>
    <t>Problem 2.</t>
  </si>
  <si>
    <t>r, km</t>
  </si>
  <si>
    <t>Pt, W</t>
  </si>
  <si>
    <t>f, GHz</t>
  </si>
  <si>
    <t>fs, baud</t>
  </si>
  <si>
    <t>Given:</t>
  </si>
  <si>
    <t>Pt, dBW</t>
  </si>
  <si>
    <t>Tx line loss, dB</t>
  </si>
  <si>
    <t>Ls, dB</t>
  </si>
  <si>
    <t>Since the antennas are omnidirectional:</t>
  </si>
  <si>
    <t>EIRP, dBW</t>
  </si>
  <si>
    <t>fs, bps</t>
  </si>
  <si>
    <t>Problem 3.</t>
  </si>
  <si>
    <t>Dt, m</t>
  </si>
  <si>
    <t>Dr, m</t>
  </si>
  <si>
    <t>η (parabolic antenna efficiency)</t>
  </si>
  <si>
    <t>Gt, dBi</t>
  </si>
  <si>
    <t>Gr, dBi</t>
  </si>
  <si>
    <t>Rx line loss, dB</t>
  </si>
  <si>
    <t>Ts, dBK</t>
  </si>
  <si>
    <t>G/T, dB/K</t>
  </si>
  <si>
    <t>C/N0, dBHz</t>
  </si>
  <si>
    <t>Eb/N0, dB</t>
  </si>
  <si>
    <t>Required Eb/N0, dB</t>
  </si>
  <si>
    <t>fb, bps</t>
  </si>
  <si>
    <t>Free-space loss can be found via the formula: Ls = 92.45 + 20lg(r) + 20*lg(f)</t>
  </si>
  <si>
    <t>Equivalent isotropic radiated power (EIRP) = power (trasmitter) + gain (transmitter) - loss (output) - loss (antenna of the transmitter)</t>
  </si>
  <si>
    <t>Effective system noise temperature is given in the assignement description:</t>
  </si>
  <si>
    <t>Now, we operate with the above calculated values and, firstly, we find the ratio of the receiver's gain to effective system noise temperature (Gr - Ts)</t>
  </si>
  <si>
    <t>Secondly, we calculate the carrier-to-noise power spectral density (EIRP + G/T - losses + 228.6)</t>
  </si>
  <si>
    <t>With the given Eb/N0, in order to achieve the desired BER of 10e-5, QPSK 1/2 code rate shall be used. The achieved net rate can be estimated as (fb/2)</t>
  </si>
  <si>
    <t>And, finally, we find the bit energy to noise power spectral density (C/N0 - Rb)</t>
  </si>
  <si>
    <t>Let's change the frequency to the X-band which is usually used in deep space communication:</t>
  </si>
  <si>
    <t>Problem 4.</t>
  </si>
  <si>
    <t>BORIS</t>
  </si>
  <si>
    <t>JEREMY</t>
  </si>
  <si>
    <t>Rx weather loss, dB</t>
  </si>
  <si>
    <t>Effective system noise temperature is given in the assignment description:</t>
  </si>
  <si>
    <t>Lifetime, years</t>
  </si>
  <si>
    <t>h, km</t>
  </si>
  <si>
    <t>Table 1. Cycle-average power consumptions</t>
  </si>
  <si>
    <t>Detumble</t>
  </si>
  <si>
    <t>Safe</t>
  </si>
  <si>
    <t>Nominal</t>
  </si>
  <si>
    <t>Telecom, W</t>
  </si>
  <si>
    <t>ADCS, W</t>
  </si>
  <si>
    <t>CDHS, W</t>
  </si>
  <si>
    <t>Payload 1, W</t>
  </si>
  <si>
    <t>Payload 2, W</t>
  </si>
  <si>
    <t>TOTAL, W</t>
  </si>
  <si>
    <t>Table 2. Solar array sizing</t>
  </si>
  <si>
    <t>Variable</t>
  </si>
  <si>
    <t>Value</t>
  </si>
  <si>
    <t>Unit</t>
  </si>
  <si>
    <t>Power consumption during eclipse</t>
  </si>
  <si>
    <t>Orbit period</t>
  </si>
  <si>
    <t>Eclipse time</t>
  </si>
  <si>
    <t>Eclipse powertrain efficiency</t>
  </si>
  <si>
    <t>Day powertrain efficiency</t>
  </si>
  <si>
    <t>Cell type</t>
  </si>
  <si>
    <t>BOL solar cell efficiency</t>
  </si>
  <si>
    <t>EOL solar cell efficiency</t>
  </si>
  <si>
    <t xml:space="preserve">BOL effective solar array area required </t>
  </si>
  <si>
    <t>EOL effective solar array area required</t>
  </si>
  <si>
    <t>BOL solar array area required</t>
  </si>
  <si>
    <t>Solar array mass</t>
  </si>
  <si>
    <t>Ga-As multijunction</t>
  </si>
  <si>
    <t>R (Earth), km</t>
  </si>
  <si>
    <t>mu (Earth), km3/s2</t>
  </si>
  <si>
    <t>seconds</t>
  </si>
  <si>
    <t>Data Transmission</t>
  </si>
  <si>
    <t>Observation</t>
  </si>
  <si>
    <t>Data Processing</t>
  </si>
  <si>
    <t>Thermal control, W</t>
  </si>
  <si>
    <t>Modes</t>
  </si>
  <si>
    <t>C/N0 - EIRP, dBHz</t>
  </si>
  <si>
    <t>Table 3. Battery Sizing</t>
  </si>
  <si>
    <t>Expected lifetime</t>
  </si>
  <si>
    <t>Battery type</t>
  </si>
  <si>
    <t>Li-Ion</t>
  </si>
  <si>
    <t>Depth of discharge</t>
  </si>
  <si>
    <t>Expected degradation (rough estimate)</t>
  </si>
  <si>
    <t>EOL battery capacity required</t>
  </si>
  <si>
    <t>BOL battery capacity required</t>
  </si>
  <si>
    <t>Battery capacity</t>
  </si>
  <si>
    <t>Mass</t>
  </si>
  <si>
    <t>Margin</t>
  </si>
  <si>
    <t>Mass+margin</t>
  </si>
  <si>
    <t>Solar array area</t>
  </si>
  <si>
    <t>W</t>
  </si>
  <si>
    <t>TOTAL+MARGIN (10%), W</t>
  </si>
  <si>
    <t>-</t>
  </si>
  <si>
    <t>Table 4. Battery Mass</t>
  </si>
  <si>
    <t>Table 5. Solar Array Mass</t>
  </si>
  <si>
    <t>cycles (min)</t>
  </si>
  <si>
    <t>Wh</t>
  </si>
  <si>
    <t>Energy consumption during eclipse</t>
  </si>
  <si>
    <t>Solar array power required</t>
  </si>
  <si>
    <t>The obtained ratio is too high and not feasible - this link cannot be closed with plausible means. As the easiest way, let us change the frequency. [Please follow the yellow comumn]</t>
  </si>
  <si>
    <t xml:space="preserve">With this bandwidth, the bit energy to noise power spectral density for the QPRS uncoded channel corresponds to the BER of slightly less than 10e-3 which is acceptable according to the stated requirements. </t>
  </si>
  <si>
    <t>Energy, Wh</t>
  </si>
  <si>
    <t>Degradation per year</t>
  </si>
  <si>
    <t>Density, kg/m2</t>
  </si>
  <si>
    <t>Flux, W/m2</t>
  </si>
  <si>
    <t>m2</t>
  </si>
  <si>
    <t>kg</t>
  </si>
  <si>
    <t>Energy needed during eclipses (DoD cons.)</t>
  </si>
  <si>
    <t>Specific energy density</t>
  </si>
  <si>
    <t>Wh/kg</t>
  </si>
  <si>
    <t>Problem 6. Typical values and estimations, if needed, were taken from SMAD.</t>
  </si>
  <si>
    <t>Additional data:</t>
  </si>
  <si>
    <t>Angle (for eclipse time)</t>
  </si>
  <si>
    <t>rad</t>
  </si>
  <si>
    <t>Day time</t>
  </si>
  <si>
    <t>hours</t>
  </si>
  <si>
    <t>Power consumption during the sun</t>
  </si>
  <si>
    <t>From the table, one may find that this value of Eb/N0 corresponds to the BER of approximately 10e-3 taken into account that the channel is uncoded.</t>
  </si>
  <si>
    <t>It is not enough since it's required to have the BER of no less than 10e-5. With the uncoded channel, in order to achieve the desired BER, we need to have Eb/N0 of no less than</t>
  </si>
  <si>
    <t>Let us go shopping:</t>
  </si>
  <si>
    <t>Helios Deployable Antenna</t>
  </si>
  <si>
    <t>https://www.cubesatshop.com/product/helios-deployable-antenna/</t>
  </si>
  <si>
    <t>Well, seems quite similar in terms of the sizes but the gain is kinda different…</t>
  </si>
  <si>
    <t>From the addresses given in the assignment and the fact that the altitude of the satellite is 1000 km, one may find the distances b/w the sat and the boys:</t>
  </si>
  <si>
    <t>[Pythagorean thorem + distances from Google Maps]</t>
  </si>
  <si>
    <t>Antenna gains: 20,4 + 20*lg(f) + 20*lg(D) + 10*lg(η)</t>
  </si>
  <si>
    <t>Here we may find the receiver's gain to effective sys temperature ratio for Boris (Gr - Ts):</t>
  </si>
  <si>
    <t>For both boys EIRP is the same since the transmitter is the same.</t>
  </si>
  <si>
    <r>
      <t xml:space="preserve">We may also calculate the carrier-to-noise power spectral density </t>
    </r>
    <r>
      <rPr>
        <b/>
        <sz val="11"/>
        <color rgb="FFFF0000"/>
        <rFont val="Calibri"/>
        <family val="2"/>
        <charset val="204"/>
        <scheme val="minor"/>
      </rPr>
      <t>minus</t>
    </r>
    <r>
      <rPr>
        <b/>
        <sz val="11"/>
        <color theme="1"/>
        <rFont val="Calibri"/>
        <family val="2"/>
        <charset val="204"/>
        <scheme val="minor"/>
      </rPr>
      <t xml:space="preserve"> EIRP (G/T - losses + 228.6)</t>
    </r>
  </si>
  <si>
    <t>Since for both boys Eb/N shall be the same, it also works if (C/N0 - EIRP) value will be the same. Thus, G/T for Jeremy shall be</t>
  </si>
  <si>
    <t>?</t>
  </si>
  <si>
    <t>However, I see huge numbers for the weather losses which make me feel a bit nervous and in comparison the figures for pointing losses are negligble….</t>
  </si>
  <si>
    <t>Since the antenna is directed at Boris right now, it is not obvious that it is also directed at Jeremy since the distance between them is approx 120 km.</t>
  </si>
  <si>
    <t>Thus, we may consider the propability of pointing losses as well.</t>
  </si>
  <si>
    <t>Rx pointing losses, dB</t>
  </si>
  <si>
    <t xml:space="preserve">And G for Jeremy can be found </t>
  </si>
  <si>
    <t>[the losses are calculated from the elevation angles of the boys' locations (via the location of Vatican and the boys' locations and the fact that we consider 10 km of troposphere]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</si>
</sst>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2" x14ac:knownFonts="1">
    <font>
      <sz val="11"/>
      <color theme="1"/>
      <name val="Calibri"/>
      <family val="2"/>
      <charset val="204"/>
      <scheme val="minor"/>
    </font>
    <font>
      <b/>
      <sz val="11"/>
      <color theme="1"/>
      <name val="Calibri"/>
      <family val="2"/>
      <charset val="204"/>
      <scheme val="minor"/>
    </font>
    <font>
      <b/>
      <sz val="12"/>
      <color theme="1"/>
      <name val="Calibri"/>
      <family val="2"/>
      <charset val="204"/>
      <scheme val="minor"/>
    </font>
    <font>
      <b/>
      <sz val="18"/>
      <color theme="1"/>
      <name val="Calibri"/>
      <family val="2"/>
      <charset val="204"/>
      <scheme val="minor"/>
    </font>
    <font>
      <b/>
      <sz val="9"/>
      <color theme="1"/>
      <name val="Calibri"/>
      <family val="2"/>
      <charset val="204"/>
      <scheme val="minor"/>
    </font>
    <font>
      <b/>
      <sz val="14"/>
      <color theme="1"/>
      <name val="Calibri"/>
      <family val="2"/>
      <charset val="204"/>
      <scheme val="minor"/>
    </font>
    <font>
      <sz val="9"/>
      <color indexed="81"/>
      <name val="Tahoma"/>
      <family val="2"/>
      <charset val="204"/>
    </font>
    <font>
      <b/>
      <sz val="9"/>
      <color indexed="81"/>
      <name val="Tahoma"/>
      <family val="2"/>
      <charset val="204"/>
    </font>
    <font>
      <sz val="9"/>
      <color theme="1"/>
      <name val="Calibri"/>
      <family val="2"/>
      <charset val="204"/>
      <scheme val="minor"/>
    </font>
    <font>
      <b/>
      <u/>
      <sz val="11"/>
      <color theme="1"/>
      <name val="Calibri"/>
      <family val="2"/>
      <charset val="204"/>
      <scheme val="minor"/>
    </font>
    <font>
      <u/>
      <sz val="11"/>
      <color theme="10"/>
      <name val="Calibri"/>
      <family val="2"/>
      <charset val="204"/>
      <scheme val="minor"/>
    </font>
    <font>
      <b/>
      <sz val="11"/>
      <color rgb="FFFF0000"/>
      <name val="Calibri"/>
      <family val="2"/>
      <charset val="204"/>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75">
    <xf numFmtId="0" fontId="0" fillId="0" borderId="0" xfId="0"/>
    <xf numFmtId="0" fontId="1" fillId="0" borderId="0" xfId="0" applyFont="1"/>
    <xf numFmtId="0" fontId="3" fillId="0" borderId="0" xfId="0" applyFont="1" applyAlignment="1"/>
    <xf numFmtId="0" fontId="3" fillId="0" borderId="0" xfId="0" applyFont="1" applyAlignment="1">
      <alignment horizontal="center"/>
    </xf>
    <xf numFmtId="0" fontId="1" fillId="0" borderId="0" xfId="0" applyFont="1" applyAlignment="1">
      <alignment horizontal="left" vertical="top" wrapText="1"/>
    </xf>
    <xf numFmtId="0" fontId="0" fillId="0" borderId="0" xfId="0" applyAlignment="1"/>
    <xf numFmtId="0" fontId="1" fillId="0" borderId="0" xfId="0" applyFont="1" applyAlignment="1"/>
    <xf numFmtId="0" fontId="0" fillId="0" borderId="0" xfId="0" applyFill="1" applyBorder="1" applyAlignment="1"/>
    <xf numFmtId="0" fontId="1"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0" fillId="0" borderId="0" xfId="0" applyFill="1"/>
    <xf numFmtId="0" fontId="1" fillId="0" borderId="0" xfId="0" applyFont="1" applyFill="1"/>
    <xf numFmtId="0" fontId="2" fillId="0" borderId="0" xfId="0" applyFont="1" applyAlignment="1">
      <alignment horizontal="center"/>
    </xf>
    <xf numFmtId="0" fontId="1" fillId="0" borderId="0" xfId="0" applyFont="1" applyAlignment="1">
      <alignment horizontal="left"/>
    </xf>
    <xf numFmtId="0" fontId="3" fillId="0" borderId="0" xfId="0" applyFont="1" applyAlignment="1">
      <alignment horizontal="center"/>
    </xf>
    <xf numFmtId="0" fontId="1" fillId="0" borderId="0" xfId="0" applyFont="1" applyFill="1" applyAlignment="1">
      <alignment horizontal="left"/>
    </xf>
    <xf numFmtId="0" fontId="1" fillId="2" borderId="0" xfId="0" applyFont="1" applyFill="1" applyAlignment="1">
      <alignment horizontal="left"/>
    </xf>
    <xf numFmtId="0" fontId="0" fillId="0" borderId="0" xfId="0" applyAlignment="1">
      <alignment horizontal="left"/>
    </xf>
    <xf numFmtId="0" fontId="4" fillId="0" borderId="0" xfId="0" applyFont="1" applyAlignment="1">
      <alignment horizontal="left" vertical="top"/>
    </xf>
    <xf numFmtId="0" fontId="2" fillId="0" borderId="0" xfId="0" applyFont="1" applyAlignment="1">
      <alignment horizontal="left"/>
    </xf>
    <xf numFmtId="0" fontId="2" fillId="0" borderId="0" xfId="0" applyFont="1" applyAlignment="1">
      <alignment horizontal="left" vertical="top" wrapText="1"/>
    </xf>
    <xf numFmtId="0" fontId="2" fillId="0" borderId="0" xfId="0" applyFont="1" applyAlignment="1">
      <alignment horizontal="left" vertical="center"/>
    </xf>
    <xf numFmtId="0" fontId="0" fillId="0" borderId="0" xfId="0" applyAlignment="1">
      <alignment horizontal="center"/>
    </xf>
    <xf numFmtId="0" fontId="1" fillId="0" borderId="0" xfId="0" applyFon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 fontId="0" fillId="0" borderId="0" xfId="0" applyNumberFormat="1" applyFont="1" applyAlignment="1">
      <alignment horizontal="center"/>
    </xf>
    <xf numFmtId="1" fontId="0" fillId="0" borderId="0" xfId="0" applyNumberFormat="1" applyAlignment="1">
      <alignment horizontal="center"/>
    </xf>
    <xf numFmtId="0" fontId="0" fillId="2" borderId="0" xfId="0" applyFill="1" applyAlignment="1">
      <alignment horizontal="center"/>
    </xf>
    <xf numFmtId="2" fontId="0" fillId="2" borderId="0" xfId="0" applyNumberFormat="1" applyFill="1" applyAlignment="1">
      <alignment horizontal="center"/>
    </xf>
    <xf numFmtId="11" fontId="0" fillId="0" borderId="0" xfId="0" applyNumberFormat="1" applyAlignment="1">
      <alignment horizontal="center"/>
    </xf>
    <xf numFmtId="11" fontId="0" fillId="2" borderId="0" xfId="0" applyNumberFormat="1" applyFill="1" applyAlignment="1">
      <alignment horizontal="center"/>
    </xf>
    <xf numFmtId="164" fontId="0" fillId="0" borderId="0" xfId="0" applyNumberFormat="1" applyAlignment="1">
      <alignment horizontal="center"/>
    </xf>
    <xf numFmtId="164" fontId="0" fillId="2" borderId="0" xfId="0" applyNumberFormat="1" applyFill="1" applyAlignment="1">
      <alignment horizontal="center"/>
    </xf>
    <xf numFmtId="164" fontId="0" fillId="0" borderId="0" xfId="0" applyNumberFormat="1" applyFill="1" applyAlignment="1">
      <alignment horizontal="center"/>
    </xf>
    <xf numFmtId="0" fontId="0" fillId="0" borderId="0" xfId="0" applyFill="1" applyAlignment="1">
      <alignment horizontal="center"/>
    </xf>
    <xf numFmtId="2" fontId="0" fillId="0" borderId="0" xfId="0" applyNumberFormat="1" applyFill="1" applyAlignment="1">
      <alignment horizontal="center"/>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0" fillId="0" borderId="0" xfId="0" applyFill="1" applyBorder="1" applyAlignment="1">
      <alignment wrapText="1"/>
    </xf>
    <xf numFmtId="0" fontId="4" fillId="0" borderId="0" xfId="0" applyFont="1"/>
    <xf numFmtId="0" fontId="4" fillId="0" borderId="0" xfId="0" applyFont="1" applyAlignment="1">
      <alignment horizontal="center"/>
    </xf>
    <xf numFmtId="2" fontId="4" fillId="0" borderId="0" xfId="0" applyNumberFormat="1" applyFont="1" applyAlignment="1">
      <alignment horizontal="center"/>
    </xf>
    <xf numFmtId="0" fontId="0" fillId="0" borderId="0" xfId="0" applyFont="1" applyAlignment="1">
      <alignment wrapText="1"/>
    </xf>
    <xf numFmtId="0" fontId="0" fillId="0" borderId="0" xfId="0" applyFont="1" applyAlignment="1">
      <alignment horizontal="center"/>
    </xf>
    <xf numFmtId="0" fontId="0" fillId="0" borderId="0" xfId="0" applyFont="1" applyFill="1" applyAlignment="1">
      <alignment wrapText="1"/>
    </xf>
    <xf numFmtId="164" fontId="0" fillId="0" borderId="0" xfId="0" applyNumberFormat="1" applyFont="1" applyFill="1" applyAlignment="1">
      <alignment horizontal="center"/>
    </xf>
    <xf numFmtId="0" fontId="0" fillId="0" borderId="0" xfId="0" applyFont="1" applyFill="1" applyAlignment="1">
      <alignment horizontal="center"/>
    </xf>
    <xf numFmtId="0" fontId="2" fillId="4" borderId="0" xfId="0" applyFont="1" applyFill="1" applyAlignment="1">
      <alignment vertical="center"/>
    </xf>
    <xf numFmtId="0" fontId="2" fillId="4" borderId="0" xfId="0" applyFont="1" applyFill="1" applyAlignment="1">
      <alignment horizontal="center" vertical="center"/>
    </xf>
    <xf numFmtId="0" fontId="2" fillId="4" borderId="0" xfId="0" applyFont="1" applyFill="1" applyAlignment="1">
      <alignment horizontal="center"/>
    </xf>
    <xf numFmtId="0" fontId="1" fillId="4" borderId="0" xfId="0" applyFont="1" applyFill="1"/>
    <xf numFmtId="0" fontId="1" fillId="4" borderId="0" xfId="0" applyFont="1" applyFill="1" applyAlignment="1">
      <alignment horizontal="center"/>
    </xf>
    <xf numFmtId="0" fontId="0" fillId="4" borderId="0" xfId="0" applyFill="1"/>
    <xf numFmtId="0" fontId="1" fillId="4" borderId="0" xfId="0" applyFont="1" applyFill="1" applyBorder="1" applyAlignment="1">
      <alignment wrapText="1"/>
    </xf>
    <xf numFmtId="0" fontId="0" fillId="0" borderId="0" xfId="0" applyFont="1" applyFill="1" applyBorder="1" applyAlignment="1">
      <alignment wrapText="1"/>
    </xf>
    <xf numFmtId="1" fontId="0" fillId="0" borderId="0" xfId="0" applyNumberFormat="1" applyFont="1" applyFill="1" applyAlignment="1">
      <alignment horizontal="center"/>
    </xf>
    <xf numFmtId="0" fontId="5" fillId="0" borderId="0" xfId="0" applyFont="1" applyAlignment="1"/>
    <xf numFmtId="0" fontId="5" fillId="5" borderId="0" xfId="0" applyFont="1" applyFill="1" applyAlignment="1">
      <alignment horizontal="center"/>
    </xf>
    <xf numFmtId="0" fontId="0" fillId="0" borderId="0" xfId="0" applyFont="1"/>
    <xf numFmtId="0" fontId="1" fillId="4" borderId="0" xfId="0" applyFont="1" applyFill="1" applyBorder="1"/>
    <xf numFmtId="2" fontId="8" fillId="0" borderId="0" xfId="0" applyNumberFormat="1" applyFont="1"/>
    <xf numFmtId="0" fontId="8" fillId="0" borderId="0" xfId="0" applyFont="1"/>
    <xf numFmtId="2" fontId="4" fillId="0" borderId="0" xfId="0" applyNumberFormat="1" applyFont="1" applyAlignment="1"/>
    <xf numFmtId="0" fontId="1" fillId="0" borderId="0" xfId="0" applyFont="1" applyFill="1" applyAlignment="1">
      <alignment vertical="center" wrapText="1"/>
    </xf>
    <xf numFmtId="0" fontId="3" fillId="6" borderId="0" xfId="0" applyFont="1" applyFill="1" applyAlignment="1">
      <alignment horizontal="center"/>
    </xf>
    <xf numFmtId="0" fontId="1" fillId="0" borderId="0" xfId="0" applyFont="1" applyFill="1" applyAlignment="1"/>
    <xf numFmtId="0" fontId="1" fillId="3" borderId="0" xfId="0" applyFont="1" applyFill="1"/>
    <xf numFmtId="0" fontId="9" fillId="0" borderId="0" xfId="0" applyFont="1" applyAlignment="1">
      <alignment horizontal="left"/>
    </xf>
    <xf numFmtId="0" fontId="10" fillId="0" borderId="0" xfId="1"/>
    <xf numFmtId="2" fontId="11" fillId="0" borderId="0" xfId="0" applyNumberFormat="1" applyFont="1" applyFill="1" applyAlignment="1">
      <alignment horizontal="center"/>
    </xf>
    <xf numFmtId="0" fontId="0" fillId="0" borderId="0" xfId="0" applyAlignment="1">
      <alignment horizontal="left" wrapText="1"/>
    </xf>
    <xf numFmtId="0" fontId="0" fillId="0" borderId="0" xfId="0" applyAlignment="1">
      <alignment vertical="center"/>
    </xf>
    <xf numFmtId="1" fontId="0" fillId="0" borderId="0" xfId="0" applyNumberFormat="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ubesatshop.com/product/helios-deployable-antenna/"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74"/>
  <sheetViews>
    <sheetView tabSelected="1" topLeftCell="A167" workbookViewId="0">
      <selection activeCell="E99" sqref="E99"/>
    </sheetView>
  </sheetViews>
  <sheetFormatPr defaultRowHeight="14.4" x14ac:dyDescent="0.3"/>
  <cols>
    <col min="1" max="1" width="35.77734375" customWidth="1"/>
    <col min="2" max="2" width="18" style="23" customWidth="1"/>
    <col min="3" max="3" width="16.44140625" style="23" customWidth="1"/>
    <col min="4" max="4" width="17.77734375" customWidth="1"/>
    <col min="5" max="5" width="17.44140625" customWidth="1"/>
    <col min="6" max="6" width="15.88671875" customWidth="1"/>
    <col min="7" max="7" width="15.44140625" customWidth="1"/>
    <col min="8" max="8" width="8.88671875" customWidth="1"/>
  </cols>
  <sheetData>
    <row r="1" spans="1:22" s="2" customFormat="1" ht="23.4" x14ac:dyDescent="0.45">
      <c r="A1" s="66" t="s">
        <v>20</v>
      </c>
      <c r="B1" s="66"/>
      <c r="C1" s="66"/>
      <c r="D1" s="66"/>
      <c r="E1" s="66"/>
      <c r="F1" s="66"/>
      <c r="G1" s="66"/>
    </row>
    <row r="2" spans="1:22" s="2" customFormat="1" ht="13.8" customHeight="1" x14ac:dyDescent="0.45">
      <c r="A2" s="22" t="s">
        <v>2</v>
      </c>
      <c r="B2" s="22"/>
      <c r="C2" s="22"/>
      <c r="D2" s="22"/>
      <c r="E2" s="22"/>
      <c r="F2" s="22"/>
      <c r="G2" s="22"/>
      <c r="H2" s="22"/>
      <c r="I2" s="22"/>
      <c r="J2" s="22"/>
      <c r="K2" s="22"/>
      <c r="L2" s="22"/>
      <c r="M2" s="22"/>
      <c r="N2" s="22"/>
      <c r="O2" s="22"/>
      <c r="P2" s="22"/>
      <c r="Q2" s="3"/>
      <c r="R2" s="3"/>
      <c r="S2" s="3"/>
      <c r="T2" s="3"/>
      <c r="U2" s="3"/>
      <c r="V2" s="3"/>
    </row>
    <row r="3" spans="1:22" x14ac:dyDescent="0.3">
      <c r="A3" t="s">
        <v>0</v>
      </c>
      <c r="B3" s="23">
        <v>2</v>
      </c>
    </row>
    <row r="4" spans="1:22" x14ac:dyDescent="0.3">
      <c r="A4" t="s">
        <v>1</v>
      </c>
      <c r="B4" s="23">
        <v>1</v>
      </c>
    </row>
    <row r="5" spans="1:22" ht="16.2" customHeight="1" x14ac:dyDescent="0.3">
      <c r="A5" s="21" t="s">
        <v>3</v>
      </c>
      <c r="B5" s="21"/>
      <c r="C5" s="21"/>
      <c r="D5" s="21"/>
      <c r="E5" s="21"/>
      <c r="F5" s="21"/>
      <c r="G5" s="21"/>
      <c r="H5" s="21"/>
      <c r="I5" s="21"/>
      <c r="J5" s="21"/>
      <c r="K5" s="21"/>
      <c r="L5" s="21"/>
      <c r="M5" s="21"/>
      <c r="N5" s="21"/>
      <c r="O5" s="21"/>
    </row>
    <row r="6" spans="1:22" ht="13.2" customHeight="1" x14ac:dyDescent="0.3">
      <c r="A6" s="19" t="s">
        <v>9</v>
      </c>
      <c r="B6" s="19"/>
      <c r="C6" s="19"/>
      <c r="D6" s="19"/>
      <c r="E6" s="19"/>
      <c r="F6" s="19"/>
      <c r="G6" s="19"/>
      <c r="H6" s="19"/>
      <c r="I6" s="19"/>
      <c r="J6" s="19"/>
      <c r="K6" s="19"/>
      <c r="L6" s="19"/>
      <c r="M6" s="19"/>
      <c r="N6" s="4"/>
      <c r="O6" s="4"/>
    </row>
    <row r="7" spans="1:22" x14ac:dyDescent="0.3">
      <c r="A7" t="s">
        <v>4</v>
      </c>
      <c r="B7" s="25">
        <v>0.3</v>
      </c>
    </row>
    <row r="8" spans="1:22" x14ac:dyDescent="0.3">
      <c r="A8" t="s">
        <v>5</v>
      </c>
      <c r="B8" s="25">
        <v>0.15</v>
      </c>
    </row>
    <row r="9" spans="1:22" x14ac:dyDescent="0.3">
      <c r="A9" s="14" t="s">
        <v>6</v>
      </c>
      <c r="B9" s="14"/>
      <c r="C9" s="14"/>
      <c r="D9" s="14"/>
      <c r="E9" s="14"/>
      <c r="F9" s="14"/>
      <c r="G9" s="14"/>
      <c r="H9" s="14"/>
      <c r="I9" s="14"/>
      <c r="J9" s="14"/>
      <c r="K9" s="14"/>
      <c r="L9" s="14"/>
      <c r="M9" s="14"/>
    </row>
    <row r="10" spans="1:22" x14ac:dyDescent="0.3">
      <c r="A10" t="s">
        <v>7</v>
      </c>
      <c r="B10" s="25">
        <f>B7/3.1415</f>
        <v>9.5495782269616414E-2</v>
      </c>
    </row>
    <row r="11" spans="1:22" x14ac:dyDescent="0.3">
      <c r="A11" t="s">
        <v>8</v>
      </c>
      <c r="B11" s="25">
        <f>B8/3.1415</f>
        <v>4.7747891134808207E-2</v>
      </c>
    </row>
    <row r="12" spans="1:22" ht="15.6" x14ac:dyDescent="0.3">
      <c r="A12" s="20" t="s">
        <v>10</v>
      </c>
      <c r="B12" s="20"/>
      <c r="C12" s="20"/>
      <c r="D12" s="20"/>
      <c r="E12" s="20"/>
      <c r="F12" s="20"/>
      <c r="G12" s="20"/>
      <c r="H12" s="20"/>
      <c r="I12" s="20"/>
      <c r="J12" s="20"/>
      <c r="K12" s="20"/>
      <c r="L12" s="20"/>
      <c r="M12" s="20"/>
      <c r="N12" s="20"/>
      <c r="O12" s="20"/>
    </row>
    <row r="13" spans="1:22" ht="15.6" x14ac:dyDescent="0.3">
      <c r="A13" s="20" t="s">
        <v>15</v>
      </c>
      <c r="B13" s="20"/>
      <c r="C13" s="20"/>
      <c r="D13" s="20"/>
      <c r="E13" s="20"/>
      <c r="F13" s="20"/>
      <c r="G13" s="20"/>
      <c r="H13" s="20"/>
      <c r="I13" s="20"/>
      <c r="J13" s="20"/>
      <c r="K13" s="20"/>
      <c r="L13" s="20"/>
      <c r="M13" s="20"/>
      <c r="N13" s="20"/>
      <c r="O13" s="20"/>
    </row>
    <row r="14" spans="1:22" x14ac:dyDescent="0.3">
      <c r="A14" t="s">
        <v>11</v>
      </c>
      <c r="B14" s="23">
        <v>20</v>
      </c>
    </row>
    <row r="15" spans="1:22" x14ac:dyDescent="0.3">
      <c r="A15" t="s">
        <v>12</v>
      </c>
      <c r="B15" s="23">
        <v>5</v>
      </c>
    </row>
    <row r="16" spans="1:22" x14ac:dyDescent="0.3">
      <c r="A16" t="s">
        <v>13</v>
      </c>
      <c r="B16" s="25">
        <f>B7*10^((B14-10.3)/10)</f>
        <v>2.7997629023909729</v>
      </c>
    </row>
    <row r="17" spans="1:15" x14ac:dyDescent="0.3">
      <c r="A17" t="s">
        <v>14</v>
      </c>
      <c r="B17" s="25">
        <f>B8*10^((B15-10.3)/10)</f>
        <v>4.4268138399995771E-2</v>
      </c>
    </row>
    <row r="18" spans="1:15" ht="15.6" x14ac:dyDescent="0.3">
      <c r="A18" s="20" t="s">
        <v>16</v>
      </c>
      <c r="B18" s="20"/>
      <c r="C18" s="20"/>
      <c r="D18" s="20"/>
      <c r="E18" s="20"/>
      <c r="F18" s="20"/>
      <c r="G18" s="20"/>
      <c r="H18" s="20"/>
      <c r="I18" s="20"/>
      <c r="J18" s="20"/>
      <c r="K18" s="20"/>
      <c r="L18" s="20"/>
      <c r="M18" s="20"/>
      <c r="N18" s="20"/>
      <c r="O18" s="20"/>
    </row>
    <row r="19" spans="1:15" x14ac:dyDescent="0.3">
      <c r="A19" t="s">
        <v>17</v>
      </c>
      <c r="B19" s="26">
        <f>(B10+B11)/2</f>
        <v>7.162183670221231E-2</v>
      </c>
      <c r="D19" s="68" t="s">
        <v>139</v>
      </c>
      <c r="E19" s="68"/>
      <c r="F19" s="68"/>
      <c r="G19" s="68"/>
    </row>
    <row r="20" spans="1:15" x14ac:dyDescent="0.3">
      <c r="A20" t="s">
        <v>18</v>
      </c>
      <c r="B20" s="23">
        <f>(B14+B15)/2</f>
        <v>12.5</v>
      </c>
      <c r="D20" s="69" t="s">
        <v>140</v>
      </c>
      <c r="E20" s="69"/>
      <c r="F20" s="70" t="s">
        <v>141</v>
      </c>
    </row>
    <row r="21" spans="1:15" x14ac:dyDescent="0.3">
      <c r="A21" t="s">
        <v>19</v>
      </c>
      <c r="B21" s="25">
        <f>((B7+B8)/2)*10^((B20-10.3)/10)</f>
        <v>0.37340705417345105</v>
      </c>
      <c r="D21" t="s">
        <v>142</v>
      </c>
    </row>
    <row r="22" spans="1:15" ht="23.4" x14ac:dyDescent="0.45">
      <c r="A22" s="66" t="s">
        <v>21</v>
      </c>
      <c r="B22" s="66"/>
      <c r="C22" s="66"/>
      <c r="D22" s="66"/>
      <c r="E22" s="66"/>
      <c r="F22" s="66"/>
      <c r="G22" s="66"/>
      <c r="H22" s="2"/>
      <c r="I22" s="2"/>
      <c r="J22" s="2"/>
      <c r="K22" s="2"/>
      <c r="L22" s="2"/>
      <c r="M22" s="2"/>
      <c r="N22" s="2"/>
      <c r="O22" s="2"/>
    </row>
    <row r="23" spans="1:15" x14ac:dyDescent="0.3">
      <c r="A23" s="6" t="s">
        <v>26</v>
      </c>
      <c r="B23" s="6"/>
      <c r="C23" s="6"/>
      <c r="D23" s="6"/>
      <c r="E23" s="6"/>
      <c r="F23" s="6"/>
      <c r="G23" s="6"/>
      <c r="H23" s="6"/>
      <c r="I23" s="6"/>
      <c r="J23" s="6"/>
      <c r="K23" s="6"/>
      <c r="L23" s="6"/>
      <c r="M23" s="6"/>
      <c r="N23" s="6"/>
      <c r="O23" s="6"/>
    </row>
    <row r="24" spans="1:15" x14ac:dyDescent="0.3">
      <c r="A24" t="s">
        <v>22</v>
      </c>
      <c r="B24" s="23">
        <v>2600</v>
      </c>
    </row>
    <row r="25" spans="1:15" x14ac:dyDescent="0.3">
      <c r="A25" t="s">
        <v>23</v>
      </c>
      <c r="B25" s="23">
        <v>1</v>
      </c>
    </row>
    <row r="26" spans="1:15" x14ac:dyDescent="0.3">
      <c r="A26" t="s">
        <v>27</v>
      </c>
      <c r="B26" s="23">
        <f>10*LOG10(B25/1)</f>
        <v>0</v>
      </c>
    </row>
    <row r="27" spans="1:15" x14ac:dyDescent="0.3">
      <c r="A27" t="s">
        <v>25</v>
      </c>
      <c r="B27" s="23">
        <v>4800</v>
      </c>
    </row>
    <row r="28" spans="1:15" x14ac:dyDescent="0.3">
      <c r="A28" t="s">
        <v>45</v>
      </c>
      <c r="B28" s="23">
        <f>B27*2</f>
        <v>9600</v>
      </c>
    </row>
    <row r="29" spans="1:15" x14ac:dyDescent="0.3">
      <c r="A29" t="s">
        <v>24</v>
      </c>
      <c r="B29" s="23">
        <v>0.435</v>
      </c>
    </row>
    <row r="30" spans="1:15" x14ac:dyDescent="0.3">
      <c r="A30" s="5" t="s">
        <v>28</v>
      </c>
      <c r="B30" s="23">
        <v>2</v>
      </c>
    </row>
    <row r="31" spans="1:15" x14ac:dyDescent="0.3">
      <c r="A31" s="5" t="s">
        <v>39</v>
      </c>
      <c r="B31" s="23">
        <v>2</v>
      </c>
    </row>
    <row r="32" spans="1:15" x14ac:dyDescent="0.3">
      <c r="A32" s="6" t="s">
        <v>30</v>
      </c>
      <c r="B32" s="6"/>
      <c r="C32" s="6"/>
      <c r="D32" s="6"/>
      <c r="E32" s="6"/>
      <c r="F32" s="6"/>
      <c r="G32" s="6"/>
      <c r="H32" s="6"/>
      <c r="I32" s="6"/>
      <c r="J32" s="6"/>
      <c r="K32" s="6"/>
      <c r="L32" s="6"/>
      <c r="M32" s="6"/>
      <c r="N32" s="6"/>
      <c r="O32" s="6"/>
    </row>
    <row r="33" spans="1:15" x14ac:dyDescent="0.3">
      <c r="A33" s="9" t="s">
        <v>37</v>
      </c>
      <c r="B33" s="27">
        <v>0</v>
      </c>
      <c r="C33" s="24"/>
      <c r="D33" s="8"/>
      <c r="E33" s="8"/>
      <c r="F33" s="8"/>
      <c r="G33" s="8"/>
      <c r="H33" s="8"/>
      <c r="I33" s="8"/>
      <c r="J33" s="8"/>
      <c r="K33" s="8"/>
      <c r="L33" s="8"/>
      <c r="M33" s="8"/>
      <c r="N33" s="8"/>
      <c r="O33" s="8"/>
    </row>
    <row r="34" spans="1:15" x14ac:dyDescent="0.3">
      <c r="A34" s="9" t="s">
        <v>38</v>
      </c>
      <c r="B34" s="27">
        <v>0</v>
      </c>
      <c r="C34" s="24"/>
      <c r="D34" s="8"/>
      <c r="E34" s="8"/>
      <c r="F34" s="8"/>
      <c r="G34" s="8"/>
      <c r="H34" s="8"/>
      <c r="I34" s="8"/>
      <c r="J34" s="8"/>
      <c r="K34" s="8"/>
      <c r="L34" s="8"/>
      <c r="M34" s="8"/>
      <c r="N34" s="8"/>
      <c r="O34" s="8"/>
    </row>
    <row r="35" spans="1:15" x14ac:dyDescent="0.3">
      <c r="A35" s="14" t="s">
        <v>46</v>
      </c>
      <c r="B35" s="14"/>
      <c r="C35" s="14"/>
      <c r="D35" s="14"/>
      <c r="E35" s="14"/>
      <c r="F35" s="14"/>
      <c r="G35" s="14"/>
      <c r="H35" s="14"/>
      <c r="I35" s="14"/>
      <c r="J35" s="14"/>
      <c r="K35" s="14"/>
      <c r="L35" s="14"/>
      <c r="M35" s="14"/>
      <c r="N35" s="14"/>
      <c r="O35" s="14"/>
    </row>
    <row r="36" spans="1:15" x14ac:dyDescent="0.3">
      <c r="A36" s="5" t="s">
        <v>29</v>
      </c>
      <c r="B36" s="25">
        <f>92.5+20*LOG10(B24) + 20*LOG10(B29)</f>
        <v>153.56925209850908</v>
      </c>
    </row>
    <row r="37" spans="1:15" x14ac:dyDescent="0.3">
      <c r="A37" s="14" t="s">
        <v>47</v>
      </c>
      <c r="B37" s="14"/>
      <c r="C37" s="14"/>
      <c r="D37" s="14"/>
      <c r="E37" s="14"/>
      <c r="F37" s="14"/>
      <c r="G37" s="14"/>
      <c r="H37" s="14"/>
      <c r="I37" s="14"/>
      <c r="J37" s="14"/>
      <c r="K37" s="14"/>
      <c r="L37" s="14"/>
      <c r="M37" s="14"/>
      <c r="N37" s="14"/>
      <c r="O37" s="14"/>
    </row>
    <row r="38" spans="1:15" x14ac:dyDescent="0.3">
      <c r="A38" s="7" t="s">
        <v>31</v>
      </c>
      <c r="B38" s="28">
        <f>B26+B33</f>
        <v>0</v>
      </c>
    </row>
    <row r="39" spans="1:15" x14ac:dyDescent="0.3">
      <c r="A39" s="14" t="s">
        <v>48</v>
      </c>
      <c r="B39" s="14"/>
      <c r="C39" s="14"/>
      <c r="D39" s="14"/>
      <c r="E39" s="14"/>
      <c r="F39" s="14"/>
      <c r="G39" s="14"/>
      <c r="H39" s="14"/>
      <c r="I39" s="14"/>
      <c r="J39" s="14"/>
      <c r="K39" s="14"/>
      <c r="L39" s="14"/>
      <c r="M39" s="14"/>
      <c r="N39" s="14"/>
      <c r="O39" s="14"/>
    </row>
    <row r="40" spans="1:15" x14ac:dyDescent="0.3">
      <c r="A40" t="s">
        <v>40</v>
      </c>
      <c r="B40" s="25">
        <f>10*LOG10(290)</f>
        <v>24.62397997898956</v>
      </c>
    </row>
    <row r="41" spans="1:15" x14ac:dyDescent="0.3">
      <c r="A41" s="14" t="s">
        <v>49</v>
      </c>
      <c r="B41" s="14"/>
      <c r="C41" s="14"/>
      <c r="D41" s="14"/>
      <c r="E41" s="14"/>
      <c r="F41" s="14"/>
      <c r="G41" s="14"/>
      <c r="H41" s="14"/>
      <c r="I41" s="14"/>
      <c r="J41" s="14"/>
      <c r="K41" s="14"/>
      <c r="L41" s="14"/>
      <c r="M41" s="14"/>
      <c r="N41" s="14"/>
      <c r="O41" s="14"/>
    </row>
    <row r="42" spans="1:15" x14ac:dyDescent="0.3">
      <c r="A42" t="s">
        <v>41</v>
      </c>
      <c r="B42" s="25">
        <f>B34-B40</f>
        <v>-24.62397997898956</v>
      </c>
    </row>
    <row r="43" spans="1:15" x14ac:dyDescent="0.3">
      <c r="A43" s="14" t="s">
        <v>50</v>
      </c>
      <c r="B43" s="14"/>
      <c r="C43" s="14"/>
      <c r="D43" s="14"/>
      <c r="E43" s="14"/>
      <c r="F43" s="14"/>
      <c r="G43" s="14"/>
      <c r="H43" s="14"/>
      <c r="I43" s="14"/>
      <c r="J43" s="14"/>
      <c r="K43" s="14"/>
      <c r="L43" s="14"/>
      <c r="M43" s="14"/>
      <c r="N43" s="14"/>
      <c r="O43" s="14"/>
    </row>
    <row r="44" spans="1:15" x14ac:dyDescent="0.3">
      <c r="A44" t="s">
        <v>42</v>
      </c>
      <c r="B44" s="25">
        <f>B38+B42-B30-B31-B36+228.6</f>
        <v>46.406767922501359</v>
      </c>
    </row>
    <row r="45" spans="1:15" x14ac:dyDescent="0.3">
      <c r="A45" s="14" t="s">
        <v>52</v>
      </c>
      <c r="B45" s="14"/>
      <c r="C45" s="14"/>
      <c r="D45" s="14"/>
      <c r="E45" s="14"/>
      <c r="F45" s="14"/>
      <c r="G45" s="14"/>
      <c r="H45" s="14"/>
      <c r="I45" s="14"/>
      <c r="J45" s="14"/>
      <c r="K45" s="14"/>
      <c r="L45" s="14"/>
      <c r="M45" s="14"/>
      <c r="N45" s="14"/>
      <c r="O45" s="14"/>
    </row>
    <row r="46" spans="1:15" x14ac:dyDescent="0.3">
      <c r="A46" t="s">
        <v>43</v>
      </c>
      <c r="B46" s="25">
        <f>B44-10*LOG10(B28)</f>
        <v>6.5840555921056776</v>
      </c>
    </row>
    <row r="47" spans="1:15" x14ac:dyDescent="0.3">
      <c r="A47" s="14" t="s">
        <v>137</v>
      </c>
      <c r="B47" s="14"/>
      <c r="C47" s="14"/>
      <c r="D47" s="14"/>
      <c r="E47" s="14"/>
      <c r="F47" s="14"/>
      <c r="G47" s="14"/>
      <c r="H47" s="14"/>
      <c r="I47" s="14"/>
      <c r="J47" s="14"/>
      <c r="K47" s="14"/>
      <c r="L47" s="14"/>
      <c r="M47" s="14"/>
      <c r="N47" s="14"/>
      <c r="O47" s="14"/>
    </row>
    <row r="48" spans="1:15" x14ac:dyDescent="0.3">
      <c r="A48" s="14" t="s">
        <v>138</v>
      </c>
      <c r="B48" s="14"/>
      <c r="C48" s="14"/>
      <c r="D48" s="14"/>
      <c r="E48" s="14"/>
      <c r="F48" s="14"/>
      <c r="G48" s="14"/>
      <c r="H48" s="14"/>
      <c r="I48" s="14"/>
      <c r="J48" s="14"/>
      <c r="K48" s="14"/>
      <c r="L48" s="14"/>
      <c r="M48" s="14"/>
      <c r="N48" s="14"/>
      <c r="O48" s="14"/>
    </row>
    <row r="49" spans="1:15" x14ac:dyDescent="0.3">
      <c r="A49" t="s">
        <v>44</v>
      </c>
      <c r="B49" s="25">
        <v>9.5</v>
      </c>
    </row>
    <row r="50" spans="1:15" x14ac:dyDescent="0.3">
      <c r="A50" s="14" t="s">
        <v>51</v>
      </c>
      <c r="B50" s="14"/>
      <c r="C50" s="14"/>
      <c r="D50" s="14"/>
      <c r="E50" s="14"/>
      <c r="F50" s="14"/>
      <c r="G50" s="14"/>
      <c r="H50" s="14"/>
      <c r="I50" s="14"/>
      <c r="J50" s="14"/>
      <c r="K50" s="14"/>
      <c r="L50" s="14"/>
      <c r="M50" s="14"/>
      <c r="N50" s="14"/>
      <c r="O50" s="14"/>
    </row>
    <row r="51" spans="1:15" x14ac:dyDescent="0.3">
      <c r="A51" s="10" t="s">
        <v>45</v>
      </c>
      <c r="B51" s="23">
        <f>B28/2</f>
        <v>4800</v>
      </c>
      <c r="D51" s="10"/>
      <c r="E51" s="10"/>
      <c r="F51" s="10"/>
      <c r="G51" s="10"/>
      <c r="H51" s="10"/>
      <c r="I51" s="10"/>
      <c r="J51" s="10"/>
      <c r="K51" s="10"/>
      <c r="L51" s="10"/>
      <c r="M51" s="10"/>
      <c r="N51" s="10"/>
      <c r="O51" s="10"/>
    </row>
    <row r="52" spans="1:15" ht="23.4" x14ac:dyDescent="0.45">
      <c r="A52" s="66" t="s">
        <v>33</v>
      </c>
      <c r="B52" s="66"/>
      <c r="C52" s="66"/>
      <c r="D52" s="66"/>
      <c r="E52" s="66"/>
      <c r="F52" s="66"/>
      <c r="G52" s="66"/>
      <c r="H52" s="2"/>
      <c r="I52" s="2"/>
      <c r="J52" s="2"/>
      <c r="K52" s="2"/>
      <c r="L52" s="2"/>
      <c r="M52" s="2"/>
      <c r="N52" s="2"/>
      <c r="O52" s="2"/>
    </row>
    <row r="53" spans="1:15" x14ac:dyDescent="0.3">
      <c r="A53" s="14" t="s">
        <v>26</v>
      </c>
      <c r="B53" s="14"/>
      <c r="C53" s="17" t="s">
        <v>53</v>
      </c>
      <c r="D53" s="17"/>
      <c r="E53" s="17"/>
      <c r="F53" s="17"/>
      <c r="G53" s="17"/>
      <c r="H53" s="67"/>
      <c r="I53" s="67"/>
      <c r="J53" s="67"/>
      <c r="K53" s="67"/>
      <c r="L53" s="67"/>
      <c r="M53" s="67"/>
      <c r="N53" s="67"/>
      <c r="O53" s="67"/>
    </row>
    <row r="54" spans="1:15" x14ac:dyDescent="0.3">
      <c r="A54" t="s">
        <v>32</v>
      </c>
      <c r="B54" s="23">
        <v>128000</v>
      </c>
      <c r="C54" s="29">
        <v>128000</v>
      </c>
      <c r="H54" s="11"/>
      <c r="I54" s="11"/>
      <c r="J54" s="11"/>
      <c r="K54" s="11"/>
      <c r="L54" s="11"/>
      <c r="M54" s="11"/>
      <c r="N54" s="11"/>
      <c r="O54" s="11"/>
    </row>
    <row r="55" spans="1:15" x14ac:dyDescent="0.3">
      <c r="A55" t="s">
        <v>24</v>
      </c>
      <c r="B55" s="23">
        <v>60</v>
      </c>
      <c r="C55" s="29">
        <v>10</v>
      </c>
    </row>
    <row r="56" spans="1:15" x14ac:dyDescent="0.3">
      <c r="A56" t="s">
        <v>34</v>
      </c>
      <c r="B56" s="23">
        <v>5</v>
      </c>
      <c r="C56" s="29">
        <v>5</v>
      </c>
    </row>
    <row r="57" spans="1:15" x14ac:dyDescent="0.3">
      <c r="A57" t="s">
        <v>35</v>
      </c>
      <c r="B57" s="23">
        <v>2</v>
      </c>
      <c r="C57" s="29">
        <v>2</v>
      </c>
    </row>
    <row r="58" spans="1:15" x14ac:dyDescent="0.3">
      <c r="A58" t="s">
        <v>23</v>
      </c>
      <c r="B58" s="23">
        <v>7000</v>
      </c>
      <c r="C58" s="29">
        <v>7000</v>
      </c>
    </row>
    <row r="59" spans="1:15" x14ac:dyDescent="0.3">
      <c r="A59" t="s">
        <v>27</v>
      </c>
      <c r="B59" s="25">
        <f>10*LOG10(B58)</f>
        <v>38.450980400142569</v>
      </c>
      <c r="C59" s="30">
        <f>10*LOG10(C58)</f>
        <v>38.450980400142569</v>
      </c>
    </row>
    <row r="60" spans="1:15" x14ac:dyDescent="0.3">
      <c r="A60" t="s">
        <v>36</v>
      </c>
      <c r="B60" s="23">
        <v>0.55000000000000004</v>
      </c>
      <c r="C60" s="29">
        <v>0.55000000000000004</v>
      </c>
    </row>
    <row r="61" spans="1:15" x14ac:dyDescent="0.3">
      <c r="A61" t="s">
        <v>22</v>
      </c>
      <c r="B61" s="31">
        <v>149600000</v>
      </c>
      <c r="C61" s="32">
        <v>149600000</v>
      </c>
    </row>
    <row r="62" spans="1:15" x14ac:dyDescent="0.3">
      <c r="A62" s="5" t="s">
        <v>28</v>
      </c>
      <c r="B62" s="23">
        <v>2</v>
      </c>
      <c r="C62" s="29">
        <v>2</v>
      </c>
    </row>
    <row r="63" spans="1:15" x14ac:dyDescent="0.3">
      <c r="A63" s="5" t="s">
        <v>39</v>
      </c>
      <c r="B63" s="23">
        <v>2</v>
      </c>
      <c r="C63" s="29">
        <v>2</v>
      </c>
    </row>
    <row r="64" spans="1:15" x14ac:dyDescent="0.3">
      <c r="A64" s="1" t="s">
        <v>145</v>
      </c>
      <c r="C64" s="29"/>
    </row>
    <row r="65" spans="1:15" x14ac:dyDescent="0.3">
      <c r="A65" t="s">
        <v>37</v>
      </c>
      <c r="B65" s="33">
        <f>20.4 + 20 *LOG10(B55) + 20 *LOG10(B56) + 10 *LOG10(B60)</f>
        <v>67.346051989335677</v>
      </c>
      <c r="C65" s="34">
        <f>20.4 + 20 *LOG10(C55) + 20 *LOG10(C56) + 10 *LOG10(C60)</f>
        <v>51.783026981662815</v>
      </c>
    </row>
    <row r="66" spans="1:15" x14ac:dyDescent="0.3">
      <c r="A66" t="s">
        <v>38</v>
      </c>
      <c r="B66" s="33">
        <f>20.4 + 20 *LOG10(B55) + 20 *LOG10(B57) + 10 *LOG10(B60)</f>
        <v>59.387251815894935</v>
      </c>
      <c r="C66" s="34">
        <f>20.4 + 20 *LOG10(C55) + 20 *LOG10(C57) + 10 *LOG10(C60)</f>
        <v>43.824226808222065</v>
      </c>
    </row>
    <row r="67" spans="1:15" x14ac:dyDescent="0.3">
      <c r="A67" s="14" t="s">
        <v>46</v>
      </c>
      <c r="B67" s="14"/>
      <c r="C67" s="14"/>
      <c r="D67" s="14"/>
      <c r="E67" s="14"/>
      <c r="F67" s="14"/>
      <c r="G67" s="14"/>
      <c r="H67" s="14"/>
      <c r="I67" s="14"/>
      <c r="J67" s="14"/>
      <c r="K67" s="14"/>
      <c r="L67" s="14"/>
      <c r="M67" s="14"/>
      <c r="N67" s="14"/>
      <c r="O67" s="14"/>
    </row>
    <row r="68" spans="1:15" x14ac:dyDescent="0.3">
      <c r="A68" t="s">
        <v>29</v>
      </c>
      <c r="B68" s="33">
        <f>92.5 + 20*LOG10(B61)+20*LOG10(B55)</f>
        <v>291.56165687824171</v>
      </c>
      <c r="C68" s="34">
        <f>92.5 + 20*LOG10(C61)+20*LOG10(C55)</f>
        <v>275.99863187056883</v>
      </c>
    </row>
    <row r="69" spans="1:15" x14ac:dyDescent="0.3">
      <c r="A69" s="14" t="s">
        <v>47</v>
      </c>
      <c r="B69" s="18"/>
      <c r="C69" s="18"/>
      <c r="D69" s="18"/>
      <c r="E69" s="18"/>
      <c r="F69" s="18"/>
      <c r="G69" s="18"/>
      <c r="H69" s="18"/>
      <c r="I69" s="18"/>
      <c r="J69" s="18"/>
      <c r="K69" s="18"/>
      <c r="L69" s="18"/>
      <c r="M69" s="18"/>
      <c r="N69" s="18"/>
      <c r="O69" s="18"/>
    </row>
    <row r="70" spans="1:15" x14ac:dyDescent="0.3">
      <c r="A70" t="s">
        <v>31</v>
      </c>
      <c r="B70" s="25">
        <f>B59+B65</f>
        <v>105.79703238947825</v>
      </c>
      <c r="C70" s="30">
        <f>C59+C65</f>
        <v>90.234007381805384</v>
      </c>
    </row>
    <row r="71" spans="1:15" x14ac:dyDescent="0.3">
      <c r="A71" s="1" t="s">
        <v>48</v>
      </c>
    </row>
    <row r="72" spans="1:15" x14ac:dyDescent="0.3">
      <c r="A72" t="s">
        <v>40</v>
      </c>
      <c r="B72" s="25">
        <f>10*LOG10(290)</f>
        <v>24.62397997898956</v>
      </c>
      <c r="C72" s="30">
        <f>10*LOG10(290)</f>
        <v>24.62397997898956</v>
      </c>
    </row>
    <row r="73" spans="1:15" x14ac:dyDescent="0.3">
      <c r="A73" s="14" t="s">
        <v>49</v>
      </c>
      <c r="B73" s="14"/>
      <c r="C73" s="14"/>
      <c r="D73" s="14"/>
      <c r="E73" s="14"/>
      <c r="F73" s="14"/>
      <c r="G73" s="14"/>
      <c r="H73" s="14"/>
      <c r="I73" s="14"/>
      <c r="J73" s="14"/>
      <c r="K73" s="14"/>
      <c r="L73" s="14"/>
      <c r="M73" s="14"/>
      <c r="N73" s="14"/>
      <c r="O73" s="14"/>
    </row>
    <row r="74" spans="1:15" x14ac:dyDescent="0.3">
      <c r="A74" t="s">
        <v>41</v>
      </c>
      <c r="B74" s="25">
        <f>B66-B72</f>
        <v>34.763271836905375</v>
      </c>
      <c r="C74" s="30">
        <f>C66-C72</f>
        <v>19.200246829232505</v>
      </c>
    </row>
    <row r="75" spans="1:15" x14ac:dyDescent="0.3">
      <c r="A75" s="14" t="s">
        <v>50</v>
      </c>
      <c r="B75" s="14"/>
      <c r="C75" s="14"/>
      <c r="D75" s="14"/>
      <c r="E75" s="14"/>
      <c r="F75" s="14"/>
      <c r="G75" s="14"/>
      <c r="H75" s="14"/>
      <c r="I75" s="14"/>
      <c r="J75" s="14"/>
      <c r="K75" s="14"/>
      <c r="L75" s="14"/>
      <c r="M75" s="14"/>
      <c r="N75" s="14"/>
      <c r="O75" s="14"/>
    </row>
    <row r="76" spans="1:15" x14ac:dyDescent="0.3">
      <c r="A76" t="s">
        <v>42</v>
      </c>
      <c r="B76" s="25">
        <f>B70+B74-B62-B63-B68+228.6</f>
        <v>73.598647348141895</v>
      </c>
      <c r="C76" s="30">
        <f>C70+C74-C62-C63-C68+228.6</f>
        <v>58.035622340469047</v>
      </c>
    </row>
    <row r="77" spans="1:15" x14ac:dyDescent="0.3">
      <c r="A77" s="14" t="s">
        <v>52</v>
      </c>
      <c r="B77" s="14"/>
      <c r="C77" s="14"/>
      <c r="D77" s="14"/>
      <c r="E77" s="14"/>
      <c r="F77" s="14"/>
      <c r="G77" s="14"/>
      <c r="H77" s="14"/>
      <c r="I77" s="14"/>
      <c r="J77" s="14"/>
      <c r="K77" s="14"/>
      <c r="L77" s="14"/>
      <c r="M77" s="14"/>
      <c r="N77" s="14"/>
      <c r="O77" s="14"/>
    </row>
    <row r="78" spans="1:15" x14ac:dyDescent="0.3">
      <c r="A78" t="s">
        <v>43</v>
      </c>
      <c r="B78" s="25">
        <f>B76-10*LOG10(B54)</f>
        <v>22.526547651663208</v>
      </c>
      <c r="C78" s="30">
        <f>C76-10*LOG10(C54)</f>
        <v>6.963522643990359</v>
      </c>
    </row>
    <row r="79" spans="1:15" ht="14.4" customHeight="1" x14ac:dyDescent="0.3">
      <c r="A79" s="38" t="s">
        <v>119</v>
      </c>
      <c r="B79" s="38"/>
      <c r="C79" s="39" t="s">
        <v>120</v>
      </c>
      <c r="D79" s="39"/>
      <c r="E79" s="39"/>
      <c r="F79" s="39"/>
      <c r="G79" s="39"/>
      <c r="H79" s="65"/>
      <c r="I79" s="65"/>
      <c r="J79" s="6"/>
      <c r="K79" s="6"/>
      <c r="L79" s="6"/>
      <c r="M79" s="6"/>
      <c r="N79" s="6"/>
      <c r="O79" s="6"/>
    </row>
    <row r="80" spans="1:15" x14ac:dyDescent="0.3">
      <c r="A80" s="38"/>
      <c r="B80" s="38"/>
      <c r="C80" s="39"/>
      <c r="D80" s="39"/>
      <c r="E80" s="39"/>
      <c r="F80" s="39"/>
      <c r="G80" s="39"/>
      <c r="H80" s="65"/>
      <c r="I80" s="65"/>
      <c r="J80" s="6"/>
      <c r="K80" s="6"/>
      <c r="L80" s="6"/>
      <c r="M80" s="6"/>
      <c r="N80" s="6"/>
      <c r="O80" s="6"/>
    </row>
    <row r="81" spans="1:15" x14ac:dyDescent="0.3">
      <c r="A81" s="38"/>
      <c r="B81" s="38"/>
      <c r="C81" s="39"/>
      <c r="D81" s="39"/>
      <c r="E81" s="39"/>
      <c r="F81" s="39"/>
      <c r="G81" s="39"/>
      <c r="H81" s="65"/>
      <c r="I81" s="65"/>
    </row>
    <row r="82" spans="1:15" x14ac:dyDescent="0.3">
      <c r="A82" s="38"/>
      <c r="B82" s="38"/>
      <c r="C82" s="39"/>
      <c r="D82" s="39"/>
      <c r="E82" s="39"/>
      <c r="F82" s="39"/>
      <c r="G82" s="39"/>
      <c r="H82" s="65"/>
      <c r="I82" s="65"/>
    </row>
    <row r="83" spans="1:15" ht="23.4" x14ac:dyDescent="0.45">
      <c r="A83" s="15" t="s">
        <v>54</v>
      </c>
      <c r="B83" s="15"/>
      <c r="C83" s="15"/>
      <c r="D83" s="15"/>
      <c r="E83" s="15"/>
      <c r="F83" s="15"/>
      <c r="G83" s="15"/>
      <c r="H83" s="2"/>
      <c r="I83" s="2"/>
      <c r="J83" s="2"/>
      <c r="K83" s="2"/>
      <c r="L83" s="2"/>
      <c r="M83" s="2"/>
      <c r="N83" s="2"/>
      <c r="O83" s="2"/>
    </row>
    <row r="84" spans="1:15" ht="16.8" customHeight="1" x14ac:dyDescent="0.45">
      <c r="A84" s="8" t="s">
        <v>26</v>
      </c>
      <c r="B84" s="13" t="s">
        <v>55</v>
      </c>
      <c r="C84" s="13" t="s">
        <v>56</v>
      </c>
      <c r="D84" s="3"/>
      <c r="E84" s="3"/>
      <c r="F84" s="3"/>
      <c r="G84" s="3"/>
      <c r="H84" s="3"/>
      <c r="I84" s="3"/>
      <c r="J84" s="3"/>
      <c r="K84" s="3"/>
      <c r="L84" s="3"/>
      <c r="M84" s="3"/>
      <c r="N84" s="3"/>
      <c r="O84" s="3"/>
    </row>
    <row r="85" spans="1:15" x14ac:dyDescent="0.3">
      <c r="A85" t="s">
        <v>45</v>
      </c>
      <c r="B85" s="23">
        <v>256000</v>
      </c>
      <c r="C85" s="23">
        <v>256000</v>
      </c>
    </row>
    <row r="86" spans="1:15" x14ac:dyDescent="0.3">
      <c r="A86" t="s">
        <v>24</v>
      </c>
      <c r="B86" s="23">
        <v>1.25</v>
      </c>
      <c r="C86" s="23">
        <v>1.25</v>
      </c>
    </row>
    <row r="87" spans="1:15" x14ac:dyDescent="0.3">
      <c r="A87" t="s">
        <v>34</v>
      </c>
      <c r="B87" s="23">
        <v>2</v>
      </c>
      <c r="C87" s="23">
        <v>2</v>
      </c>
    </row>
    <row r="88" spans="1:15" x14ac:dyDescent="0.3">
      <c r="A88" t="s">
        <v>36</v>
      </c>
      <c r="B88" s="23">
        <v>0.55000000000000004</v>
      </c>
      <c r="C88" s="23">
        <v>0.55000000000000004</v>
      </c>
    </row>
    <row r="89" spans="1:15" x14ac:dyDescent="0.3">
      <c r="A89" s="14" t="s">
        <v>143</v>
      </c>
      <c r="B89" s="14"/>
      <c r="C89" s="14"/>
      <c r="D89" s="14"/>
      <c r="E89" s="14"/>
      <c r="F89" s="14"/>
      <c r="G89" s="14"/>
    </row>
    <row r="90" spans="1:15" x14ac:dyDescent="0.3">
      <c r="A90" s="5" t="s">
        <v>22</v>
      </c>
      <c r="B90" s="28">
        <f>(1000^2 + 1750^2)^0.5</f>
        <v>2015.5644370746375</v>
      </c>
      <c r="C90" s="28">
        <f>(1000^2+1888^2)^0.5</f>
        <v>2136.4793469631295</v>
      </c>
      <c r="D90" s="18" t="s">
        <v>144</v>
      </c>
      <c r="E90" s="18"/>
      <c r="F90" s="18"/>
      <c r="G90" s="18"/>
    </row>
    <row r="91" spans="1:15" x14ac:dyDescent="0.3">
      <c r="A91" s="5" t="s">
        <v>28</v>
      </c>
      <c r="B91" s="23">
        <v>2</v>
      </c>
      <c r="C91" s="23">
        <v>2</v>
      </c>
    </row>
    <row r="92" spans="1:15" x14ac:dyDescent="0.3">
      <c r="A92" s="5" t="s">
        <v>39</v>
      </c>
      <c r="B92" s="23">
        <v>2</v>
      </c>
      <c r="C92" s="23">
        <f>15</f>
        <v>15</v>
      </c>
    </row>
    <row r="93" spans="1:15" ht="43.8" customHeight="1" x14ac:dyDescent="0.3">
      <c r="A93" s="73" t="s">
        <v>57</v>
      </c>
      <c r="B93" s="74">
        <v>22</v>
      </c>
      <c r="C93" s="74">
        <v>25</v>
      </c>
      <c r="D93" s="72" t="s">
        <v>156</v>
      </c>
      <c r="E93" s="72"/>
      <c r="F93" s="72"/>
      <c r="G93" s="72"/>
    </row>
    <row r="94" spans="1:15" x14ac:dyDescent="0.3">
      <c r="A94" s="14" t="s">
        <v>152</v>
      </c>
      <c r="B94" s="14"/>
      <c r="C94" s="14"/>
      <c r="D94" s="14"/>
      <c r="E94" s="14"/>
      <c r="F94" s="14"/>
      <c r="G94" s="14"/>
    </row>
    <row r="95" spans="1:15" x14ac:dyDescent="0.3">
      <c r="A95" s="8" t="s">
        <v>153</v>
      </c>
      <c r="B95" s="8"/>
      <c r="C95" s="8"/>
      <c r="D95" s="8"/>
      <c r="E95" s="8"/>
      <c r="F95" s="8"/>
      <c r="G95" s="8"/>
    </row>
    <row r="96" spans="1:15" x14ac:dyDescent="0.3">
      <c r="A96" s="9" t="s">
        <v>154</v>
      </c>
      <c r="B96" s="45">
        <v>0</v>
      </c>
      <c r="C96" s="45">
        <v>3</v>
      </c>
      <c r="D96" s="8"/>
      <c r="E96" s="8"/>
      <c r="F96" s="8"/>
      <c r="G96" s="8"/>
    </row>
    <row r="97" spans="1:15" x14ac:dyDescent="0.3">
      <c r="A97" s="8" t="s">
        <v>151</v>
      </c>
      <c r="B97" s="8"/>
      <c r="C97" s="8"/>
      <c r="D97" s="8"/>
      <c r="E97" s="8"/>
      <c r="F97" s="8"/>
      <c r="G97" s="8"/>
    </row>
    <row r="98" spans="1:15" x14ac:dyDescent="0.3">
      <c r="A98" s="14" t="s">
        <v>145</v>
      </c>
      <c r="B98" s="14"/>
      <c r="C98" s="14"/>
      <c r="D98" s="14"/>
      <c r="E98" s="14"/>
      <c r="F98" s="14"/>
      <c r="G98" s="14"/>
      <c r="H98" s="14"/>
      <c r="I98" s="14"/>
      <c r="J98" s="14"/>
      <c r="K98" s="14"/>
      <c r="L98" s="14"/>
      <c r="M98" s="14"/>
      <c r="N98" s="14"/>
      <c r="O98" s="14"/>
    </row>
    <row r="99" spans="1:15" x14ac:dyDescent="0.3">
      <c r="A99" s="9" t="s">
        <v>37</v>
      </c>
      <c r="B99" s="27">
        <f>20.4 + 20*LOG10(B86) +20*LOG10(B87)+10*LOG10(B88)</f>
        <v>25.76242706838319</v>
      </c>
      <c r="C99" s="27"/>
      <c r="D99" s="8"/>
      <c r="E99" s="8"/>
      <c r="F99" s="8"/>
      <c r="G99" s="8"/>
      <c r="H99" s="8"/>
      <c r="I99" s="8"/>
      <c r="J99" s="8"/>
      <c r="K99" s="8"/>
      <c r="L99" s="8"/>
      <c r="M99" s="8"/>
      <c r="N99" s="8"/>
      <c r="O99" s="8"/>
    </row>
    <row r="100" spans="1:15" x14ac:dyDescent="0.3">
      <c r="A100" s="9" t="s">
        <v>38</v>
      </c>
      <c r="B100" s="27">
        <v>0</v>
      </c>
      <c r="C100" s="71" t="s">
        <v>150</v>
      </c>
      <c r="D100" s="8"/>
      <c r="E100" s="8"/>
      <c r="F100" s="8"/>
      <c r="G100" s="8"/>
      <c r="H100" s="8"/>
      <c r="I100" s="8"/>
      <c r="J100" s="8"/>
      <c r="K100" s="8"/>
      <c r="L100" s="8"/>
      <c r="M100" s="8"/>
      <c r="N100" s="8"/>
      <c r="O100" s="8"/>
    </row>
    <row r="101" spans="1:15" x14ac:dyDescent="0.3">
      <c r="A101" s="16" t="s">
        <v>46</v>
      </c>
      <c r="B101" s="16"/>
      <c r="C101" s="16"/>
      <c r="D101" s="16"/>
      <c r="E101" s="16"/>
      <c r="F101" s="16"/>
      <c r="G101" s="16"/>
      <c r="H101" s="16"/>
      <c r="I101" s="16"/>
      <c r="J101" s="16"/>
      <c r="K101" s="16"/>
      <c r="L101" s="16"/>
      <c r="M101" s="16"/>
      <c r="N101" s="16"/>
      <c r="O101" s="16"/>
    </row>
    <row r="102" spans="1:15" x14ac:dyDescent="0.3">
      <c r="A102" s="11" t="s">
        <v>29</v>
      </c>
      <c r="B102" s="35">
        <f>92.45+20*LOG10(B90)+20*LOG10(B86)</f>
        <v>160.47613400003041</v>
      </c>
      <c r="C102" s="35">
        <f>92.45+20*LOG10(C90)+20*LOG10(C86)</f>
        <v>160.9821742383923</v>
      </c>
      <c r="D102" s="11"/>
      <c r="E102" s="11"/>
      <c r="F102" s="11"/>
      <c r="G102" s="11"/>
      <c r="H102" s="11"/>
      <c r="I102" s="11"/>
      <c r="J102" s="11"/>
      <c r="K102" s="11"/>
      <c r="L102" s="11"/>
      <c r="M102" s="11"/>
      <c r="N102" s="11"/>
      <c r="O102" s="11"/>
    </row>
    <row r="103" spans="1:15" x14ac:dyDescent="0.3">
      <c r="A103" s="12" t="s">
        <v>58</v>
      </c>
      <c r="B103" s="36"/>
      <c r="C103" s="36"/>
      <c r="D103" s="11"/>
      <c r="E103" s="11"/>
      <c r="F103" s="11"/>
      <c r="G103" s="11"/>
      <c r="H103" s="11"/>
      <c r="I103" s="11"/>
      <c r="J103" s="11"/>
      <c r="K103" s="11"/>
      <c r="L103" s="11"/>
      <c r="M103" s="11"/>
      <c r="N103" s="11"/>
      <c r="O103" s="11"/>
    </row>
    <row r="104" spans="1:15" x14ac:dyDescent="0.3">
      <c r="A104" s="11" t="s">
        <v>40</v>
      </c>
      <c r="B104" s="25">
        <f>10*LOG10(290)</f>
        <v>24.62397997898956</v>
      </c>
      <c r="C104" s="25">
        <f>10*LOG10(290)</f>
        <v>24.62397997898956</v>
      </c>
      <c r="D104" s="11"/>
      <c r="E104" s="11"/>
      <c r="F104" s="11"/>
      <c r="G104" s="11"/>
      <c r="H104" s="11"/>
      <c r="I104" s="11"/>
      <c r="J104" s="11"/>
      <c r="K104" s="11"/>
      <c r="L104" s="11"/>
      <c r="M104" s="11"/>
      <c r="N104" s="11"/>
      <c r="O104" s="11"/>
    </row>
    <row r="105" spans="1:15" x14ac:dyDescent="0.3">
      <c r="A105" s="12" t="s">
        <v>147</v>
      </c>
      <c r="B105" s="25"/>
      <c r="C105" s="25"/>
      <c r="D105" s="11"/>
      <c r="E105" s="11"/>
      <c r="F105" s="11"/>
      <c r="G105" s="11"/>
      <c r="H105" s="11"/>
      <c r="I105" s="11"/>
      <c r="J105" s="11"/>
      <c r="K105" s="11"/>
      <c r="L105" s="11"/>
      <c r="M105" s="11"/>
      <c r="N105" s="11"/>
      <c r="O105" s="11"/>
    </row>
    <row r="106" spans="1:15" x14ac:dyDescent="0.3">
      <c r="A106" s="16" t="s">
        <v>146</v>
      </c>
      <c r="B106" s="16"/>
      <c r="C106" s="16"/>
      <c r="D106" s="16"/>
      <c r="E106" s="16"/>
      <c r="F106" s="16"/>
      <c r="G106" s="16"/>
      <c r="H106" s="16"/>
      <c r="I106" s="16"/>
      <c r="J106" s="16"/>
      <c r="K106" s="16"/>
      <c r="L106" s="16"/>
      <c r="M106" s="16"/>
      <c r="N106" s="16"/>
      <c r="O106" s="16"/>
    </row>
    <row r="107" spans="1:15" x14ac:dyDescent="0.3">
      <c r="A107" s="11" t="s">
        <v>41</v>
      </c>
      <c r="B107" s="37">
        <f>B100-B104</f>
        <v>-24.62397997898956</v>
      </c>
      <c r="C107" s="37"/>
      <c r="D107" s="11"/>
      <c r="E107" s="11"/>
      <c r="F107" s="11"/>
      <c r="G107" s="11"/>
      <c r="H107" s="11"/>
      <c r="I107" s="11"/>
      <c r="J107" s="11"/>
      <c r="K107" s="11"/>
      <c r="L107" s="11"/>
      <c r="M107" s="11"/>
      <c r="N107" s="11"/>
      <c r="O107" s="11"/>
    </row>
    <row r="108" spans="1:15" x14ac:dyDescent="0.3">
      <c r="A108" s="16" t="s">
        <v>148</v>
      </c>
      <c r="B108" s="16"/>
      <c r="C108" s="16"/>
      <c r="D108" s="16"/>
      <c r="E108" s="16"/>
      <c r="F108" s="16"/>
      <c r="G108" s="16"/>
      <c r="H108" s="16"/>
      <c r="I108" s="16"/>
      <c r="J108" s="16"/>
      <c r="K108" s="16"/>
      <c r="L108" s="16"/>
      <c r="M108" s="16"/>
      <c r="N108" s="16"/>
      <c r="O108" s="16"/>
    </row>
    <row r="109" spans="1:15" x14ac:dyDescent="0.3">
      <c r="A109" s="11" t="s">
        <v>96</v>
      </c>
      <c r="B109" s="37">
        <f>B107-B102-B92-B93+228.6</f>
        <v>19.499886020980028</v>
      </c>
      <c r="C109" s="37"/>
      <c r="D109" s="11"/>
      <c r="E109" s="11"/>
      <c r="F109" s="11"/>
      <c r="G109" s="11"/>
      <c r="H109" s="11"/>
      <c r="I109" s="11"/>
      <c r="J109" s="11"/>
      <c r="K109" s="11"/>
      <c r="L109" s="11"/>
      <c r="M109" s="11"/>
      <c r="N109" s="11"/>
      <c r="O109" s="11"/>
    </row>
    <row r="110" spans="1:15" x14ac:dyDescent="0.3">
      <c r="A110" s="14" t="s">
        <v>149</v>
      </c>
      <c r="B110" s="14"/>
      <c r="C110" s="14"/>
      <c r="D110" s="14"/>
      <c r="E110" s="14"/>
      <c r="F110" s="14"/>
      <c r="G110" s="14"/>
      <c r="H110" s="14"/>
      <c r="I110" s="14"/>
      <c r="J110" s="14"/>
      <c r="K110" s="14"/>
      <c r="L110" s="14"/>
      <c r="M110" s="14"/>
      <c r="N110" s="14"/>
      <c r="O110" s="14"/>
    </row>
    <row r="111" spans="1:15" x14ac:dyDescent="0.3">
      <c r="A111" s="11" t="s">
        <v>41</v>
      </c>
      <c r="B111" s="37">
        <f>B109+C102+C92+C93+C96-228.6</f>
        <v>-5.1179397406276621</v>
      </c>
      <c r="C111" s="37"/>
      <c r="D111" s="11"/>
      <c r="E111" s="11"/>
      <c r="F111" s="11"/>
      <c r="G111" s="11"/>
      <c r="H111" s="11"/>
      <c r="I111" s="11"/>
      <c r="J111" s="11"/>
      <c r="K111" s="11"/>
      <c r="L111" s="11"/>
      <c r="M111" s="11"/>
      <c r="N111" s="11"/>
      <c r="O111" s="11"/>
    </row>
    <row r="112" spans="1:15" x14ac:dyDescent="0.3">
      <c r="A112" s="12" t="s">
        <v>155</v>
      </c>
      <c r="B112" s="36"/>
      <c r="C112" s="36"/>
      <c r="D112" s="11"/>
      <c r="E112" s="11"/>
      <c r="F112" s="11"/>
      <c r="G112" s="11"/>
      <c r="H112" s="11"/>
      <c r="I112" s="11"/>
      <c r="J112" s="11"/>
      <c r="K112" s="11"/>
      <c r="L112" s="11"/>
      <c r="M112" s="11"/>
      <c r="N112" s="11"/>
      <c r="O112" s="11"/>
    </row>
    <row r="113" spans="1:15" x14ac:dyDescent="0.3">
      <c r="A113" s="11" t="s">
        <v>38</v>
      </c>
      <c r="B113" s="37">
        <f>B111+C104</f>
        <v>19.506040238361898</v>
      </c>
      <c r="C113" s="36"/>
      <c r="D113" s="11"/>
      <c r="E113" s="11"/>
      <c r="F113" s="11"/>
      <c r="G113" s="11"/>
      <c r="H113" s="11"/>
      <c r="I113" s="11"/>
      <c r="J113" s="11"/>
      <c r="K113" s="11"/>
      <c r="L113" s="11"/>
      <c r="M113" s="11"/>
      <c r="N113" s="11"/>
      <c r="O113" s="11"/>
    </row>
    <row r="116" spans="1:15" ht="23.4" x14ac:dyDescent="0.45">
      <c r="A116" s="15" t="s">
        <v>130</v>
      </c>
      <c r="B116" s="15"/>
      <c r="C116" s="15"/>
      <c r="D116" s="15"/>
      <c r="E116" s="15"/>
      <c r="F116" s="15"/>
      <c r="G116" s="15"/>
      <c r="H116" s="2"/>
      <c r="I116" s="2"/>
      <c r="J116" s="2"/>
      <c r="K116" s="2"/>
      <c r="L116" s="2"/>
      <c r="M116" s="2"/>
      <c r="N116" s="2"/>
      <c r="O116" s="2"/>
    </row>
    <row r="117" spans="1:15" x14ac:dyDescent="0.3">
      <c r="A117" s="14" t="s">
        <v>26</v>
      </c>
      <c r="B117" s="14"/>
    </row>
    <row r="118" spans="1:15" x14ac:dyDescent="0.3">
      <c r="A118" t="s">
        <v>59</v>
      </c>
      <c r="B118" s="23">
        <v>5</v>
      </c>
    </row>
    <row r="119" spans="1:15" x14ac:dyDescent="0.3">
      <c r="A119" t="s">
        <v>60</v>
      </c>
      <c r="B119" s="23">
        <v>600</v>
      </c>
    </row>
    <row r="120" spans="1:15" x14ac:dyDescent="0.3">
      <c r="A120" t="s">
        <v>88</v>
      </c>
      <c r="B120" s="23">
        <v>6371</v>
      </c>
    </row>
    <row r="121" spans="1:15" x14ac:dyDescent="0.3">
      <c r="A121" t="s">
        <v>89</v>
      </c>
      <c r="B121" s="23">
        <v>398600</v>
      </c>
    </row>
    <row r="122" spans="1:15" ht="18" x14ac:dyDescent="0.35">
      <c r="A122" s="59" t="s">
        <v>61</v>
      </c>
      <c r="B122" s="59"/>
      <c r="C122" s="59"/>
      <c r="D122" s="59"/>
      <c r="E122" s="59"/>
      <c r="F122" s="59"/>
      <c r="G122" s="59"/>
      <c r="H122" s="58"/>
      <c r="I122" s="58"/>
      <c r="J122" s="58"/>
      <c r="K122" s="58"/>
      <c r="L122" s="58"/>
      <c r="M122" s="58"/>
      <c r="N122" s="58"/>
      <c r="O122" s="58"/>
    </row>
    <row r="123" spans="1:15" ht="15.6" x14ac:dyDescent="0.3">
      <c r="A123" s="49" t="s">
        <v>95</v>
      </c>
      <c r="B123" s="50" t="s">
        <v>62</v>
      </c>
      <c r="C123" s="50" t="s">
        <v>63</v>
      </c>
      <c r="D123" s="51" t="s">
        <v>64</v>
      </c>
      <c r="E123" s="51" t="s">
        <v>91</v>
      </c>
      <c r="F123" s="51" t="s">
        <v>92</v>
      </c>
      <c r="G123" s="51" t="s">
        <v>93</v>
      </c>
    </row>
    <row r="124" spans="1:15" x14ac:dyDescent="0.3">
      <c r="A124" t="s">
        <v>65</v>
      </c>
      <c r="B124" s="23">
        <v>0</v>
      </c>
      <c r="C124" s="23">
        <v>8</v>
      </c>
      <c r="D124" s="23">
        <v>5</v>
      </c>
      <c r="E124" s="23">
        <v>42</v>
      </c>
      <c r="F124" s="23">
        <v>5</v>
      </c>
      <c r="G124" s="23">
        <v>5</v>
      </c>
    </row>
    <row r="125" spans="1:15" x14ac:dyDescent="0.3">
      <c r="A125" t="s">
        <v>66</v>
      </c>
      <c r="B125" s="23">
        <v>50</v>
      </c>
      <c r="C125" s="23">
        <f>B125/4</f>
        <v>12.5</v>
      </c>
      <c r="D125" s="23">
        <f>B125/4</f>
        <v>12.5</v>
      </c>
      <c r="E125" s="23">
        <f>B125/4</f>
        <v>12.5</v>
      </c>
      <c r="F125" s="23">
        <f>B125/4</f>
        <v>12.5</v>
      </c>
      <c r="G125" s="23">
        <f>B125/4</f>
        <v>12.5</v>
      </c>
    </row>
    <row r="126" spans="1:15" x14ac:dyDescent="0.3">
      <c r="A126" t="s">
        <v>67</v>
      </c>
      <c r="B126" s="23">
        <v>5</v>
      </c>
      <c r="C126" s="23">
        <v>5</v>
      </c>
      <c r="D126" s="23">
        <v>5</v>
      </c>
      <c r="E126" s="23">
        <v>5</v>
      </c>
      <c r="F126" s="23">
        <v>5</v>
      </c>
      <c r="G126" s="23">
        <v>35</v>
      </c>
    </row>
    <row r="127" spans="1:15" x14ac:dyDescent="0.3">
      <c r="A127" t="s">
        <v>94</v>
      </c>
      <c r="B127" s="23">
        <v>3</v>
      </c>
      <c r="C127" s="23">
        <v>3</v>
      </c>
      <c r="D127" s="23">
        <v>20</v>
      </c>
      <c r="E127" s="23">
        <v>20</v>
      </c>
      <c r="F127" s="23">
        <v>20</v>
      </c>
      <c r="G127" s="23">
        <v>20</v>
      </c>
    </row>
    <row r="128" spans="1:15" x14ac:dyDescent="0.3">
      <c r="A128" t="s">
        <v>68</v>
      </c>
      <c r="B128" s="23">
        <v>0</v>
      </c>
      <c r="C128" s="23">
        <v>0</v>
      </c>
      <c r="D128" s="23">
        <v>10</v>
      </c>
      <c r="E128" s="23">
        <v>10</v>
      </c>
      <c r="F128" s="23">
        <v>10</v>
      </c>
      <c r="G128" s="23">
        <v>10</v>
      </c>
    </row>
    <row r="129" spans="1:15" x14ac:dyDescent="0.3">
      <c r="A129" t="s">
        <v>69</v>
      </c>
      <c r="B129" s="23">
        <v>0</v>
      </c>
      <c r="C129" s="23">
        <v>0</v>
      </c>
      <c r="D129" s="23">
        <v>0</v>
      </c>
      <c r="E129" s="23">
        <v>0</v>
      </c>
      <c r="F129" s="23">
        <v>100</v>
      </c>
      <c r="G129" s="23">
        <v>0</v>
      </c>
    </row>
    <row r="130" spans="1:15" x14ac:dyDescent="0.3">
      <c r="A130" s="1" t="s">
        <v>70</v>
      </c>
      <c r="B130" s="24">
        <f>SUM(B124:B129)</f>
        <v>58</v>
      </c>
      <c r="C130" s="24">
        <f t="shared" ref="C130:D130" si="0">SUM(C124:C129)</f>
        <v>28.5</v>
      </c>
      <c r="D130" s="24">
        <f t="shared" si="0"/>
        <v>52.5</v>
      </c>
      <c r="E130" s="24">
        <f>SUM(E124:E129)</f>
        <v>89.5</v>
      </c>
      <c r="F130" s="24">
        <f>SUM(F124:F129)</f>
        <v>152.5</v>
      </c>
      <c r="G130" s="24">
        <f>SUM(G124:G129)</f>
        <v>82.5</v>
      </c>
    </row>
    <row r="131" spans="1:15" x14ac:dyDescent="0.3">
      <c r="A131" s="1" t="s">
        <v>111</v>
      </c>
      <c r="B131" s="24">
        <f>B130*1.1</f>
        <v>63.800000000000004</v>
      </c>
      <c r="C131" s="24">
        <f t="shared" ref="C131:D131" si="1">C130*1.1</f>
        <v>31.35</v>
      </c>
      <c r="D131" s="24">
        <f t="shared" si="1"/>
        <v>57.750000000000007</v>
      </c>
      <c r="E131" s="24">
        <f>E130*1.1</f>
        <v>98.45</v>
      </c>
      <c r="F131" s="24">
        <f>F130*1.1</f>
        <v>167.75</v>
      </c>
      <c r="G131" s="24">
        <f>G130*1.1</f>
        <v>90.750000000000014</v>
      </c>
    </row>
    <row r="132" spans="1:15" x14ac:dyDescent="0.3">
      <c r="A132" s="41" t="s">
        <v>121</v>
      </c>
      <c r="B132" s="42" t="s">
        <v>112</v>
      </c>
      <c r="C132" s="42" t="s">
        <v>112</v>
      </c>
      <c r="D132" s="23" t="s">
        <v>112</v>
      </c>
      <c r="E132" s="43">
        <f>E131*(400/60/60)</f>
        <v>10.93888888888889</v>
      </c>
      <c r="F132" s="64">
        <f>F131*(7/60)/10</f>
        <v>1.9570833333333333</v>
      </c>
      <c r="G132" s="64">
        <f>G131*1/10</f>
        <v>9.0750000000000011</v>
      </c>
    </row>
    <row r="133" spans="1:15" ht="18" x14ac:dyDescent="0.35">
      <c r="A133" s="59" t="s">
        <v>71</v>
      </c>
      <c r="B133" s="59"/>
      <c r="C133" s="59"/>
      <c r="D133" s="59"/>
      <c r="E133" s="59"/>
      <c r="F133" s="59"/>
      <c r="G133" s="59"/>
      <c r="H133" s="58"/>
      <c r="I133" s="58"/>
      <c r="J133" s="58"/>
      <c r="K133" s="58"/>
      <c r="L133" s="58"/>
      <c r="M133" s="58"/>
      <c r="N133" s="58"/>
      <c r="O133" s="58"/>
    </row>
    <row r="134" spans="1:15" x14ac:dyDescent="0.3">
      <c r="A134" s="52" t="s">
        <v>72</v>
      </c>
      <c r="B134" s="53" t="s">
        <v>73</v>
      </c>
      <c r="C134" s="53" t="s">
        <v>74</v>
      </c>
      <c r="D134" s="52"/>
      <c r="E134" s="54"/>
      <c r="F134" s="54"/>
      <c r="G134" s="54"/>
    </row>
    <row r="135" spans="1:15" x14ac:dyDescent="0.3">
      <c r="A135" s="44" t="s">
        <v>75</v>
      </c>
      <c r="B135" s="33">
        <f>(F132+G132+E132)/D140</f>
        <v>37.210938539022408</v>
      </c>
      <c r="C135" s="23" t="s">
        <v>110</v>
      </c>
    </row>
    <row r="136" spans="1:15" x14ac:dyDescent="0.3">
      <c r="A136" s="44" t="s">
        <v>136</v>
      </c>
      <c r="B136" s="33">
        <f>(F132+E132+G132)/D139</f>
        <v>21.572078156687031</v>
      </c>
      <c r="C136" s="23" t="s">
        <v>110</v>
      </c>
    </row>
    <row r="137" spans="1:15" x14ac:dyDescent="0.3">
      <c r="A137" s="44" t="s">
        <v>76</v>
      </c>
      <c r="B137" s="28">
        <f>2*3.1415*(B120+B119)^(3/2)/(B121)^0.5</f>
        <v>5792.1664888248961</v>
      </c>
      <c r="C137" s="23" t="s">
        <v>90</v>
      </c>
    </row>
    <row r="138" spans="1:15" x14ac:dyDescent="0.3">
      <c r="A138" s="44" t="s">
        <v>132</v>
      </c>
      <c r="B138" s="28">
        <f>ASIN(B120/(B120+B119))</f>
        <v>1.1528616144359727</v>
      </c>
      <c r="C138" s="23" t="s">
        <v>133</v>
      </c>
    </row>
    <row r="139" spans="1:15" x14ac:dyDescent="0.3">
      <c r="A139" s="44" t="s">
        <v>134</v>
      </c>
      <c r="B139" s="28">
        <f>B137-B140</f>
        <v>3666.5683957519664</v>
      </c>
      <c r="C139" s="23" t="s">
        <v>90</v>
      </c>
      <c r="D139" s="62">
        <f>B139/60/60</f>
        <v>1.0184912210422128</v>
      </c>
      <c r="E139" s="63" t="s">
        <v>135</v>
      </c>
    </row>
    <row r="140" spans="1:15" x14ac:dyDescent="0.3">
      <c r="A140" s="44" t="s">
        <v>77</v>
      </c>
      <c r="B140" s="28">
        <f>B137*B138/3.1415</f>
        <v>2125.5980930729297</v>
      </c>
      <c r="C140" s="23" t="s">
        <v>90</v>
      </c>
      <c r="D140" s="62">
        <f>B140/60/60</f>
        <v>0.59044391474248037</v>
      </c>
      <c r="E140" s="63" t="s">
        <v>135</v>
      </c>
    </row>
    <row r="141" spans="1:15" x14ac:dyDescent="0.3">
      <c r="A141" s="44" t="s">
        <v>78</v>
      </c>
      <c r="B141" s="23">
        <v>0.75</v>
      </c>
    </row>
    <row r="142" spans="1:15" x14ac:dyDescent="0.3">
      <c r="A142" s="44" t="s">
        <v>79</v>
      </c>
      <c r="B142" s="23">
        <v>0.85</v>
      </c>
    </row>
    <row r="143" spans="1:15" x14ac:dyDescent="0.3">
      <c r="A143" s="46" t="s">
        <v>118</v>
      </c>
      <c r="B143" s="47">
        <f>(B135/B141+B136/B142)/D139</f>
        <v>73.631955433461385</v>
      </c>
      <c r="C143" s="48" t="s">
        <v>110</v>
      </c>
    </row>
    <row r="144" spans="1:15" x14ac:dyDescent="0.3">
      <c r="A144" s="44" t="s">
        <v>80</v>
      </c>
      <c r="B144" s="23" t="s">
        <v>87</v>
      </c>
    </row>
    <row r="145" spans="1:15" x14ac:dyDescent="0.3">
      <c r="A145" s="44" t="s">
        <v>122</v>
      </c>
      <c r="B145" s="23">
        <v>0.03</v>
      </c>
    </row>
    <row r="146" spans="1:15" x14ac:dyDescent="0.3">
      <c r="A146" s="44" t="s">
        <v>81</v>
      </c>
      <c r="B146" s="25">
        <v>0.3</v>
      </c>
    </row>
    <row r="147" spans="1:15" x14ac:dyDescent="0.3">
      <c r="A147" s="44" t="s">
        <v>82</v>
      </c>
      <c r="B147" s="25">
        <f>B146*(1-B145)^B118</f>
        <v>0.25762020770999994</v>
      </c>
      <c r="D147" s="1" t="s">
        <v>131</v>
      </c>
    </row>
    <row r="148" spans="1:15" x14ac:dyDescent="0.3">
      <c r="A148" s="44" t="s">
        <v>83</v>
      </c>
      <c r="B148" s="25">
        <f>B143/B146/E148</f>
        <v>0.18879988572682407</v>
      </c>
      <c r="C148" s="23" t="s">
        <v>125</v>
      </c>
      <c r="D148" s="60" t="s">
        <v>124</v>
      </c>
      <c r="E148" s="23">
        <v>1300</v>
      </c>
    </row>
    <row r="149" spans="1:15" x14ac:dyDescent="0.3">
      <c r="A149" s="44" t="s">
        <v>84</v>
      </c>
      <c r="B149" s="25">
        <f>B143/B147/E148</f>
        <v>0.21985839628623455</v>
      </c>
      <c r="C149" s="23" t="s">
        <v>125</v>
      </c>
      <c r="D149" s="60" t="s">
        <v>123</v>
      </c>
      <c r="E149" s="23">
        <v>2.8</v>
      </c>
    </row>
    <row r="150" spans="1:15" x14ac:dyDescent="0.3">
      <c r="A150" s="44" t="s">
        <v>85</v>
      </c>
      <c r="B150" s="25">
        <f>B148/COS(3.1415/4)</f>
        <v>0.26699717447932336</v>
      </c>
      <c r="C150" s="23" t="s">
        <v>125</v>
      </c>
      <c r="D150" s="60"/>
    </row>
    <row r="151" spans="1:15" ht="18" x14ac:dyDescent="0.35">
      <c r="A151" s="59" t="s">
        <v>97</v>
      </c>
      <c r="B151" s="59"/>
      <c r="C151" s="59"/>
      <c r="D151" s="59"/>
      <c r="E151" s="59"/>
      <c r="F151" s="59"/>
      <c r="G151" s="59"/>
      <c r="H151" s="58"/>
      <c r="I151" s="58"/>
      <c r="J151" s="58"/>
      <c r="K151" s="58"/>
      <c r="L151" s="58"/>
      <c r="M151" s="58"/>
      <c r="N151" s="58"/>
      <c r="O151" s="58"/>
    </row>
    <row r="152" spans="1:15" x14ac:dyDescent="0.3">
      <c r="A152" s="55" t="s">
        <v>72</v>
      </c>
      <c r="B152" s="53" t="s">
        <v>73</v>
      </c>
      <c r="C152" s="53" t="s">
        <v>74</v>
      </c>
      <c r="D152" s="61"/>
      <c r="E152" s="52"/>
      <c r="F152" s="52"/>
      <c r="G152" s="52"/>
    </row>
    <row r="153" spans="1:15" x14ac:dyDescent="0.3">
      <c r="A153" s="40" t="s">
        <v>117</v>
      </c>
      <c r="B153" s="33">
        <f>B135</f>
        <v>37.210938539022408</v>
      </c>
      <c r="C153" s="23" t="s">
        <v>116</v>
      </c>
    </row>
    <row r="154" spans="1:15" x14ac:dyDescent="0.3">
      <c r="A154" s="40" t="s">
        <v>77</v>
      </c>
      <c r="B154" s="28">
        <f>B140</f>
        <v>2125.5980930729297</v>
      </c>
      <c r="C154" s="23" t="s">
        <v>90</v>
      </c>
    </row>
    <row r="155" spans="1:15" x14ac:dyDescent="0.3">
      <c r="A155" s="40" t="s">
        <v>98</v>
      </c>
      <c r="B155" s="28">
        <f>5*365*24*60*60/B137</f>
        <v>27222.974392089654</v>
      </c>
      <c r="C155" s="23" t="s">
        <v>115</v>
      </c>
    </row>
    <row r="156" spans="1:15" x14ac:dyDescent="0.3">
      <c r="A156" s="40" t="s">
        <v>99</v>
      </c>
      <c r="B156" s="23" t="s">
        <v>100</v>
      </c>
    </row>
    <row r="157" spans="1:15" x14ac:dyDescent="0.3">
      <c r="A157" s="40" t="s">
        <v>101</v>
      </c>
      <c r="B157" s="23">
        <v>0.05</v>
      </c>
    </row>
    <row r="158" spans="1:15" x14ac:dyDescent="0.3">
      <c r="A158" s="40" t="s">
        <v>102</v>
      </c>
      <c r="B158" s="25">
        <v>0.3</v>
      </c>
    </row>
    <row r="159" spans="1:15" x14ac:dyDescent="0.3">
      <c r="A159" s="56" t="s">
        <v>127</v>
      </c>
      <c r="B159" s="57">
        <f>B135*D140/B157</f>
        <v>439.41944444444442</v>
      </c>
      <c r="C159" s="48" t="s">
        <v>116</v>
      </c>
    </row>
    <row r="160" spans="1:15" x14ac:dyDescent="0.3">
      <c r="A160" s="40" t="s">
        <v>104</v>
      </c>
      <c r="B160" s="28">
        <f>B159/(1-B158)</f>
        <v>627.74206349206349</v>
      </c>
      <c r="C160" s="23" t="s">
        <v>116</v>
      </c>
    </row>
    <row r="161" spans="1:15" x14ac:dyDescent="0.3">
      <c r="A161" s="40" t="s">
        <v>103</v>
      </c>
      <c r="B161" s="28">
        <f>B159</f>
        <v>439.41944444444442</v>
      </c>
      <c r="C161" s="23" t="s">
        <v>116</v>
      </c>
    </row>
    <row r="162" spans="1:15" s="11" customFormat="1" ht="18" x14ac:dyDescent="0.35">
      <c r="A162" s="59" t="s">
        <v>113</v>
      </c>
      <c r="B162" s="59"/>
      <c r="C162" s="59"/>
      <c r="D162" s="59"/>
      <c r="E162" s="59"/>
      <c r="F162" s="59"/>
      <c r="G162" s="59"/>
      <c r="H162" s="58"/>
      <c r="I162" s="58"/>
      <c r="J162" s="58"/>
      <c r="K162" s="58"/>
      <c r="L162" s="58"/>
      <c r="M162" s="58"/>
      <c r="N162" s="58"/>
      <c r="O162" s="58"/>
    </row>
    <row r="163" spans="1:15" x14ac:dyDescent="0.3">
      <c r="A163" s="55" t="s">
        <v>72</v>
      </c>
      <c r="B163" s="53" t="s">
        <v>73</v>
      </c>
      <c r="C163" s="53" t="s">
        <v>74</v>
      </c>
      <c r="D163" s="52"/>
      <c r="E163" s="52"/>
      <c r="F163" s="52"/>
      <c r="G163" s="52"/>
    </row>
    <row r="164" spans="1:15" x14ac:dyDescent="0.3">
      <c r="A164" s="40" t="s">
        <v>105</v>
      </c>
      <c r="B164" s="28">
        <f>B160</f>
        <v>627.74206349206349</v>
      </c>
      <c r="C164" s="23" t="s">
        <v>116</v>
      </c>
    </row>
    <row r="165" spans="1:15" x14ac:dyDescent="0.3">
      <c r="A165" s="40" t="s">
        <v>128</v>
      </c>
      <c r="B165" s="23">
        <v>100</v>
      </c>
      <c r="C165" s="23" t="s">
        <v>129</v>
      </c>
    </row>
    <row r="166" spans="1:15" x14ac:dyDescent="0.3">
      <c r="A166" s="40" t="s">
        <v>106</v>
      </c>
      <c r="B166" s="25">
        <f>B164/B165</f>
        <v>6.2774206349206345</v>
      </c>
      <c r="C166" s="23" t="s">
        <v>126</v>
      </c>
    </row>
    <row r="167" spans="1:15" x14ac:dyDescent="0.3">
      <c r="A167" s="40" t="s">
        <v>107</v>
      </c>
      <c r="B167" s="25">
        <f>B166*0.1</f>
        <v>0.62774206349206352</v>
      </c>
      <c r="C167" s="23" t="s">
        <v>126</v>
      </c>
    </row>
    <row r="168" spans="1:15" x14ac:dyDescent="0.3">
      <c r="A168" s="40" t="s">
        <v>108</v>
      </c>
      <c r="B168" s="25">
        <f>B166+B167</f>
        <v>6.9051626984126981</v>
      </c>
      <c r="C168" s="23" t="s">
        <v>126</v>
      </c>
    </row>
    <row r="169" spans="1:15" ht="18" x14ac:dyDescent="0.35">
      <c r="A169" s="59" t="s">
        <v>114</v>
      </c>
      <c r="B169" s="59"/>
      <c r="C169" s="59"/>
      <c r="D169" s="59"/>
      <c r="E169" s="59"/>
      <c r="F169" s="59"/>
      <c r="G169" s="59"/>
      <c r="H169" s="58"/>
      <c r="I169" s="58"/>
      <c r="J169" s="58"/>
      <c r="K169" s="58"/>
      <c r="L169" s="58"/>
      <c r="M169" s="58"/>
      <c r="N169" s="58"/>
      <c r="O169" s="58"/>
    </row>
    <row r="170" spans="1:15" x14ac:dyDescent="0.3">
      <c r="A170" s="55" t="s">
        <v>72</v>
      </c>
      <c r="B170" s="53" t="s">
        <v>73</v>
      </c>
      <c r="C170" s="53" t="s">
        <v>74</v>
      </c>
      <c r="D170" s="52"/>
      <c r="E170" s="52"/>
      <c r="F170" s="52"/>
      <c r="G170" s="52"/>
    </row>
    <row r="171" spans="1:15" x14ac:dyDescent="0.3">
      <c r="A171" s="40" t="s">
        <v>109</v>
      </c>
      <c r="B171" s="25">
        <f>B150</f>
        <v>0.26699717447932336</v>
      </c>
      <c r="C171" s="23" t="s">
        <v>125</v>
      </c>
    </row>
    <row r="172" spans="1:15" x14ac:dyDescent="0.3">
      <c r="A172" s="40" t="s">
        <v>86</v>
      </c>
      <c r="B172" s="25">
        <f>B171*E149</f>
        <v>0.74759208854210535</v>
      </c>
      <c r="C172" s="23" t="s">
        <v>126</v>
      </c>
    </row>
    <row r="173" spans="1:15" x14ac:dyDescent="0.3">
      <c r="A173" s="40" t="s">
        <v>107</v>
      </c>
      <c r="B173" s="25">
        <f>B172*0.1</f>
        <v>7.4759208854210543E-2</v>
      </c>
      <c r="C173" s="23" t="s">
        <v>126</v>
      </c>
    </row>
    <row r="174" spans="1:15" x14ac:dyDescent="0.3">
      <c r="A174" s="40" t="s">
        <v>108</v>
      </c>
      <c r="B174" s="25">
        <f>B172+B173</f>
        <v>0.82235129739631585</v>
      </c>
      <c r="C174" s="23" t="s">
        <v>126</v>
      </c>
    </row>
  </sheetData>
  <mergeCells count="46">
    <mergeCell ref="A94:G94"/>
    <mergeCell ref="D93:G93"/>
    <mergeCell ref="A133:G133"/>
    <mergeCell ref="A151:G151"/>
    <mergeCell ref="A162:G162"/>
    <mergeCell ref="A169:G169"/>
    <mergeCell ref="A122:G122"/>
    <mergeCell ref="A5:O5"/>
    <mergeCell ref="A2:P2"/>
    <mergeCell ref="A117:B117"/>
    <mergeCell ref="A116:G116"/>
    <mergeCell ref="A83:G83"/>
    <mergeCell ref="C79:G82"/>
    <mergeCell ref="A1:G1"/>
    <mergeCell ref="A22:G22"/>
    <mergeCell ref="A52:G52"/>
    <mergeCell ref="C53:G53"/>
    <mergeCell ref="D20:E20"/>
    <mergeCell ref="A89:G89"/>
    <mergeCell ref="D90:G90"/>
    <mergeCell ref="A39:O39"/>
    <mergeCell ref="A9:M9"/>
    <mergeCell ref="A6:M6"/>
    <mergeCell ref="A12:O12"/>
    <mergeCell ref="A13:O13"/>
    <mergeCell ref="A18:O18"/>
    <mergeCell ref="A37:O37"/>
    <mergeCell ref="A35:O35"/>
    <mergeCell ref="A50:O50"/>
    <mergeCell ref="A41:O41"/>
    <mergeCell ref="A43:O43"/>
    <mergeCell ref="A45:O45"/>
    <mergeCell ref="A47:O47"/>
    <mergeCell ref="A48:O48"/>
    <mergeCell ref="A53:B53"/>
    <mergeCell ref="A79:B82"/>
    <mergeCell ref="A67:O67"/>
    <mergeCell ref="A69:O69"/>
    <mergeCell ref="A73:O73"/>
    <mergeCell ref="A75:O75"/>
    <mergeCell ref="A77:O77"/>
    <mergeCell ref="A110:O110"/>
    <mergeCell ref="A98:O98"/>
    <mergeCell ref="A101:O101"/>
    <mergeCell ref="A106:O106"/>
    <mergeCell ref="A108:O108"/>
  </mergeCells>
  <hyperlinks>
    <hyperlink ref="F20" r:id="rId1"/>
  </hyperlinks>
  <pageMargins left="0.7" right="0.7" top="0.75" bottom="0.75" header="0.3" footer="0.3"/>
  <pageSetup paperSize="9" orientation="portrait" r:id="rId2"/>
  <rowBreaks count="1" manualBreakCount="1">
    <brk id="3" max="16383" man="1"/>
  </rowBreaks>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Krivova</dc:creator>
  <cp:lastModifiedBy>Victoria Krivova</cp:lastModifiedBy>
  <dcterms:created xsi:type="dcterms:W3CDTF">2021-02-27T15:43:30Z</dcterms:created>
  <dcterms:modified xsi:type="dcterms:W3CDTF">2021-02-28T19:34:46Z</dcterms:modified>
</cp:coreProperties>
</file>