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 Hernandez\Dropbox\PC\Desktop\estebanhernandez-finance\msf_excel\"/>
    </mc:Choice>
  </mc:AlternateContent>
  <xr:revisionPtr revIDLastSave="0" documentId="13_ncr:1_{9B82DCFE-A746-4742-8E35-9A6FF44A2D8A}" xr6:coauthVersionLast="47" xr6:coauthVersionMax="47" xr10:uidLastSave="{00000000-0000-0000-0000-000000000000}"/>
  <bookViews>
    <workbookView xWindow="-108" yWindow="-108" windowWidth="23256" windowHeight="14016" activeTab="9" xr2:uid="{79358E99-AD5C-41FB-965E-30284A5A4EF6}"/>
  </bookViews>
  <sheets>
    <sheet name="Sheet1" sheetId="1" r:id="rId1"/>
    <sheet name="Sheet2" sheetId="2" r:id="rId2"/>
    <sheet name="Sheet3" sheetId="3" r:id="rId3"/>
    <sheet name="Income Statement" sheetId="4" r:id="rId4"/>
    <sheet name="IF Statement" sheetId="6" r:id="rId5"/>
    <sheet name="3D" sheetId="5" r:id="rId6"/>
    <sheet name="IF" sheetId="7" r:id="rId7"/>
    <sheet name="IF_ans" sheetId="8" r:id="rId8"/>
    <sheet name="IFERROR" sheetId="9" r:id="rId9"/>
    <sheet name="IFERROR_ans" sheetId="10" r:id="rId10"/>
    <sheet name="EOMONTH" sheetId="13" r:id="rId11"/>
    <sheet name="EDATE" sheetId="14" r:id="rId12"/>
    <sheet name="YEARFRAC" sheetId="15" r:id="rId13"/>
    <sheet name="DATE" sheetId="16" r:id="rId14"/>
    <sheet name="Other Useful Functions" sheetId="11" r:id="rId15"/>
    <sheet name="Other Useful Functions_ans" sheetId="12" r:id="rId16"/>
  </sheets>
  <externalReferences>
    <externalReference r:id="rId17"/>
    <externalReference r:id="rId18"/>
  </externalReferences>
  <definedNames>
    <definedName name="_xlnm._FilterDatabase" localSheetId="14" hidden="1">'Other Useful Functions'!#REF!</definedName>
    <definedName name="_xlnm._FilterDatabase" localSheetId="15" hidden="1">'Other Useful Functions_ans'!#REF!</definedName>
    <definedName name="CIQWBGuid" hidden="1">"2cd8126d-26c3-430c-b7fa-a069e3a1fc62"</definedName>
    <definedName name="COGS2004" localSheetId="13">DATE!$C$6</definedName>
    <definedName name="COGS2004" localSheetId="11">EDATE!$C$6</definedName>
    <definedName name="COGS2004" localSheetId="10">EOMONTH!$C$6</definedName>
    <definedName name="COGS2004" localSheetId="0">'[1]Income Statement'!$C$6</definedName>
    <definedName name="COGS2004" localSheetId="12">YEARFRAC!$C$6</definedName>
    <definedName name="COGS2004">[2]Sheet2!$C$6</definedName>
    <definedName name="GP" localSheetId="13">DATE!$C$7</definedName>
    <definedName name="GP" localSheetId="11">EDATE!$C$7</definedName>
    <definedName name="GP" localSheetId="12">YEARFRAC!$C$7</definedName>
    <definedName name="GP">EOMONTH!$C$7</definedName>
    <definedName name="Gross_Profi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3">'Income Statement'!$A$1:$C$63</definedName>
    <definedName name="Revenues2004" localSheetId="13">DATE!$C$5</definedName>
    <definedName name="Revenues2004" localSheetId="11">EDATE!$C$5</definedName>
    <definedName name="Revenues2004" localSheetId="10">EOMONTH!$C$5</definedName>
    <definedName name="Revenues2004" localSheetId="0">'[1]Income Statement'!$C$5</definedName>
    <definedName name="Revenues2004" localSheetId="12">YEARFRAC!$C$5</definedName>
    <definedName name="Revenues2004">[2]Sheet2!$C$5</definedName>
    <definedName name="Sensitivity" localSheetId="3">#REF!</definedName>
    <definedName name="Sensitivity">#REF!</definedName>
    <definedName name="SG_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5" l="1"/>
  <c r="H4" i="15"/>
  <c r="E23" i="14"/>
  <c r="F23" i="14" s="1"/>
  <c r="G23" i="14" s="1"/>
  <c r="H23" i="14" s="1"/>
  <c r="H24" i="14" s="1"/>
  <c r="D23" i="14"/>
  <c r="E4" i="14"/>
  <c r="F4" i="14"/>
  <c r="G4" i="14" s="1"/>
  <c r="H4" i="14" s="1"/>
  <c r="H5" i="14" s="1"/>
  <c r="D4" i="14"/>
  <c r="D36" i="14"/>
  <c r="F29" i="14"/>
  <c r="E29" i="14"/>
  <c r="G26" i="14"/>
  <c r="G29" i="14" s="1"/>
  <c r="F26" i="14"/>
  <c r="E26" i="14"/>
  <c r="D26" i="14"/>
  <c r="D29" i="14" s="1"/>
  <c r="C26" i="14"/>
  <c r="C29" i="14" s="1"/>
  <c r="B22" i="14"/>
  <c r="D37" i="13"/>
  <c r="G30" i="13"/>
  <c r="G27" i="13"/>
  <c r="F27" i="13"/>
  <c r="F30" i="13" s="1"/>
  <c r="E27" i="13"/>
  <c r="E30" i="13" s="1"/>
  <c r="D27" i="13"/>
  <c r="D30" i="13" s="1"/>
  <c r="C27" i="13"/>
  <c r="C30" i="13" s="1"/>
  <c r="D24" i="13"/>
  <c r="E24" i="13" s="1"/>
  <c r="F24" i="13" s="1"/>
  <c r="G24" i="13" s="1"/>
  <c r="H24" i="13" s="1"/>
  <c r="H25" i="13" s="1"/>
  <c r="B23" i="13"/>
  <c r="D17" i="16"/>
  <c r="G10" i="16"/>
  <c r="F10" i="16"/>
  <c r="G7" i="16"/>
  <c r="F7" i="16"/>
  <c r="E7" i="16"/>
  <c r="E10" i="16" s="1"/>
  <c r="D7" i="16"/>
  <c r="D10" i="16" s="1"/>
  <c r="C7" i="16"/>
  <c r="C10" i="16" s="1"/>
  <c r="D4" i="16"/>
  <c r="E4" i="16" s="1"/>
  <c r="F4" i="16" s="1"/>
  <c r="G4" i="16" s="1"/>
  <c r="H4" i="16" s="1"/>
  <c r="H5" i="16" s="1"/>
  <c r="B3" i="16"/>
  <c r="D17" i="15"/>
  <c r="F10" i="15"/>
  <c r="F11" i="15" s="1"/>
  <c r="F12" i="15" s="1"/>
  <c r="D10" i="15"/>
  <c r="D11" i="15" s="1"/>
  <c r="D12" i="15" s="1"/>
  <c r="G7" i="15"/>
  <c r="G10" i="15" s="1"/>
  <c r="F7" i="15"/>
  <c r="E7" i="15"/>
  <c r="E10" i="15" s="1"/>
  <c r="D7" i="15"/>
  <c r="C7" i="15"/>
  <c r="C10" i="15" s="1"/>
  <c r="D4" i="15"/>
  <c r="E4" i="15" s="1"/>
  <c r="F4" i="15" s="1"/>
  <c r="G4" i="15" s="1"/>
  <c r="B3" i="15"/>
  <c r="D17" i="14"/>
  <c r="F11" i="14"/>
  <c r="F12" i="14" s="1"/>
  <c r="G10" i="14"/>
  <c r="F10" i="14"/>
  <c r="E10" i="14"/>
  <c r="D10" i="14"/>
  <c r="G7" i="14"/>
  <c r="F7" i="14"/>
  <c r="E7" i="14"/>
  <c r="D7" i="14"/>
  <c r="C7" i="14"/>
  <c r="C10" i="14" s="1"/>
  <c r="B3" i="14"/>
  <c r="D17" i="13"/>
  <c r="G10" i="13"/>
  <c r="G11" i="13" s="1"/>
  <c r="G12" i="13" s="1"/>
  <c r="F10" i="13"/>
  <c r="F11" i="13" s="1"/>
  <c r="F12" i="13" s="1"/>
  <c r="E10" i="13"/>
  <c r="E11" i="13" s="1"/>
  <c r="E12" i="13" s="1"/>
  <c r="D10" i="13"/>
  <c r="G7" i="13"/>
  <c r="F7" i="13"/>
  <c r="E7" i="13"/>
  <c r="D7" i="13"/>
  <c r="C7" i="13"/>
  <c r="C10" i="13" s="1"/>
  <c r="B3" i="13"/>
  <c r="C133" i="12"/>
  <c r="C126" i="12"/>
  <c r="I115" i="12"/>
  <c r="G115" i="12"/>
  <c r="C115" i="12"/>
  <c r="B114" i="12"/>
  <c r="B113" i="12"/>
  <c r="B112" i="12"/>
  <c r="B111" i="12"/>
  <c r="B110" i="12"/>
  <c r="C106" i="12"/>
  <c r="K104" i="12"/>
  <c r="G104" i="12"/>
  <c r="F101" i="12"/>
  <c r="F102" i="12" s="1"/>
  <c r="F103" i="12" s="1"/>
  <c r="C95" i="12"/>
  <c r="C84" i="12"/>
  <c r="E83" i="12"/>
  <c r="C83" i="12"/>
  <c r="E82" i="12"/>
  <c r="E84" i="12" s="1"/>
  <c r="C82" i="12"/>
  <c r="C73" i="12"/>
  <c r="C72" i="12"/>
  <c r="C74" i="12" s="1"/>
  <c r="C66" i="12"/>
  <c r="C65" i="12"/>
  <c r="C64" i="12"/>
  <c r="F49" i="12"/>
  <c r="C50" i="12" s="1"/>
  <c r="E49" i="12"/>
  <c r="D49" i="12"/>
  <c r="E48" i="12"/>
  <c r="D48" i="12"/>
  <c r="C43" i="12"/>
  <c r="D42" i="12" s="1"/>
  <c r="D43" i="12" s="1"/>
  <c r="E42" i="12" s="1"/>
  <c r="E43" i="12" s="1"/>
  <c r="F42" i="12" s="1"/>
  <c r="F43" i="12" s="1"/>
  <c r="F40" i="12"/>
  <c r="E40" i="12"/>
  <c r="D40" i="12"/>
  <c r="C37" i="12"/>
  <c r="C31" i="12"/>
  <c r="C25" i="12"/>
  <c r="C19" i="12"/>
  <c r="C14" i="12"/>
  <c r="C9" i="12"/>
  <c r="C4" i="12"/>
  <c r="C133" i="11"/>
  <c r="I115" i="11"/>
  <c r="G115" i="11"/>
  <c r="B114" i="11"/>
  <c r="B113" i="11"/>
  <c r="B112" i="11"/>
  <c r="B111" i="11"/>
  <c r="B110" i="11"/>
  <c r="K104" i="11"/>
  <c r="G104" i="11"/>
  <c r="F101" i="11"/>
  <c r="F102" i="11" s="1"/>
  <c r="F103" i="11" s="1"/>
  <c r="E83" i="11"/>
  <c r="C83" i="11"/>
  <c r="E82" i="11"/>
  <c r="C82" i="11"/>
  <c r="C73" i="11"/>
  <c r="C72" i="11"/>
  <c r="D49" i="11"/>
  <c r="D48" i="11"/>
  <c r="E48" i="11" s="1"/>
  <c r="F42" i="11"/>
  <c r="E42" i="11"/>
  <c r="D42" i="11"/>
  <c r="E40" i="11"/>
  <c r="F40" i="11" s="1"/>
  <c r="D40" i="11"/>
  <c r="C37" i="11"/>
  <c r="C31" i="11"/>
  <c r="C25" i="11"/>
  <c r="C19" i="11"/>
  <c r="C14" i="11"/>
  <c r="C9" i="11"/>
  <c r="C4" i="11"/>
  <c r="E5" i="10"/>
  <c r="D5" i="10"/>
  <c r="C5" i="10"/>
  <c r="D2" i="10"/>
  <c r="E2" i="10" s="1"/>
  <c r="D2" i="9"/>
  <c r="E2" i="9" s="1"/>
  <c r="C20" i="8"/>
  <c r="C21" i="8" s="1"/>
  <c r="C7" i="8"/>
  <c r="D9" i="8" s="1"/>
  <c r="C12" i="5"/>
  <c r="D12" i="5"/>
  <c r="E12" i="5"/>
  <c r="F12" i="5"/>
  <c r="D11" i="5"/>
  <c r="D13" i="5" s="1"/>
  <c r="E11" i="5"/>
  <c r="F11" i="5"/>
  <c r="C11" i="5"/>
  <c r="F15" i="6"/>
  <c r="C10" i="6"/>
  <c r="C16" i="6" s="1"/>
  <c r="F9" i="6"/>
  <c r="F16" i="6" s="1"/>
  <c r="C30" i="14" l="1"/>
  <c r="C31" i="14" s="1"/>
  <c r="D30" i="14"/>
  <c r="D31" i="14" s="1"/>
  <c r="G30" i="14"/>
  <c r="G31" i="14" s="1"/>
  <c r="E30" i="14"/>
  <c r="E31" i="14" s="1"/>
  <c r="F30" i="14"/>
  <c r="F31" i="14" s="1"/>
  <c r="C31" i="13"/>
  <c r="C32" i="13" s="1"/>
  <c r="D32" i="13"/>
  <c r="D31" i="13"/>
  <c r="E31" i="13"/>
  <c r="E32" i="13" s="1"/>
  <c r="F31" i="13"/>
  <c r="F32" i="13" s="1"/>
  <c r="G31" i="13"/>
  <c r="G32" i="13" s="1"/>
  <c r="H4" i="13"/>
  <c r="H5" i="13" s="1"/>
  <c r="G12" i="16"/>
  <c r="C11" i="16"/>
  <c r="C12" i="16" s="1"/>
  <c r="F12" i="16"/>
  <c r="D12" i="16"/>
  <c r="D11" i="16"/>
  <c r="E11" i="16"/>
  <c r="E12" i="16" s="1"/>
  <c r="F11" i="16"/>
  <c r="G11" i="16"/>
  <c r="C11" i="15"/>
  <c r="C12" i="15" s="1"/>
  <c r="E11" i="15"/>
  <c r="E12" i="15" s="1"/>
  <c r="G12" i="15"/>
  <c r="G11" i="15"/>
  <c r="C11" i="14"/>
  <c r="C12" i="14" s="1"/>
  <c r="D12" i="14"/>
  <c r="E12" i="14"/>
  <c r="G12" i="14"/>
  <c r="D11" i="14"/>
  <c r="E11" i="14"/>
  <c r="G11" i="14"/>
  <c r="C11" i="13"/>
  <c r="C12" i="13" s="1"/>
  <c r="D11" i="13"/>
  <c r="D12" i="13" s="1"/>
  <c r="F49" i="11"/>
  <c r="I104" i="11"/>
  <c r="I104" i="12"/>
  <c r="E49" i="11"/>
  <c r="F13" i="5"/>
  <c r="C13" i="5"/>
  <c r="E13" i="5"/>
  <c r="C8" i="8"/>
  <c r="C9" i="8"/>
  <c r="G12" i="4"/>
  <c r="F12" i="4"/>
  <c r="C11" i="4"/>
  <c r="G11" i="4" s="1"/>
  <c r="G10" i="4"/>
  <c r="F10" i="4"/>
  <c r="F9" i="4"/>
  <c r="C9" i="4"/>
  <c r="G9" i="4" s="1"/>
  <c r="G8" i="4"/>
  <c r="F8" i="4"/>
  <c r="C7" i="4"/>
  <c r="G7" i="4" s="1"/>
  <c r="B7" i="4"/>
  <c r="F7" i="4" s="1"/>
  <c r="G6" i="4"/>
  <c r="F6" i="4"/>
  <c r="G5" i="4"/>
  <c r="F5" i="4"/>
  <c r="G4" i="4"/>
  <c r="C4" i="4"/>
  <c r="C13" i="4" l="1"/>
  <c r="B11" i="4"/>
  <c r="F11" i="4" l="1"/>
  <c r="B13" i="4"/>
  <c r="C14" i="4"/>
  <c r="G14" i="4" s="1"/>
  <c r="G13" i="4"/>
  <c r="C15" i="4" l="1"/>
  <c r="G15" i="4" s="1"/>
  <c r="B14" i="4"/>
  <c r="F14" i="4" s="1"/>
  <c r="F13" i="4"/>
  <c r="B15" i="4" l="1"/>
  <c r="F15" i="4" s="1"/>
  <c r="C12" i="3" l="1"/>
  <c r="D12" i="3"/>
  <c r="D13" i="3" s="1"/>
  <c r="E12" i="3"/>
  <c r="E13" i="3" s="1"/>
  <c r="F12" i="3"/>
  <c r="F13" i="3" s="1"/>
  <c r="D11" i="3"/>
  <c r="E11" i="3"/>
  <c r="F11" i="3"/>
  <c r="C11" i="3"/>
  <c r="F13" i="1"/>
  <c r="E13" i="1"/>
  <c r="D13" i="1"/>
  <c r="C13" i="1"/>
  <c r="F13" i="2"/>
  <c r="E13" i="2"/>
  <c r="D13" i="2"/>
  <c r="C13" i="2"/>
  <c r="C13" i="3" l="1"/>
</calcChain>
</file>

<file path=xl/sharedStrings.xml><?xml version="1.0" encoding="utf-8"?>
<sst xmlns="http://schemas.openxmlformats.org/spreadsheetml/2006/main" count="438" uniqueCount="169">
  <si>
    <t>Revenues</t>
  </si>
  <si>
    <t>Cost of Goods Sold</t>
  </si>
  <si>
    <t>Gross Profit</t>
  </si>
  <si>
    <t>Elvis Products International</t>
  </si>
  <si>
    <t>Income Statement</t>
  </si>
  <si>
    <t>For the Year Ended December 31 ($ in 000's)</t>
  </si>
  <si>
    <t>Revenue</t>
  </si>
  <si>
    <t>COGS</t>
  </si>
  <si>
    <t>SG&amp;A</t>
  </si>
  <si>
    <t>Fixed Expenses</t>
  </si>
  <si>
    <t>Depreciation Expense</t>
  </si>
  <si>
    <t>EBIT</t>
  </si>
  <si>
    <t>Interest Expense</t>
  </si>
  <si>
    <t>EBT</t>
  </si>
  <si>
    <t>Taxes</t>
  </si>
  <si>
    <t>Net Income</t>
  </si>
  <si>
    <t>Notes:</t>
  </si>
  <si>
    <t>Tax rate</t>
  </si>
  <si>
    <t>AAS Corp.</t>
  </si>
  <si>
    <t>2022 Balance Sheet</t>
  </si>
  <si>
    <t>Assets</t>
  </si>
  <si>
    <t>Liabilities and Equity</t>
  </si>
  <si>
    <t>$</t>
  </si>
  <si>
    <t>Current Assets</t>
  </si>
  <si>
    <t>Current Liabilities</t>
  </si>
  <si>
    <t>Cash</t>
  </si>
  <si>
    <t>Accounts Payable</t>
  </si>
  <si>
    <t>A/R</t>
  </si>
  <si>
    <t>Notes Payable</t>
  </si>
  <si>
    <t>Inventory</t>
  </si>
  <si>
    <t>Total current liabilities</t>
  </si>
  <si>
    <t>Total current assets</t>
  </si>
  <si>
    <t>Long-term debt</t>
  </si>
  <si>
    <t>Fixed Assets</t>
  </si>
  <si>
    <t>Net plant and equipment</t>
  </si>
  <si>
    <t>Shareholders' equity</t>
  </si>
  <si>
    <t>Common stock</t>
  </si>
  <si>
    <t>Retained Earnings</t>
  </si>
  <si>
    <t>Total equity</t>
  </si>
  <si>
    <t>Total assets</t>
  </si>
  <si>
    <t>Total liabilities and equity</t>
  </si>
  <si>
    <t>Check</t>
  </si>
  <si>
    <t>Question 1</t>
  </si>
  <si>
    <t>Input:</t>
  </si>
  <si>
    <t>Input your age:</t>
  </si>
  <si>
    <t>Input your younger sibling's age:</t>
  </si>
  <si>
    <t>Question</t>
  </si>
  <si>
    <t>Answer</t>
  </si>
  <si>
    <t>Can you vote for president?</t>
  </si>
  <si>
    <t>For how many years have you been eligible to vote?</t>
  </si>
  <si>
    <t>Are both me and my younger sibling eligible to vote?</t>
  </si>
  <si>
    <t>Question 2</t>
  </si>
  <si>
    <t>Input expected company revenue:</t>
  </si>
  <si>
    <t>Input actual company revenue:</t>
  </si>
  <si>
    <t>Input expected company EBITDA:</t>
  </si>
  <si>
    <t>Input actual company EBITDA:</t>
  </si>
  <si>
    <t>Did the company exceed revenue expectations?</t>
  </si>
  <si>
    <t>Did the company exceed both revenue and EBITDA expectations?</t>
  </si>
  <si>
    <t>Net earnings</t>
  </si>
  <si>
    <t>Shares outstanding</t>
  </si>
  <si>
    <t>Earnings per share (EPS)</t>
  </si>
  <si>
    <t>Absolute Value</t>
  </si>
  <si>
    <t>Input a number:</t>
  </si>
  <si>
    <t>Return absolute value</t>
  </si>
  <si>
    <t>=ABS(C3)</t>
  </si>
  <si>
    <t>Ceiling</t>
  </si>
  <si>
    <t>Input EPS ($xx.xx):</t>
  </si>
  <si>
    <t>Round input up to nearest $0.05</t>
  </si>
  <si>
    <t>=CEILING(C8,0.1)</t>
  </si>
  <si>
    <t>Floor</t>
  </si>
  <si>
    <t>Round input down to nearest $0.05</t>
  </si>
  <si>
    <t>=FLOOR(C13,0.05)</t>
  </si>
  <si>
    <t>Combinations</t>
  </si>
  <si>
    <t>Input useful life (n years) of a fixed asset:</t>
  </si>
  <si>
    <t>Return sum of years' digits n(n+1)/2</t>
  </si>
  <si>
    <t>=COMBIN(C18+1,2)</t>
  </si>
  <si>
    <t>Round</t>
  </si>
  <si>
    <t>Net profits</t>
  </si>
  <si>
    <t>EPS</t>
  </si>
  <si>
    <t>=ROUND(C23/C24,2)</t>
  </si>
  <si>
    <t>Round Up</t>
  </si>
  <si>
    <t>=ROUNDUP(C23/C24,2)</t>
  </si>
  <si>
    <t>Round Down</t>
  </si>
  <si>
    <t>=ROUNDDOWN(C23/C24,2)</t>
  </si>
  <si>
    <t>Max</t>
  </si>
  <si>
    <t>Cash available to paydown / (needed from additional) short-term debt</t>
  </si>
  <si>
    <t>Short-term debt - Beginning of period</t>
  </si>
  <si>
    <t>Short-term debt - End of period (using MAX)</t>
  </si>
  <si>
    <t>Min</t>
  </si>
  <si>
    <t>Borrowing capacity will be calculated as 5x (the lesser of last year's EBITDA or the average EBITDA over the last three years)</t>
  </si>
  <si>
    <t>Average</t>
  </si>
  <si>
    <t>EBITDA</t>
  </si>
  <si>
    <t>Borrowing capacity</t>
  </si>
  <si>
    <t>Count</t>
  </si>
  <si>
    <t>Property</t>
  </si>
  <si>
    <t>Price (000's)</t>
  </si>
  <si>
    <t>Hillside</t>
  </si>
  <si>
    <t>Riviera</t>
  </si>
  <si>
    <t>Agora</t>
  </si>
  <si>
    <t>Sold</t>
  </si>
  <si>
    <t>Lexington</t>
  </si>
  <si>
    <t>Tremont</t>
  </si>
  <si>
    <t>Weymouth</t>
  </si>
  <si>
    <t>York</t>
  </si>
  <si>
    <t>Deville</t>
  </si>
  <si>
    <t>Cobble Hill</t>
  </si>
  <si>
    <t>Number of Properties Available for Sale</t>
  </si>
  <si>
    <t>=COUNT(C54:C62)</t>
  </si>
  <si>
    <t>Number of Properties Available for Sale or Sold</t>
  </si>
  <si>
    <t>=COUNTA(C54:C62)</t>
  </si>
  <si>
    <t>Number of Properties &gt; $250,000</t>
  </si>
  <si>
    <t>=COUNTIF(C54:C62,"&gt;250")</t>
  </si>
  <si>
    <t>Product</t>
  </si>
  <si>
    <t>2011 Free Cash Flow</t>
  </si>
  <si>
    <t>Weighted Average Cost of Capital (WACC)</t>
  </si>
  <si>
    <t>Discount Factor</t>
  </si>
  <si>
    <t>Midyear Adjustment Factor</t>
  </si>
  <si>
    <t>Present Value Cash Flow (2009)</t>
  </si>
  <si>
    <t>PV and FV</t>
  </si>
  <si>
    <t>PV</t>
  </si>
  <si>
    <t>FV</t>
  </si>
  <si>
    <t>Annual interest rate</t>
  </si>
  <si>
    <t>Payment amount per month</t>
  </si>
  <si>
    <t>Life of loan</t>
  </si>
  <si>
    <t>Payment made at the beginning of each period</t>
  </si>
  <si>
    <t>Rate per month</t>
  </si>
  <si>
    <t>Number of payments</t>
  </si>
  <si>
    <t>NPV</t>
  </si>
  <si>
    <t>Annual discount rate</t>
  </si>
  <si>
    <t>Cash outflow on 12/31/14</t>
  </si>
  <si>
    <t>Cash inflow on 12/31/15</t>
  </si>
  <si>
    <t>Cash inflow on 12/31/16</t>
  </si>
  <si>
    <t>Cash inflow on 12/31/17</t>
  </si>
  <si>
    <t>Cash inflow on 12/31/18</t>
  </si>
  <si>
    <t>Cash inflow on 12/31/19</t>
  </si>
  <si>
    <t>NPV vs XNPV</t>
  </si>
  <si>
    <t>XNPV</t>
  </si>
  <si>
    <t>Hacking NPV to calculate off BOP</t>
  </si>
  <si>
    <t xml:space="preserve">NPV </t>
  </si>
  <si>
    <t>rate:</t>
  </si>
  <si>
    <t>=NPV(G99,G100:G103)</t>
  </si>
  <si>
    <t>=XNPV(I99,I100:I103,F100:F103)</t>
  </si>
  <si>
    <t>IRR</t>
  </si>
  <si>
    <t>IRR vs XIRR</t>
  </si>
  <si>
    <t>Initial investment expenditure</t>
  </si>
  <si>
    <t>XIRR</t>
  </si>
  <si>
    <t>Internal Rate of Return</t>
  </si>
  <si>
    <t>=IRR(G111:G114)</t>
  </si>
  <si>
    <t>=XIRR(I111:I114,F111:F114)</t>
  </si>
  <si>
    <t>Dates of Cash Flows</t>
  </si>
  <si>
    <t>Cash Flows</t>
  </si>
  <si>
    <t>Goal Seek</t>
  </si>
  <si>
    <t>Car Loan Amount</t>
  </si>
  <si>
    <t>Term in Months</t>
  </si>
  <si>
    <t>Monthly Interest Rate</t>
  </si>
  <si>
    <t>Monthly Payment</t>
  </si>
  <si>
    <t>=MAX(0,C42-C41)</t>
  </si>
  <si>
    <t>Borrowing capacity will be calculated as 5 x (the lesser of last year's EBITDA or the average EBITDA over the last three years)</t>
  </si>
  <si>
    <t>=5*MIN(F49,E49)</t>
  </si>
  <si>
    <t>=PRODUCT(C81,C83,C84)</t>
  </si>
  <si>
    <t>Enter company name:</t>
  </si>
  <si>
    <t>Lemonade Co.</t>
  </si>
  <si>
    <t>Operating costs</t>
  </si>
  <si>
    <t>Non-operating costs</t>
  </si>
  <si>
    <t>Pretax profit</t>
  </si>
  <si>
    <t>Tax</t>
  </si>
  <si>
    <t>Net income</t>
  </si>
  <si>
    <t>Override</t>
  </si>
  <si>
    <t>Model-derived value (5x pretax profit):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</si>
</sst>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#,##0.0_);\(#,##0.0\)"/>
    <numFmt numFmtId="165" formatCode="#,##0.00,"/>
    <numFmt numFmtId="166" formatCode="0.0%"/>
    <numFmt numFmtId="167" formatCode="_(* #,##0_);_(* \(#,##0\);_(* &quot;-&quot;??_);_(@_)"/>
    <numFmt numFmtId="168" formatCode="_(&quot;$&quot;* #,##0_);_(&quot;$&quot;* \(#,##0\);_(&quot;$&quot;* &quot;-&quot;??_);_(@_)"/>
    <numFmt numFmtId="169" formatCode="&quot;$&quot;#,##0.0_);\(&quot;$&quot;#,##0.0\)"/>
    <numFmt numFmtId="170" formatCode="&quot;$&quot;#,##0.000000_);\(&quot;$&quot;#,##0.000000\)"/>
    <numFmt numFmtId="171" formatCode="#,##0.0_);\(#,##0.0\);@_)"/>
    <numFmt numFmtId="172" formatCode="#,##0.0000_);\(#,##0.0000\)"/>
    <numFmt numFmtId="173" formatCode="0\ &quot;years&quot;"/>
    <numFmt numFmtId="174" formatCode="0.0%_);\(0.0%\);@_)"/>
    <numFmt numFmtId="175" formatCode="m/d/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00FF"/>
      <name val="Arial Narrow"/>
      <family val="2"/>
    </font>
    <font>
      <sz val="11"/>
      <name val="Arial Narrow"/>
      <family val="2"/>
    </font>
    <font>
      <b/>
      <i/>
      <sz val="11"/>
      <color theme="1"/>
      <name val="Arial Narrow"/>
      <family val="2"/>
    </font>
    <font>
      <b/>
      <sz val="11"/>
      <name val="Arial Narrow"/>
      <family val="2"/>
    </font>
    <font>
      <b/>
      <i/>
      <sz val="11"/>
      <name val="Arial Narrow"/>
      <family val="2"/>
    </font>
    <font>
      <sz val="10"/>
      <name val="Arial"/>
    </font>
    <font>
      <sz val="12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indexed="57"/>
      <name val="Arial"/>
      <family val="2"/>
    </font>
    <font>
      <sz val="12"/>
      <color indexed="48"/>
      <name val="Arial"/>
      <family val="2"/>
    </font>
    <font>
      <b/>
      <sz val="12"/>
      <name val="Arial"/>
      <family val="2"/>
    </font>
    <font>
      <sz val="11"/>
      <color rgb="FF1D08FF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38">
    <xf numFmtId="0" fontId="0" fillId="0" borderId="0" xfId="0"/>
    <xf numFmtId="0" fontId="4" fillId="0" borderId="0" xfId="0" applyFont="1"/>
    <xf numFmtId="0" fontId="2" fillId="0" borderId="1" xfId="0" applyFont="1" applyBorder="1"/>
    <xf numFmtId="164" fontId="5" fillId="0" borderId="0" xfId="0" applyNumberFormat="1" applyFont="1"/>
    <xf numFmtId="164" fontId="2" fillId="0" borderId="0" xfId="0" applyNumberFormat="1" applyFont="1"/>
    <xf numFmtId="164" fontId="7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165" fontId="10" fillId="0" borderId="0" xfId="0" applyNumberFormat="1" applyFont="1"/>
    <xf numFmtId="10" fontId="11" fillId="0" borderId="0" xfId="0" applyNumberFormat="1" applyFont="1"/>
    <xf numFmtId="10" fontId="11" fillId="0" borderId="1" xfId="0" applyNumberFormat="1" applyFont="1" applyBorder="1"/>
    <xf numFmtId="0" fontId="12" fillId="0" borderId="2" xfId="0" applyFont="1" applyBorder="1"/>
    <xf numFmtId="165" fontId="12" fillId="0" borderId="2" xfId="0" applyNumberFormat="1" applyFont="1" applyBorder="1"/>
    <xf numFmtId="10" fontId="13" fillId="0" borderId="0" xfId="0" applyNumberFormat="1" applyFont="1"/>
    <xf numFmtId="165" fontId="14" fillId="0" borderId="2" xfId="0" applyNumberFormat="1" applyFont="1" applyBorder="1"/>
    <xf numFmtId="165" fontId="11" fillId="2" borderId="0" xfId="0" applyNumberFormat="1" applyFont="1" applyFill="1"/>
    <xf numFmtId="0" fontId="12" fillId="0" borderId="3" xfId="0" applyFont="1" applyBorder="1"/>
    <xf numFmtId="165" fontId="12" fillId="0" borderId="3" xfId="0" applyNumberFormat="1" applyFont="1" applyBorder="1"/>
    <xf numFmtId="10" fontId="13" fillId="0" borderId="3" xfId="0" applyNumberFormat="1" applyFont="1" applyBorder="1"/>
    <xf numFmtId="9" fontId="9" fillId="0" borderId="0" xfId="0" applyNumberFormat="1" applyFont="1"/>
    <xf numFmtId="166" fontId="9" fillId="0" borderId="0" xfId="1" applyNumberFormat="1" applyFont="1"/>
    <xf numFmtId="164" fontId="9" fillId="0" borderId="0" xfId="0" applyNumberFormat="1" applyFont="1"/>
    <xf numFmtId="0" fontId="16" fillId="0" borderId="0" xfId="2" applyFont="1"/>
    <xf numFmtId="0" fontId="15" fillId="0" borderId="0" xfId="2"/>
    <xf numFmtId="0" fontId="17" fillId="0" borderId="0" xfId="2" applyFont="1"/>
    <xf numFmtId="0" fontId="15" fillId="0" borderId="7" xfId="2" applyBorder="1"/>
    <xf numFmtId="0" fontId="15" fillId="0" borderId="8" xfId="2" applyBorder="1"/>
    <xf numFmtId="167" fontId="0" fillId="0" borderId="0" xfId="3" applyNumberFormat="1" applyFont="1" applyBorder="1"/>
    <xf numFmtId="0" fontId="15" fillId="0" borderId="7" xfId="2" applyBorder="1" applyAlignment="1">
      <alignment horizontal="left" indent="1"/>
    </xf>
    <xf numFmtId="10" fontId="0" fillId="0" borderId="0" xfId="4" applyNumberFormat="1" applyFont="1" applyBorder="1"/>
    <xf numFmtId="0" fontId="15" fillId="0" borderId="0" xfId="2" applyAlignment="1">
      <alignment horizontal="left" indent="1"/>
    </xf>
    <xf numFmtId="10" fontId="0" fillId="0" borderId="8" xfId="4" applyNumberFormat="1" applyFont="1" applyBorder="1"/>
    <xf numFmtId="167" fontId="0" fillId="0" borderId="1" xfId="3" applyNumberFormat="1" applyFont="1" applyBorder="1"/>
    <xf numFmtId="0" fontId="15" fillId="0" borderId="8" xfId="2" applyBorder="1" applyAlignment="1">
      <alignment horizontal="center"/>
    </xf>
    <xf numFmtId="0" fontId="19" fillId="0" borderId="0" xfId="2" applyFont="1" applyAlignment="1">
      <alignment horizontal="left" indent="2"/>
    </xf>
    <xf numFmtId="167" fontId="19" fillId="0" borderId="11" xfId="3" applyNumberFormat="1" applyFont="1" applyBorder="1"/>
    <xf numFmtId="0" fontId="19" fillId="0" borderId="7" xfId="2" applyFont="1" applyBorder="1" applyAlignment="1">
      <alignment horizontal="left" indent="2"/>
    </xf>
    <xf numFmtId="167" fontId="19" fillId="0" borderId="0" xfId="3" applyNumberFormat="1" applyFont="1" applyBorder="1"/>
    <xf numFmtId="0" fontId="15" fillId="0" borderId="7" xfId="2" applyBorder="1" applyAlignment="1">
      <alignment horizontal="left"/>
    </xf>
    <xf numFmtId="0" fontId="16" fillId="0" borderId="0" xfId="2" applyFont="1" applyAlignment="1">
      <alignment horizontal="right"/>
    </xf>
    <xf numFmtId="0" fontId="15" fillId="0" borderId="0" xfId="2" applyAlignment="1">
      <alignment horizontal="left" indent="2"/>
    </xf>
    <xf numFmtId="167" fontId="0" fillId="0" borderId="11" xfId="3" applyNumberFormat="1" applyFont="1" applyBorder="1"/>
    <xf numFmtId="168" fontId="20" fillId="0" borderId="0" xfId="2" applyNumberFormat="1" applyFont="1"/>
    <xf numFmtId="0" fontId="19" fillId="0" borderId="12" xfId="2" applyFont="1" applyBorder="1"/>
    <xf numFmtId="167" fontId="19" fillId="0" borderId="13" xfId="2" applyNumberFormat="1" applyFont="1" applyBorder="1"/>
    <xf numFmtId="10" fontId="0" fillId="0" borderId="13" xfId="4" applyNumberFormat="1" applyFont="1" applyBorder="1"/>
    <xf numFmtId="0" fontId="19" fillId="0" borderId="13" xfId="2" applyFont="1" applyBorder="1"/>
    <xf numFmtId="167" fontId="19" fillId="0" borderId="14" xfId="2" applyNumberFormat="1" applyFont="1" applyBorder="1"/>
    <xf numFmtId="0" fontId="15" fillId="0" borderId="15" xfId="2" applyBorder="1" applyAlignment="1">
      <alignment horizontal="center"/>
    </xf>
    <xf numFmtId="5" fontId="21" fillId="0" borderId="0" xfId="2" applyNumberFormat="1" applyFont="1"/>
    <xf numFmtId="0" fontId="17" fillId="0" borderId="0" xfId="2" applyFont="1" applyAlignment="1">
      <alignment horizontal="right"/>
    </xf>
    <xf numFmtId="0" fontId="22" fillId="0" borderId="0" xfId="2" applyFont="1"/>
    <xf numFmtId="0" fontId="8" fillId="0" borderId="0" xfId="0" applyFont="1" applyAlignment="1">
      <alignment horizontal="center"/>
    </xf>
    <xf numFmtId="0" fontId="3" fillId="3" borderId="4" xfId="2" applyFont="1" applyFill="1" applyBorder="1" applyAlignment="1">
      <alignment horizontal="center"/>
    </xf>
    <xf numFmtId="0" fontId="3" fillId="3" borderId="5" xfId="2" applyFont="1" applyFill="1" applyBorder="1" applyAlignment="1">
      <alignment horizontal="center"/>
    </xf>
    <xf numFmtId="0" fontId="3" fillId="3" borderId="6" xfId="2" applyFont="1" applyFill="1" applyBorder="1" applyAlignment="1">
      <alignment horizontal="center"/>
    </xf>
    <xf numFmtId="0" fontId="3" fillId="3" borderId="7" xfId="2" applyFont="1" applyFill="1" applyBorder="1" applyAlignment="1">
      <alignment horizontal="center"/>
    </xf>
    <xf numFmtId="0" fontId="3" fillId="3" borderId="0" xfId="2" applyFont="1" applyFill="1" applyAlignment="1">
      <alignment horizontal="center"/>
    </xf>
    <xf numFmtId="0" fontId="3" fillId="3" borderId="8" xfId="2" applyFont="1" applyFill="1" applyBorder="1" applyAlignment="1">
      <alignment horizontal="center"/>
    </xf>
    <xf numFmtId="0" fontId="15" fillId="0" borderId="9" xfId="2" applyBorder="1" applyAlignment="1">
      <alignment horizontal="center"/>
    </xf>
    <xf numFmtId="0" fontId="15" fillId="0" borderId="1" xfId="2" applyBorder="1" applyAlignment="1">
      <alignment horizontal="center"/>
    </xf>
    <xf numFmtId="0" fontId="15" fillId="0" borderId="10" xfId="2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2" fillId="0" borderId="0" xfId="0" applyFont="1"/>
    <xf numFmtId="164" fontId="23" fillId="4" borderId="0" xfId="0" applyNumberFormat="1" applyFont="1" applyFill="1"/>
    <xf numFmtId="0" fontId="24" fillId="0" borderId="17" xfId="0" applyFont="1" applyBorder="1" applyAlignment="1">
      <alignment horizontal="right"/>
    </xf>
    <xf numFmtId="164" fontId="24" fillId="0" borderId="18" xfId="0" applyNumberFormat="1" applyFont="1" applyBorder="1" applyAlignment="1">
      <alignment horizontal="right"/>
    </xf>
    <xf numFmtId="0" fontId="24" fillId="0" borderId="19" xfId="0" applyFont="1" applyBorder="1" applyAlignment="1">
      <alignment horizontal="right"/>
    </xf>
    <xf numFmtId="0" fontId="25" fillId="0" borderId="0" xfId="0" applyFont="1"/>
    <xf numFmtId="169" fontId="23" fillId="0" borderId="0" xfId="0" applyNumberFormat="1" applyFont="1" applyAlignment="1">
      <alignment horizontal="right"/>
    </xf>
    <xf numFmtId="164" fontId="23" fillId="0" borderId="0" xfId="0" applyNumberFormat="1" applyFont="1" applyAlignment="1">
      <alignment horizontal="right"/>
    </xf>
    <xf numFmtId="0" fontId="0" fillId="0" borderId="20" xfId="0" applyBorder="1" applyAlignment="1">
      <alignment horizontal="right"/>
    </xf>
    <xf numFmtId="7" fontId="0" fillId="0" borderId="21" xfId="0" applyNumberFormat="1" applyBorder="1" applyAlignment="1">
      <alignment horizontal="right"/>
    </xf>
    <xf numFmtId="7" fontId="0" fillId="0" borderId="22" xfId="0" applyNumberFormat="1" applyBorder="1" applyAlignment="1">
      <alignment horizontal="right"/>
    </xf>
    <xf numFmtId="164" fontId="23" fillId="0" borderId="0" xfId="0" applyNumberFormat="1" applyFont="1"/>
    <xf numFmtId="164" fontId="0" fillId="0" borderId="0" xfId="0" applyNumberFormat="1"/>
    <xf numFmtId="164" fontId="0" fillId="2" borderId="0" xfId="0" quotePrefix="1" applyNumberFormat="1" applyFill="1"/>
    <xf numFmtId="7" fontId="23" fillId="0" borderId="0" xfId="0" applyNumberFormat="1" applyFont="1"/>
    <xf numFmtId="7" fontId="0" fillId="0" borderId="0" xfId="0" applyNumberFormat="1"/>
    <xf numFmtId="7" fontId="0" fillId="2" borderId="0" xfId="0" quotePrefix="1" applyNumberFormat="1" applyFill="1"/>
    <xf numFmtId="37" fontId="23" fillId="0" borderId="0" xfId="0" applyNumberFormat="1" applyFont="1"/>
    <xf numFmtId="37" fontId="0" fillId="0" borderId="0" xfId="0" applyNumberFormat="1"/>
    <xf numFmtId="37" fontId="0" fillId="2" borderId="0" xfId="0" quotePrefix="1" applyNumberFormat="1" applyFill="1"/>
    <xf numFmtId="169" fontId="23" fillId="0" borderId="0" xfId="0" applyNumberFormat="1" applyFont="1"/>
    <xf numFmtId="170" fontId="0" fillId="0" borderId="0" xfId="0" applyNumberFormat="1"/>
    <xf numFmtId="0" fontId="26" fillId="0" borderId="0" xfId="0" applyFont="1"/>
    <xf numFmtId="0" fontId="0" fillId="0" borderId="0" xfId="0" applyAlignment="1">
      <alignment horizontal="left"/>
    </xf>
    <xf numFmtId="164" fontId="27" fillId="0" borderId="0" xfId="0" applyNumberFormat="1" applyFont="1"/>
    <xf numFmtId="169" fontId="0" fillId="0" borderId="0" xfId="0" applyNumberFormat="1"/>
    <xf numFmtId="169" fontId="0" fillId="0" borderId="18" xfId="0" applyNumberFormat="1" applyBorder="1"/>
    <xf numFmtId="171" fontId="27" fillId="0" borderId="0" xfId="0" applyNumberFormat="1" applyFont="1"/>
    <xf numFmtId="171" fontId="0" fillId="0" borderId="0" xfId="0" applyNumberFormat="1"/>
    <xf numFmtId="164" fontId="28" fillId="0" borderId="18" xfId="0" applyNumberFormat="1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6" fontId="23" fillId="0" borderId="0" xfId="0" applyNumberFormat="1" applyFont="1"/>
    <xf numFmtId="172" fontId="0" fillId="0" borderId="0" xfId="0" applyNumberFormat="1"/>
    <xf numFmtId="0" fontId="6" fillId="0" borderId="0" xfId="0" quotePrefix="1" applyFont="1"/>
    <xf numFmtId="173" fontId="23" fillId="0" borderId="0" xfId="0" applyNumberFormat="1" applyFont="1" applyAlignment="1">
      <alignment horizontal="right"/>
    </xf>
    <xf numFmtId="0" fontId="23" fillId="0" borderId="0" xfId="0" applyFont="1"/>
    <xf numFmtId="166" fontId="0" fillId="0" borderId="0" xfId="0" applyNumberFormat="1"/>
    <xf numFmtId="8" fontId="29" fillId="0" borderId="0" xfId="0" applyNumberFormat="1" applyFont="1"/>
    <xf numFmtId="169" fontId="0" fillId="4" borderId="18" xfId="0" applyNumberFormat="1" applyFill="1" applyBorder="1"/>
    <xf numFmtId="8" fontId="2" fillId="4" borderId="18" xfId="0" applyNumberFormat="1" applyFont="1" applyFill="1" applyBorder="1"/>
    <xf numFmtId="0" fontId="0" fillId="0" borderId="0" xfId="0" quotePrefix="1"/>
    <xf numFmtId="0" fontId="30" fillId="0" borderId="16" xfId="0" applyFont="1" applyBorder="1"/>
    <xf numFmtId="2" fontId="0" fillId="0" borderId="0" xfId="0" applyNumberFormat="1"/>
    <xf numFmtId="0" fontId="31" fillId="0" borderId="0" xfId="0" applyFont="1" applyAlignment="1">
      <alignment horizontal="right"/>
    </xf>
    <xf numFmtId="174" fontId="27" fillId="0" borderId="0" xfId="0" applyNumberFormat="1" applyFont="1"/>
    <xf numFmtId="14" fontId="0" fillId="0" borderId="0" xfId="0" applyNumberFormat="1" applyAlignment="1">
      <alignment horizontal="left"/>
    </xf>
    <xf numFmtId="175" fontId="0" fillId="0" borderId="0" xfId="0" applyNumberFormat="1" applyAlignment="1">
      <alignment horizontal="left"/>
    </xf>
    <xf numFmtId="171" fontId="0" fillId="0" borderId="18" xfId="0" applyNumberFormat="1" applyBorder="1"/>
    <xf numFmtId="8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left"/>
    </xf>
    <xf numFmtId="169" fontId="2" fillId="4" borderId="18" xfId="0" applyNumberFormat="1" applyFont="1" applyFill="1" applyBorder="1"/>
    <xf numFmtId="166" fontId="2" fillId="4" borderId="18" xfId="0" applyNumberFormat="1" applyFont="1" applyFill="1" applyBorder="1"/>
    <xf numFmtId="174" fontId="0" fillId="0" borderId="18" xfId="0" applyNumberFormat="1" applyBorder="1"/>
    <xf numFmtId="164" fontId="0" fillId="0" borderId="0" xfId="0" quotePrefix="1" applyNumberFormat="1"/>
    <xf numFmtId="0" fontId="0" fillId="0" borderId="0" xfId="0" quotePrefix="1" applyAlignment="1">
      <alignment horizontal="right"/>
    </xf>
    <xf numFmtId="0" fontId="26" fillId="0" borderId="0" xfId="0" applyFont="1" applyAlignment="1">
      <alignment horizontal="right"/>
    </xf>
    <xf numFmtId="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6" fontId="2" fillId="0" borderId="0" xfId="0" applyNumberFormat="1" applyFont="1" applyAlignment="1">
      <alignment horizontal="left"/>
    </xf>
    <xf numFmtId="0" fontId="0" fillId="2" borderId="0" xfId="0" quotePrefix="1" applyFill="1"/>
    <xf numFmtId="0" fontId="0" fillId="2" borderId="0" xfId="0" applyFill="1"/>
    <xf numFmtId="164" fontId="28" fillId="0" borderId="0" xfId="0" applyNumberFormat="1" applyFont="1"/>
    <xf numFmtId="14" fontId="0" fillId="0" borderId="0" xfId="0" applyNumberFormat="1"/>
    <xf numFmtId="10" fontId="0" fillId="0" borderId="0" xfId="0" applyNumberFormat="1"/>
    <xf numFmtId="171" fontId="5" fillId="0" borderId="0" xfId="0" applyNumberFormat="1" applyFont="1"/>
    <xf numFmtId="9" fontId="0" fillId="0" borderId="0" xfId="0" applyNumberFormat="1"/>
  </cellXfs>
  <cellStyles count="5">
    <cellStyle name="Comma 2" xfId="3" xr:uid="{3CDDA2C2-00E0-49E4-934C-39D9C65177FE}"/>
    <cellStyle name="Normal" xfId="0" builtinId="0"/>
    <cellStyle name="Normal 2" xfId="2" xr:uid="{FA000654-C520-4841-92EE-971F1440D5EC}"/>
    <cellStyle name="Percent" xfId="1" builtinId="5"/>
    <cellStyle name="Percent 2" xfId="4" xr:uid="{BBE83C13-2385-4F3B-912F-186963943E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Matan/Dropbox%20(Wall%20Street%20Prep)/Course%20Materials-%20WSP/Excel%202013%20&amp;%202010%20Crash%20Course/Archives/Excel%20Files/Excel%20Practice%20Sheet%200_a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mfeldman/Dropbox/Course%20Materials-%20WSP/Excel%20Crash%20Course%20-%202007/Excel%20templates/Excel%20Practice%20Shee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Income Statement"/>
      <sheetName val="Sheet3"/>
      <sheetName val="Sheet5"/>
    </sheetNames>
    <sheetDataSet>
      <sheetData sheetId="0"/>
      <sheetData sheetId="1">
        <row r="5">
          <cell r="C5">
            <v>800</v>
          </cell>
        </row>
        <row r="6">
          <cell r="C6">
            <v>300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5"/>
      <sheetName val="Sheet3"/>
      <sheetName val="Data validation"/>
      <sheetName val="Income Statement"/>
      <sheetName val="Sheet1"/>
      <sheetName val="Sheet4"/>
      <sheetName val="Sheet2A"/>
      <sheetName val="Sheet2B"/>
      <sheetName val="Sheet2"/>
      <sheetName val="Sheet7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C5">
            <v>800</v>
          </cell>
        </row>
        <row r="6">
          <cell r="C6">
            <v>300</v>
          </cell>
        </row>
      </sheetData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E0F6-0DB1-4AC1-B8B0-83101D00AF66}">
  <sheetPr>
    <pageSetUpPr fitToPage="1"/>
  </sheetPr>
  <dimension ref="A1:F13"/>
  <sheetViews>
    <sheetView zoomScaleNormal="100" workbookViewId="0">
      <selection activeCell="C30" sqref="C30"/>
    </sheetView>
  </sheetViews>
  <sheetFormatPr defaultColWidth="9.109375" defaultRowHeight="14.4" x14ac:dyDescent="0.3"/>
  <cols>
    <col min="2" max="2" width="10.44140625" customWidth="1"/>
    <col min="3" max="6" width="9.109375" customWidth="1"/>
  </cols>
  <sheetData>
    <row r="1" spans="1:6" x14ac:dyDescent="0.3">
      <c r="A1" s="1"/>
      <c r="C1" s="2">
        <v>2005</v>
      </c>
      <c r="D1" s="2">
        <v>2006</v>
      </c>
      <c r="E1" s="2">
        <v>2007</v>
      </c>
      <c r="F1" s="2">
        <v>2008</v>
      </c>
    </row>
    <row r="2" spans="1:6" x14ac:dyDescent="0.3">
      <c r="B2" t="s">
        <v>0</v>
      </c>
      <c r="C2" s="7">
        <v>100</v>
      </c>
      <c r="D2" s="7">
        <v>125</v>
      </c>
      <c r="E2" s="7">
        <v>150</v>
      </c>
      <c r="F2" s="7">
        <v>175</v>
      </c>
    </row>
    <row r="3" spans="1:6" x14ac:dyDescent="0.3">
      <c r="B3" t="s">
        <v>1</v>
      </c>
      <c r="C3" s="7">
        <v>50</v>
      </c>
      <c r="D3" s="7">
        <v>60</v>
      </c>
      <c r="E3" s="7">
        <v>70</v>
      </c>
      <c r="F3" s="7">
        <v>80</v>
      </c>
    </row>
    <row r="4" spans="1:6" x14ac:dyDescent="0.3">
      <c r="B4" t="s">
        <v>2</v>
      </c>
      <c r="C4" s="8"/>
      <c r="D4" s="8"/>
      <c r="E4" s="8"/>
      <c r="F4" s="8"/>
    </row>
    <row r="10" spans="1:6" x14ac:dyDescent="0.3">
      <c r="C10" s="2">
        <v>2005</v>
      </c>
      <c r="D10" s="2">
        <v>2006</v>
      </c>
      <c r="E10" s="2">
        <v>2007</v>
      </c>
      <c r="F10" s="2">
        <v>2008</v>
      </c>
    </row>
    <row r="11" spans="1:6" x14ac:dyDescent="0.3">
      <c r="B11" t="s">
        <v>0</v>
      </c>
      <c r="C11" s="3">
        <v>100</v>
      </c>
      <c r="D11" s="3">
        <v>125</v>
      </c>
      <c r="E11" s="3">
        <v>150</v>
      </c>
      <c r="F11" s="3">
        <v>175</v>
      </c>
    </row>
    <row r="12" spans="1:6" x14ac:dyDescent="0.3">
      <c r="B12" t="s">
        <v>1</v>
      </c>
      <c r="C12" s="3">
        <v>50</v>
      </c>
      <c r="D12" s="3">
        <v>60</v>
      </c>
      <c r="E12" s="3">
        <v>70</v>
      </c>
      <c r="F12" s="3">
        <v>80</v>
      </c>
    </row>
    <row r="13" spans="1:6" x14ac:dyDescent="0.3">
      <c r="B13" t="s">
        <v>2</v>
      </c>
      <c r="C13" s="5">
        <f>C11-C12</f>
        <v>50</v>
      </c>
      <c r="D13" s="5">
        <f t="shared" ref="D13:F13" si="0">D11-D12</f>
        <v>65</v>
      </c>
      <c r="E13" s="5">
        <f t="shared" si="0"/>
        <v>80</v>
      </c>
      <c r="F13" s="5">
        <f t="shared" si="0"/>
        <v>95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80DD-BE1D-4F0F-814B-6C8E30CE544D}">
  <sheetPr>
    <pageSetUpPr fitToPage="1"/>
  </sheetPr>
  <dimension ref="B2:E5"/>
  <sheetViews>
    <sheetView tabSelected="1" zoomScaleNormal="100" workbookViewId="0">
      <selection activeCell="C5" sqref="C5:D5"/>
    </sheetView>
  </sheetViews>
  <sheetFormatPr defaultColWidth="9.109375" defaultRowHeight="14.4" x14ac:dyDescent="0.3"/>
  <cols>
    <col min="2" max="2" width="22.44140625" bestFit="1" customWidth="1"/>
    <col min="3" max="5" width="9.109375" customWidth="1"/>
  </cols>
  <sheetData>
    <row r="2" spans="2:5" x14ac:dyDescent="0.3">
      <c r="C2" s="73">
        <v>2014</v>
      </c>
      <c r="D2" s="73">
        <f>C2+1</f>
        <v>2015</v>
      </c>
      <c r="E2" s="73">
        <f>D2+1</f>
        <v>2016</v>
      </c>
    </row>
    <row r="3" spans="2:5" x14ac:dyDescent="0.3">
      <c r="B3" t="s">
        <v>58</v>
      </c>
      <c r="C3" s="74">
        <v>1500</v>
      </c>
      <c r="D3" s="74">
        <v>1850</v>
      </c>
      <c r="E3" s="74">
        <v>2130</v>
      </c>
    </row>
    <row r="4" spans="2:5" x14ac:dyDescent="0.3">
      <c r="B4" t="s">
        <v>59</v>
      </c>
      <c r="C4" s="75">
        <v>0</v>
      </c>
      <c r="D4" s="75">
        <v>50</v>
      </c>
      <c r="E4" s="75">
        <v>75</v>
      </c>
    </row>
    <row r="5" spans="2:5" x14ac:dyDescent="0.3">
      <c r="B5" t="s">
        <v>60</v>
      </c>
      <c r="C5" s="76" t="str">
        <f>IFERROR(C3/C4,"NM")</f>
        <v>NM</v>
      </c>
      <c r="D5" s="77">
        <f t="shared" ref="D5:E5" si="0">IFERROR(D3/D4,"NM")</f>
        <v>37</v>
      </c>
      <c r="E5" s="78">
        <f t="shared" si="0"/>
        <v>28.4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5C81-FCC6-4EC3-8E81-E9AC6DD39087}">
  <sheetPr>
    <pageSetUpPr fitToPage="1"/>
  </sheetPr>
  <dimension ref="A1:H37"/>
  <sheetViews>
    <sheetView zoomScaleNormal="100" workbookViewId="0">
      <selection activeCell="D4" sqref="D4:G4"/>
    </sheetView>
  </sheetViews>
  <sheetFormatPr defaultColWidth="9.109375" defaultRowHeight="14.4" outlineLevelRow="1" outlineLevelCol="1" x14ac:dyDescent="0.3"/>
  <cols>
    <col min="2" max="2" width="40.6640625" bestFit="1" customWidth="1"/>
    <col min="3" max="3" width="13.6640625" customWidth="1" outlineLevel="1"/>
    <col min="4" max="7" width="11" bestFit="1" customWidth="1"/>
    <col min="8" max="8" width="10" bestFit="1" customWidth="1"/>
  </cols>
  <sheetData>
    <row r="1" spans="1:8" x14ac:dyDescent="0.3">
      <c r="B1" t="s">
        <v>160</v>
      </c>
      <c r="C1" s="6" t="s">
        <v>161</v>
      </c>
    </row>
    <row r="2" spans="1:8" x14ac:dyDescent="0.3">
      <c r="B2" t="s">
        <v>17</v>
      </c>
      <c r="C2" s="106">
        <v>0.35</v>
      </c>
    </row>
    <row r="3" spans="1:8" x14ac:dyDescent="0.3">
      <c r="B3" t="str">
        <f>"Income Statement for "&amp;C1</f>
        <v>Income Statement for Lemonade Co.</v>
      </c>
      <c r="H3" s="134">
        <v>43723</v>
      </c>
    </row>
    <row r="4" spans="1:8" x14ac:dyDescent="0.3">
      <c r="A4" s="1"/>
      <c r="C4" s="134">
        <v>42004</v>
      </c>
      <c r="D4" s="134"/>
      <c r="E4" s="134"/>
      <c r="F4" s="134"/>
      <c r="G4" s="134"/>
      <c r="H4" s="135">
        <f>YEARFRAC(G4,H3)</f>
        <v>119.70833333333333</v>
      </c>
    </row>
    <row r="5" spans="1:8" x14ac:dyDescent="0.3">
      <c r="B5" t="s">
        <v>0</v>
      </c>
      <c r="C5" s="136">
        <v>800</v>
      </c>
      <c r="D5" s="136">
        <v>1000</v>
      </c>
      <c r="E5" s="136">
        <v>1500</v>
      </c>
      <c r="F5" s="136">
        <v>2500</v>
      </c>
      <c r="G5" s="136">
        <v>4500</v>
      </c>
      <c r="H5">
        <f>G5*H4</f>
        <v>538687.5</v>
      </c>
    </row>
    <row r="6" spans="1:8" outlineLevel="1" x14ac:dyDescent="0.3">
      <c r="B6" t="s">
        <v>1</v>
      </c>
      <c r="C6" s="136">
        <v>300</v>
      </c>
      <c r="D6" s="136">
        <v>500</v>
      </c>
      <c r="E6" s="136">
        <v>1200</v>
      </c>
      <c r="F6" s="136">
        <v>3400</v>
      </c>
      <c r="G6" s="136">
        <v>4000</v>
      </c>
    </row>
    <row r="7" spans="1:8" outlineLevel="1" x14ac:dyDescent="0.3">
      <c r="B7" t="s">
        <v>2</v>
      </c>
      <c r="C7" s="96">
        <f>Revenues2004-COGS2004</f>
        <v>500</v>
      </c>
      <c r="D7" s="96">
        <f>D5-D6</f>
        <v>500</v>
      </c>
      <c r="E7" s="96">
        <f t="shared" ref="E7:G7" si="0">E5-E6</f>
        <v>300</v>
      </c>
      <c r="F7" s="96">
        <f t="shared" si="0"/>
        <v>-900</v>
      </c>
      <c r="G7" s="96">
        <f t="shared" si="0"/>
        <v>500</v>
      </c>
    </row>
    <row r="8" spans="1:8" outlineLevel="1" x14ac:dyDescent="0.3">
      <c r="B8" t="s">
        <v>162</v>
      </c>
      <c r="C8" s="136">
        <v>35</v>
      </c>
      <c r="D8" s="136">
        <v>45</v>
      </c>
      <c r="E8" s="136">
        <v>55</v>
      </c>
      <c r="F8" s="136">
        <v>65</v>
      </c>
      <c r="G8" s="136">
        <v>78</v>
      </c>
    </row>
    <row r="9" spans="1:8" outlineLevel="1" x14ac:dyDescent="0.3">
      <c r="B9" t="s">
        <v>163</v>
      </c>
      <c r="C9" s="136">
        <v>15</v>
      </c>
      <c r="D9" s="136">
        <v>15</v>
      </c>
      <c r="E9" s="136">
        <v>15</v>
      </c>
      <c r="F9" s="136">
        <v>15</v>
      </c>
      <c r="G9" s="136">
        <v>15</v>
      </c>
    </row>
    <row r="10" spans="1:8" outlineLevel="1" x14ac:dyDescent="0.3">
      <c r="B10" t="s">
        <v>164</v>
      </c>
      <c r="C10" s="96">
        <f>C7-C8-C9</f>
        <v>450</v>
      </c>
      <c r="D10" s="96">
        <f>D7-D8-D9</f>
        <v>440</v>
      </c>
      <c r="E10" s="96">
        <f>E7-E8-E9</f>
        <v>230</v>
      </c>
      <c r="F10" s="96">
        <f>F7-F8-F9</f>
        <v>-980</v>
      </c>
      <c r="G10" s="96">
        <f>G7-G8-G9</f>
        <v>407</v>
      </c>
    </row>
    <row r="11" spans="1:8" outlineLevel="1" x14ac:dyDescent="0.3">
      <c r="B11" t="s">
        <v>165</v>
      </c>
      <c r="C11" s="80">
        <f>IF($C$14,C10*$C14,"No tax")</f>
        <v>157.5</v>
      </c>
      <c r="D11" s="80">
        <f t="shared" ref="D11:G11" si="1">IF($C$14,D10*$C14,"No tax")</f>
        <v>154</v>
      </c>
      <c r="E11" s="80">
        <f t="shared" si="1"/>
        <v>80.5</v>
      </c>
      <c r="F11" s="80">
        <f t="shared" si="1"/>
        <v>-343</v>
      </c>
      <c r="G11" s="80">
        <f t="shared" si="1"/>
        <v>142.44999999999999</v>
      </c>
    </row>
    <row r="12" spans="1:8" x14ac:dyDescent="0.3">
      <c r="B12" t="s">
        <v>166</v>
      </c>
      <c r="C12" s="80">
        <f>IFERROR(C10-C11,"NM")</f>
        <v>292.5</v>
      </c>
      <c r="D12" s="80">
        <f t="shared" ref="D12:G12" si="2">IFERROR(D10-D11,"NM")</f>
        <v>286</v>
      </c>
      <c r="E12" s="80">
        <f t="shared" si="2"/>
        <v>149.5</v>
      </c>
      <c r="F12" s="80">
        <f t="shared" si="2"/>
        <v>-637</v>
      </c>
      <c r="G12" s="80">
        <f t="shared" si="2"/>
        <v>264.55</v>
      </c>
    </row>
    <row r="14" spans="1:8" x14ac:dyDescent="0.3">
      <c r="B14" t="s">
        <v>17</v>
      </c>
      <c r="C14" s="137">
        <v>0.35</v>
      </c>
    </row>
    <row r="16" spans="1:8" x14ac:dyDescent="0.3">
      <c r="B16" t="s">
        <v>167</v>
      </c>
      <c r="D16" s="136">
        <v>5000</v>
      </c>
    </row>
    <row r="17" spans="2:8" x14ac:dyDescent="0.3">
      <c r="B17" t="s">
        <v>168</v>
      </c>
      <c r="D17" s="96">
        <f>IF(D16,D16,C10*5)</f>
        <v>5000</v>
      </c>
    </row>
    <row r="21" spans="2:8" x14ac:dyDescent="0.3">
      <c r="B21" t="s">
        <v>160</v>
      </c>
      <c r="C21" s="6" t="s">
        <v>161</v>
      </c>
    </row>
    <row r="22" spans="2:8" x14ac:dyDescent="0.3">
      <c r="B22" t="s">
        <v>17</v>
      </c>
      <c r="C22" s="106">
        <v>0.35</v>
      </c>
    </row>
    <row r="23" spans="2:8" x14ac:dyDescent="0.3">
      <c r="B23" t="str">
        <f>"Income Statement for "&amp;C21</f>
        <v>Income Statement for Lemonade Co.</v>
      </c>
      <c r="H23" s="134">
        <v>43723</v>
      </c>
    </row>
    <row r="24" spans="2:8" x14ac:dyDescent="0.3">
      <c r="C24" s="134">
        <v>42004</v>
      </c>
      <c r="D24" s="134">
        <f>EOMONTH(C24,12)</f>
        <v>42369</v>
      </c>
      <c r="E24" s="134">
        <f t="shared" ref="E24:G24" si="3">EOMONTH(D24,12)</f>
        <v>42735</v>
      </c>
      <c r="F24" s="134">
        <f t="shared" si="3"/>
        <v>43100</v>
      </c>
      <c r="G24" s="134">
        <f t="shared" si="3"/>
        <v>43465</v>
      </c>
      <c r="H24" s="135">
        <f>YEARFRAC(G24,H23)</f>
        <v>0.70833333333333337</v>
      </c>
    </row>
    <row r="25" spans="2:8" x14ac:dyDescent="0.3">
      <c r="B25" t="s">
        <v>0</v>
      </c>
      <c r="C25" s="136">
        <v>800</v>
      </c>
      <c r="D25" s="136">
        <v>1000</v>
      </c>
      <c r="E25" s="136">
        <v>1500</v>
      </c>
      <c r="F25" s="136">
        <v>2500</v>
      </c>
      <c r="G25" s="136">
        <v>4500</v>
      </c>
      <c r="H25">
        <f>G25*H24</f>
        <v>3187.5</v>
      </c>
    </row>
    <row r="26" spans="2:8" x14ac:dyDescent="0.3">
      <c r="B26" t="s">
        <v>1</v>
      </c>
      <c r="C26" s="136">
        <v>300</v>
      </c>
      <c r="D26" s="136">
        <v>500</v>
      </c>
      <c r="E26" s="136">
        <v>1200</v>
      </c>
      <c r="F26" s="136">
        <v>3400</v>
      </c>
      <c r="G26" s="136">
        <v>4000</v>
      </c>
    </row>
    <row r="27" spans="2:8" x14ac:dyDescent="0.3">
      <c r="B27" t="s">
        <v>2</v>
      </c>
      <c r="C27" s="96">
        <f>Revenues2004-COGS2004</f>
        <v>500</v>
      </c>
      <c r="D27" s="96">
        <f>D25-D26</f>
        <v>500</v>
      </c>
      <c r="E27" s="96">
        <f t="shared" ref="E27:G27" si="4">E25-E26</f>
        <v>300</v>
      </c>
      <c r="F27" s="96">
        <f t="shared" si="4"/>
        <v>-900</v>
      </c>
      <c r="G27" s="96">
        <f t="shared" si="4"/>
        <v>500</v>
      </c>
    </row>
    <row r="28" spans="2:8" x14ac:dyDescent="0.3">
      <c r="B28" t="s">
        <v>162</v>
      </c>
      <c r="C28" s="136">
        <v>35</v>
      </c>
      <c r="D28" s="136">
        <v>45</v>
      </c>
      <c r="E28" s="136">
        <v>55</v>
      </c>
      <c r="F28" s="136">
        <v>65</v>
      </c>
      <c r="G28" s="136">
        <v>78</v>
      </c>
    </row>
    <row r="29" spans="2:8" x14ac:dyDescent="0.3">
      <c r="B29" t="s">
        <v>163</v>
      </c>
      <c r="C29" s="136">
        <v>15</v>
      </c>
      <c r="D29" s="136">
        <v>15</v>
      </c>
      <c r="E29" s="136">
        <v>15</v>
      </c>
      <c r="F29" s="136">
        <v>15</v>
      </c>
      <c r="G29" s="136">
        <v>15</v>
      </c>
    </row>
    <row r="30" spans="2:8" x14ac:dyDescent="0.3">
      <c r="B30" t="s">
        <v>164</v>
      </c>
      <c r="C30" s="96">
        <f>C27-C28-C29</f>
        <v>450</v>
      </c>
      <c r="D30" s="96">
        <f>D27-D28-D29</f>
        <v>440</v>
      </c>
      <c r="E30" s="96">
        <f>E27-E28-E29</f>
        <v>230</v>
      </c>
      <c r="F30" s="96">
        <f>F27-F28-F29</f>
        <v>-980</v>
      </c>
      <c r="G30" s="96">
        <f>G27-G28-G29</f>
        <v>407</v>
      </c>
    </row>
    <row r="31" spans="2:8" x14ac:dyDescent="0.3">
      <c r="B31" t="s">
        <v>165</v>
      </c>
      <c r="C31" s="80">
        <f>IF($C$14,C30*$C34,"No tax")</f>
        <v>157.5</v>
      </c>
      <c r="D31" s="80">
        <f t="shared" ref="D31:G31" si="5">IF($C$14,D30*$C34,"No tax")</f>
        <v>154</v>
      </c>
      <c r="E31" s="80">
        <f t="shared" si="5"/>
        <v>80.5</v>
      </c>
      <c r="F31" s="80">
        <f t="shared" si="5"/>
        <v>-343</v>
      </c>
      <c r="G31" s="80">
        <f t="shared" si="5"/>
        <v>142.44999999999999</v>
      </c>
    </row>
    <row r="32" spans="2:8" x14ac:dyDescent="0.3">
      <c r="B32" t="s">
        <v>166</v>
      </c>
      <c r="C32" s="80">
        <f>IFERROR(C30-C31,"NM")</f>
        <v>292.5</v>
      </c>
      <c r="D32" s="80">
        <f t="shared" ref="D32:G32" si="6">IFERROR(D30-D31,"NM")</f>
        <v>286</v>
      </c>
      <c r="E32" s="80">
        <f t="shared" si="6"/>
        <v>149.5</v>
      </c>
      <c r="F32" s="80">
        <f t="shared" si="6"/>
        <v>-637</v>
      </c>
      <c r="G32" s="80">
        <f t="shared" si="6"/>
        <v>264.55</v>
      </c>
    </row>
    <row r="34" spans="2:4" x14ac:dyDescent="0.3">
      <c r="B34" t="s">
        <v>17</v>
      </c>
      <c r="C34" s="137">
        <v>0.35</v>
      </c>
    </row>
    <row r="36" spans="2:4" x14ac:dyDescent="0.3">
      <c r="B36" t="s">
        <v>167</v>
      </c>
      <c r="D36" s="136">
        <v>5000</v>
      </c>
    </row>
    <row r="37" spans="2:4" x14ac:dyDescent="0.3">
      <c r="B37" t="s">
        <v>168</v>
      </c>
      <c r="D37" s="96">
        <f>IF(D36,D36,C30*5)</f>
        <v>5000</v>
      </c>
    </row>
  </sheetData>
  <pageMargins left="0.7" right="0.7" top="0.75" bottom="0.75" header="0.3" footer="0.3"/>
  <pageSetup scale="7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6090-225E-474F-9BB5-2CBAB4D2BC6D}">
  <sheetPr>
    <pageSetUpPr fitToPage="1"/>
  </sheetPr>
  <dimension ref="A1:H36"/>
  <sheetViews>
    <sheetView zoomScaleNormal="100" workbookViewId="0">
      <selection activeCell="K30" sqref="K30"/>
    </sheetView>
  </sheetViews>
  <sheetFormatPr defaultColWidth="9.109375" defaultRowHeight="14.4" outlineLevelRow="1" outlineLevelCol="1" x14ac:dyDescent="0.3"/>
  <cols>
    <col min="2" max="2" width="40.6640625" bestFit="1" customWidth="1"/>
    <col min="3" max="3" width="13.6640625" customWidth="1" outlineLevel="1"/>
    <col min="4" max="7" width="11" bestFit="1" customWidth="1"/>
    <col min="8" max="8" width="10" bestFit="1" customWidth="1"/>
  </cols>
  <sheetData>
    <row r="1" spans="1:8" x14ac:dyDescent="0.3">
      <c r="B1" t="s">
        <v>160</v>
      </c>
      <c r="C1" s="6" t="s">
        <v>161</v>
      </c>
    </row>
    <row r="2" spans="1:8" x14ac:dyDescent="0.3">
      <c r="B2" t="s">
        <v>17</v>
      </c>
      <c r="C2" s="106">
        <v>0.35</v>
      </c>
    </row>
    <row r="3" spans="1:8" x14ac:dyDescent="0.3">
      <c r="B3" t="str">
        <f>"Income Statement for "&amp;C1</f>
        <v>Income Statement for Lemonade Co.</v>
      </c>
      <c r="H3" s="134">
        <v>43723</v>
      </c>
    </row>
    <row r="4" spans="1:8" x14ac:dyDescent="0.3">
      <c r="A4" s="1"/>
      <c r="C4" s="134">
        <v>41988</v>
      </c>
      <c r="D4" s="134">
        <f>EOMONTH(C4,12)</f>
        <v>42369</v>
      </c>
      <c r="E4" s="134">
        <f t="shared" ref="E4:G4" si="0">EOMONTH(D4,12)</f>
        <v>42735</v>
      </c>
      <c r="F4" s="134">
        <f t="shared" si="0"/>
        <v>43100</v>
      </c>
      <c r="G4" s="134">
        <f t="shared" si="0"/>
        <v>43465</v>
      </c>
      <c r="H4" s="135">
        <f>YEARFRAC(G4,H3)</f>
        <v>0.70833333333333337</v>
      </c>
    </row>
    <row r="5" spans="1:8" x14ac:dyDescent="0.3">
      <c r="B5" t="s">
        <v>0</v>
      </c>
      <c r="C5" s="136">
        <v>800</v>
      </c>
      <c r="D5" s="136">
        <v>1000</v>
      </c>
      <c r="E5" s="136">
        <v>1500</v>
      </c>
      <c r="F5" s="136">
        <v>2500</v>
      </c>
      <c r="G5" s="136">
        <v>4500</v>
      </c>
      <c r="H5">
        <f>G5*H4</f>
        <v>3187.5</v>
      </c>
    </row>
    <row r="6" spans="1:8" outlineLevel="1" x14ac:dyDescent="0.3">
      <c r="B6" t="s">
        <v>1</v>
      </c>
      <c r="C6" s="136">
        <v>300</v>
      </c>
      <c r="D6" s="136">
        <v>500</v>
      </c>
      <c r="E6" s="136">
        <v>1200</v>
      </c>
      <c r="F6" s="136">
        <v>3400</v>
      </c>
      <c r="G6" s="136">
        <v>4000</v>
      </c>
    </row>
    <row r="7" spans="1:8" outlineLevel="1" x14ac:dyDescent="0.3">
      <c r="B7" t="s">
        <v>2</v>
      </c>
      <c r="C7" s="96">
        <f>Revenues2004-COGS2004</f>
        <v>500</v>
      </c>
      <c r="D7" s="96">
        <f>D5-D6</f>
        <v>500</v>
      </c>
      <c r="E7" s="96">
        <f t="shared" ref="E7:G7" si="1">E5-E6</f>
        <v>300</v>
      </c>
      <c r="F7" s="96">
        <f t="shared" si="1"/>
        <v>-900</v>
      </c>
      <c r="G7" s="96">
        <f t="shared" si="1"/>
        <v>500</v>
      </c>
    </row>
    <row r="8" spans="1:8" outlineLevel="1" x14ac:dyDescent="0.3">
      <c r="B8" t="s">
        <v>162</v>
      </c>
      <c r="C8" s="136">
        <v>35</v>
      </c>
      <c r="D8" s="136">
        <v>45</v>
      </c>
      <c r="E8" s="136">
        <v>55</v>
      </c>
      <c r="F8" s="136">
        <v>65</v>
      </c>
      <c r="G8" s="136">
        <v>78</v>
      </c>
    </row>
    <row r="9" spans="1:8" outlineLevel="1" x14ac:dyDescent="0.3">
      <c r="B9" t="s">
        <v>163</v>
      </c>
      <c r="C9" s="136">
        <v>15</v>
      </c>
      <c r="D9" s="136">
        <v>15</v>
      </c>
      <c r="E9" s="136">
        <v>15</v>
      </c>
      <c r="F9" s="136">
        <v>15</v>
      </c>
      <c r="G9" s="136">
        <v>15</v>
      </c>
    </row>
    <row r="10" spans="1:8" outlineLevel="1" x14ac:dyDescent="0.3">
      <c r="B10" t="s">
        <v>164</v>
      </c>
      <c r="C10" s="96">
        <f>C7-C8-C9</f>
        <v>450</v>
      </c>
      <c r="D10" s="96">
        <f>D7-D8-D9</f>
        <v>440</v>
      </c>
      <c r="E10" s="96">
        <f>E7-E8-E9</f>
        <v>230</v>
      </c>
      <c r="F10" s="96">
        <f>F7-F8-F9</f>
        <v>-980</v>
      </c>
      <c r="G10" s="96">
        <f>G7-G8-G9</f>
        <v>407</v>
      </c>
    </row>
    <row r="11" spans="1:8" outlineLevel="1" x14ac:dyDescent="0.3">
      <c r="B11" t="s">
        <v>165</v>
      </c>
      <c r="C11" s="80">
        <f>IF($C$14,C10*$C14,"No tax")</f>
        <v>157.5</v>
      </c>
      <c r="D11" s="80">
        <f t="shared" ref="D11:G11" si="2">IF($C$14,D10*$C14,"No tax")</f>
        <v>154</v>
      </c>
      <c r="E11" s="80">
        <f t="shared" si="2"/>
        <v>80.5</v>
      </c>
      <c r="F11" s="80">
        <f t="shared" si="2"/>
        <v>-343</v>
      </c>
      <c r="G11" s="80">
        <f t="shared" si="2"/>
        <v>142.44999999999999</v>
      </c>
    </row>
    <row r="12" spans="1:8" x14ac:dyDescent="0.3">
      <c r="B12" t="s">
        <v>166</v>
      </c>
      <c r="C12" s="80">
        <f>IFERROR(C10-C11,"NM")</f>
        <v>292.5</v>
      </c>
      <c r="D12" s="80">
        <f t="shared" ref="D12:G12" si="3">IFERROR(D10-D11,"NM")</f>
        <v>286</v>
      </c>
      <c r="E12" s="80">
        <f t="shared" si="3"/>
        <v>149.5</v>
      </c>
      <c r="F12" s="80">
        <f t="shared" si="3"/>
        <v>-637</v>
      </c>
      <c r="G12" s="80">
        <f t="shared" si="3"/>
        <v>264.55</v>
      </c>
    </row>
    <row r="14" spans="1:8" x14ac:dyDescent="0.3">
      <c r="B14" t="s">
        <v>17</v>
      </c>
      <c r="C14" s="137">
        <v>0.35</v>
      </c>
    </row>
    <row r="16" spans="1:8" x14ac:dyDescent="0.3">
      <c r="B16" t="s">
        <v>167</v>
      </c>
      <c r="D16" s="136">
        <v>5000</v>
      </c>
    </row>
    <row r="17" spans="2:8" x14ac:dyDescent="0.3">
      <c r="B17" t="s">
        <v>168</v>
      </c>
      <c r="D17" s="96">
        <f>IF(D16,D16,C10*5)</f>
        <v>5000</v>
      </c>
    </row>
    <row r="20" spans="2:8" x14ac:dyDescent="0.3">
      <c r="B20" t="s">
        <v>160</v>
      </c>
      <c r="C20" s="6" t="s">
        <v>161</v>
      </c>
    </row>
    <row r="21" spans="2:8" x14ac:dyDescent="0.3">
      <c r="B21" t="s">
        <v>17</v>
      </c>
      <c r="C21" s="106">
        <v>0.35</v>
      </c>
    </row>
    <row r="22" spans="2:8" x14ac:dyDescent="0.3">
      <c r="B22" t="str">
        <f>"Income Statement for "&amp;C20</f>
        <v>Income Statement for Lemonade Co.</v>
      </c>
      <c r="H22" s="134">
        <v>43723</v>
      </c>
    </row>
    <row r="23" spans="2:8" x14ac:dyDescent="0.3">
      <c r="C23" s="134">
        <v>41988</v>
      </c>
      <c r="D23" s="134">
        <f>EDATE(C23,12)</f>
        <v>42353</v>
      </c>
      <c r="E23" s="134">
        <f t="shared" ref="E23:G23" si="4">EDATE(D23,12)</f>
        <v>42719</v>
      </c>
      <c r="F23" s="134">
        <f t="shared" si="4"/>
        <v>43084</v>
      </c>
      <c r="G23" s="134">
        <f t="shared" si="4"/>
        <v>43449</v>
      </c>
      <c r="H23" s="135">
        <f>YEARFRAC(G23,H22)</f>
        <v>0.75</v>
      </c>
    </row>
    <row r="24" spans="2:8" x14ac:dyDescent="0.3">
      <c r="B24" t="s">
        <v>0</v>
      </c>
      <c r="C24" s="136">
        <v>800</v>
      </c>
      <c r="D24" s="136">
        <v>1000</v>
      </c>
      <c r="E24" s="136">
        <v>1500</v>
      </c>
      <c r="F24" s="136">
        <v>2500</v>
      </c>
      <c r="G24" s="136">
        <v>4500</v>
      </c>
      <c r="H24">
        <f>G24*H23</f>
        <v>3375</v>
      </c>
    </row>
    <row r="25" spans="2:8" x14ac:dyDescent="0.3">
      <c r="B25" t="s">
        <v>1</v>
      </c>
      <c r="C25" s="136">
        <v>300</v>
      </c>
      <c r="D25" s="136">
        <v>500</v>
      </c>
      <c r="E25" s="136">
        <v>1200</v>
      </c>
      <c r="F25" s="136">
        <v>3400</v>
      </c>
      <c r="G25" s="136">
        <v>4000</v>
      </c>
    </row>
    <row r="26" spans="2:8" x14ac:dyDescent="0.3">
      <c r="B26" t="s">
        <v>2</v>
      </c>
      <c r="C26" s="96">
        <f>Revenues2004-COGS2004</f>
        <v>500</v>
      </c>
      <c r="D26" s="96">
        <f>D24-D25</f>
        <v>500</v>
      </c>
      <c r="E26" s="96">
        <f t="shared" ref="E26:G26" si="5">E24-E25</f>
        <v>300</v>
      </c>
      <c r="F26" s="96">
        <f t="shared" si="5"/>
        <v>-900</v>
      </c>
      <c r="G26" s="96">
        <f t="shared" si="5"/>
        <v>500</v>
      </c>
    </row>
    <row r="27" spans="2:8" x14ac:dyDescent="0.3">
      <c r="B27" t="s">
        <v>162</v>
      </c>
      <c r="C27" s="136">
        <v>35</v>
      </c>
      <c r="D27" s="136">
        <v>45</v>
      </c>
      <c r="E27" s="136">
        <v>55</v>
      </c>
      <c r="F27" s="136">
        <v>65</v>
      </c>
      <c r="G27" s="136">
        <v>78</v>
      </c>
    </row>
    <row r="28" spans="2:8" x14ac:dyDescent="0.3">
      <c r="B28" t="s">
        <v>163</v>
      </c>
      <c r="C28" s="136">
        <v>15</v>
      </c>
      <c r="D28" s="136">
        <v>15</v>
      </c>
      <c r="E28" s="136">
        <v>15</v>
      </c>
      <c r="F28" s="136">
        <v>15</v>
      </c>
      <c r="G28" s="136">
        <v>15</v>
      </c>
    </row>
    <row r="29" spans="2:8" x14ac:dyDescent="0.3">
      <c r="B29" t="s">
        <v>164</v>
      </c>
      <c r="C29" s="96">
        <f>C26-C27-C28</f>
        <v>450</v>
      </c>
      <c r="D29" s="96">
        <f>D26-D27-D28</f>
        <v>440</v>
      </c>
      <c r="E29" s="96">
        <f>E26-E27-E28</f>
        <v>230</v>
      </c>
      <c r="F29" s="96">
        <f>F26-F27-F28</f>
        <v>-980</v>
      </c>
      <c r="G29" s="96">
        <f>G26-G27-G28</f>
        <v>407</v>
      </c>
    </row>
    <row r="30" spans="2:8" x14ac:dyDescent="0.3">
      <c r="B30" t="s">
        <v>165</v>
      </c>
      <c r="C30" s="80">
        <f>IF($C$14,C29*$C33,"No tax")</f>
        <v>157.5</v>
      </c>
      <c r="D30" s="80">
        <f t="shared" ref="D30:G30" si="6">IF($C$14,D29*$C33,"No tax")</f>
        <v>154</v>
      </c>
      <c r="E30" s="80">
        <f t="shared" si="6"/>
        <v>80.5</v>
      </c>
      <c r="F30" s="80">
        <f t="shared" si="6"/>
        <v>-343</v>
      </c>
      <c r="G30" s="80">
        <f t="shared" si="6"/>
        <v>142.44999999999999</v>
      </c>
    </row>
    <row r="31" spans="2:8" x14ac:dyDescent="0.3">
      <c r="B31" t="s">
        <v>166</v>
      </c>
      <c r="C31" s="80">
        <f>IFERROR(C29-C30,"NM")</f>
        <v>292.5</v>
      </c>
      <c r="D31" s="80">
        <f t="shared" ref="D31:G31" si="7">IFERROR(D29-D30,"NM")</f>
        <v>286</v>
      </c>
      <c r="E31" s="80">
        <f t="shared" si="7"/>
        <v>149.5</v>
      </c>
      <c r="F31" s="80">
        <f t="shared" si="7"/>
        <v>-637</v>
      </c>
      <c r="G31" s="80">
        <f t="shared" si="7"/>
        <v>264.55</v>
      </c>
    </row>
    <row r="33" spans="2:4" x14ac:dyDescent="0.3">
      <c r="B33" t="s">
        <v>17</v>
      </c>
      <c r="C33" s="137">
        <v>0.35</v>
      </c>
    </row>
    <row r="35" spans="2:4" x14ac:dyDescent="0.3">
      <c r="B35" t="s">
        <v>167</v>
      </c>
      <c r="D35" s="136">
        <v>5000</v>
      </c>
    </row>
    <row r="36" spans="2:4" x14ac:dyDescent="0.3">
      <c r="B36" t="s">
        <v>168</v>
      </c>
      <c r="D36" s="96">
        <f>IF(D35,D35,C29*5)</f>
        <v>5000</v>
      </c>
    </row>
  </sheetData>
  <pageMargins left="0.7" right="0.7" top="0.75" bottom="0.75" header="0.3" footer="0.3"/>
  <pageSetup scale="7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B236-FA38-43FB-85AB-8BF603C3D9C2}">
  <sheetPr>
    <pageSetUpPr fitToPage="1"/>
  </sheetPr>
  <dimension ref="A1:H17"/>
  <sheetViews>
    <sheetView zoomScaleNormal="100" workbookViewId="0">
      <selection activeCell="I21" sqref="I21"/>
    </sheetView>
  </sheetViews>
  <sheetFormatPr defaultColWidth="9.109375" defaultRowHeight="14.4" outlineLevelRow="1" outlineLevelCol="1" x14ac:dyDescent="0.3"/>
  <cols>
    <col min="2" max="2" width="40.6640625" bestFit="1" customWidth="1"/>
    <col min="3" max="3" width="13.6640625" customWidth="1" outlineLevel="1"/>
    <col min="4" max="7" width="11" bestFit="1" customWidth="1"/>
    <col min="8" max="8" width="10" bestFit="1" customWidth="1"/>
  </cols>
  <sheetData>
    <row r="1" spans="1:8" x14ac:dyDescent="0.3">
      <c r="B1" t="s">
        <v>160</v>
      </c>
      <c r="C1" s="6" t="s">
        <v>161</v>
      </c>
    </row>
    <row r="2" spans="1:8" x14ac:dyDescent="0.3">
      <c r="B2" t="s">
        <v>17</v>
      </c>
      <c r="C2" s="106">
        <v>0.35</v>
      </c>
    </row>
    <row r="3" spans="1:8" x14ac:dyDescent="0.3">
      <c r="B3" t="str">
        <f>"Income Statement for "&amp;C1</f>
        <v>Income Statement for Lemonade Co.</v>
      </c>
      <c r="H3" s="134">
        <v>43723</v>
      </c>
    </row>
    <row r="4" spans="1:8" x14ac:dyDescent="0.3">
      <c r="A4" s="1"/>
      <c r="C4" s="134">
        <v>42004</v>
      </c>
      <c r="D4" s="134">
        <f>DATE(YEAR(C4)+1,MONTH(C4),DAY(C4))</f>
        <v>42369</v>
      </c>
      <c r="E4" s="134">
        <f>DATE(YEAR(D4)+1,MONTH(D4),DAY(D4))</f>
        <v>42735</v>
      </c>
      <c r="F4" s="134">
        <f t="shared" ref="F4:G4" si="0">DATE(YEAR(E4)+1,MONTH(E4),DAY(E4))</f>
        <v>43100</v>
      </c>
      <c r="G4" s="134">
        <f t="shared" si="0"/>
        <v>43465</v>
      </c>
      <c r="H4" s="135">
        <f>YEARFRAC(G4,H3)</f>
        <v>0.70833333333333337</v>
      </c>
    </row>
    <row r="5" spans="1:8" x14ac:dyDescent="0.3">
      <c r="B5" t="s">
        <v>0</v>
      </c>
      <c r="C5" s="136">
        <v>800</v>
      </c>
      <c r="D5" s="136">
        <v>1000</v>
      </c>
      <c r="E5" s="136">
        <v>1500</v>
      </c>
      <c r="F5" s="136">
        <v>2500</v>
      </c>
      <c r="G5" s="136">
        <v>4500</v>
      </c>
      <c r="H5">
        <f>G5*H4</f>
        <v>3187.5</v>
      </c>
    </row>
    <row r="6" spans="1:8" outlineLevel="1" x14ac:dyDescent="0.3">
      <c r="B6" t="s">
        <v>1</v>
      </c>
      <c r="C6" s="136">
        <v>300</v>
      </c>
      <c r="D6" s="136">
        <v>500</v>
      </c>
      <c r="E6" s="136">
        <v>1200</v>
      </c>
      <c r="F6" s="136">
        <v>3400</v>
      </c>
      <c r="G6" s="136">
        <v>4000</v>
      </c>
    </row>
    <row r="7" spans="1:8" outlineLevel="1" x14ac:dyDescent="0.3">
      <c r="B7" t="s">
        <v>2</v>
      </c>
      <c r="C7" s="96">
        <f>Revenues2004-COGS2004</f>
        <v>500</v>
      </c>
      <c r="D7" s="96">
        <f>D5-D6</f>
        <v>500</v>
      </c>
      <c r="E7" s="96">
        <f t="shared" ref="E7:G7" si="1">E5-E6</f>
        <v>300</v>
      </c>
      <c r="F7" s="96">
        <f t="shared" si="1"/>
        <v>-900</v>
      </c>
      <c r="G7" s="96">
        <f t="shared" si="1"/>
        <v>500</v>
      </c>
    </row>
    <row r="8" spans="1:8" outlineLevel="1" x14ac:dyDescent="0.3">
      <c r="B8" t="s">
        <v>162</v>
      </c>
      <c r="C8" s="136">
        <v>35</v>
      </c>
      <c r="D8" s="136">
        <v>45</v>
      </c>
      <c r="E8" s="136">
        <v>55</v>
      </c>
      <c r="F8" s="136">
        <v>65</v>
      </c>
      <c r="G8" s="136">
        <v>78</v>
      </c>
    </row>
    <row r="9" spans="1:8" outlineLevel="1" x14ac:dyDescent="0.3">
      <c r="B9" t="s">
        <v>163</v>
      </c>
      <c r="C9" s="136">
        <v>15</v>
      </c>
      <c r="D9" s="136">
        <v>15</v>
      </c>
      <c r="E9" s="136">
        <v>15</v>
      </c>
      <c r="F9" s="136">
        <v>15</v>
      </c>
      <c r="G9" s="136">
        <v>15</v>
      </c>
    </row>
    <row r="10" spans="1:8" outlineLevel="1" x14ac:dyDescent="0.3">
      <c r="B10" t="s">
        <v>164</v>
      </c>
      <c r="C10" s="96">
        <f>C7-C8-C9</f>
        <v>450</v>
      </c>
      <c r="D10" s="96">
        <f>D7-D8-D9</f>
        <v>440</v>
      </c>
      <c r="E10" s="96">
        <f>E7-E8-E9</f>
        <v>230</v>
      </c>
      <c r="F10" s="96">
        <f>F7-F8-F9</f>
        <v>-980</v>
      </c>
      <c r="G10" s="96">
        <f>G7-G8-G9</f>
        <v>407</v>
      </c>
    </row>
    <row r="11" spans="1:8" outlineLevel="1" x14ac:dyDescent="0.3">
      <c r="B11" t="s">
        <v>165</v>
      </c>
      <c r="C11" s="80">
        <f>IF($C$14,C10*$C14,"No tax")</f>
        <v>157.5</v>
      </c>
      <c r="D11" s="80">
        <f t="shared" ref="D11:G11" si="2">IF($C$14,D10*$C14,"No tax")</f>
        <v>154</v>
      </c>
      <c r="E11" s="80">
        <f t="shared" si="2"/>
        <v>80.5</v>
      </c>
      <c r="F11" s="80">
        <f t="shared" si="2"/>
        <v>-343</v>
      </c>
      <c r="G11" s="80">
        <f t="shared" si="2"/>
        <v>142.44999999999999</v>
      </c>
    </row>
    <row r="12" spans="1:8" x14ac:dyDescent="0.3">
      <c r="B12" t="s">
        <v>166</v>
      </c>
      <c r="C12" s="80">
        <f>IFERROR(C10-C11,"NM")</f>
        <v>292.5</v>
      </c>
      <c r="D12" s="80">
        <f t="shared" ref="D12:G12" si="3">IFERROR(D10-D11,"NM")</f>
        <v>286</v>
      </c>
      <c r="E12" s="80">
        <f t="shared" si="3"/>
        <v>149.5</v>
      </c>
      <c r="F12" s="80">
        <f t="shared" si="3"/>
        <v>-637</v>
      </c>
      <c r="G12" s="80">
        <f t="shared" si="3"/>
        <v>264.55</v>
      </c>
    </row>
    <row r="14" spans="1:8" x14ac:dyDescent="0.3">
      <c r="B14" t="s">
        <v>17</v>
      </c>
      <c r="C14" s="137">
        <v>0.35</v>
      </c>
    </row>
    <row r="16" spans="1:8" x14ac:dyDescent="0.3">
      <c r="B16" t="s">
        <v>167</v>
      </c>
      <c r="D16" s="136">
        <v>5000</v>
      </c>
    </row>
    <row r="17" spans="2:4" x14ac:dyDescent="0.3">
      <c r="B17" t="s">
        <v>168</v>
      </c>
      <c r="D17" s="96">
        <f>IF(D16,D16,C10*5)</f>
        <v>5000</v>
      </c>
    </row>
  </sheetData>
  <pageMargins left="0.7" right="0.7" top="0.75" bottom="0.75" header="0.3" footer="0.3"/>
  <pageSetup scale="7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7B9C-A5C0-4735-9AAC-DB3F354C424A}">
  <sheetPr>
    <pageSetUpPr fitToPage="1"/>
  </sheetPr>
  <dimension ref="A1:H17"/>
  <sheetViews>
    <sheetView zoomScaleNormal="100" workbookViewId="0">
      <selection activeCell="D4" sqref="D4"/>
    </sheetView>
  </sheetViews>
  <sheetFormatPr defaultColWidth="9.109375" defaultRowHeight="14.4" outlineLevelRow="1" outlineLevelCol="1" x14ac:dyDescent="0.3"/>
  <cols>
    <col min="2" max="2" width="40.6640625" bestFit="1" customWidth="1"/>
    <col min="3" max="3" width="13.6640625" customWidth="1" outlineLevel="1"/>
    <col min="4" max="7" width="11" bestFit="1" customWidth="1"/>
    <col min="8" max="8" width="10" bestFit="1" customWidth="1"/>
  </cols>
  <sheetData>
    <row r="1" spans="1:8" x14ac:dyDescent="0.3">
      <c r="B1" t="s">
        <v>160</v>
      </c>
      <c r="C1" s="6" t="s">
        <v>161</v>
      </c>
    </row>
    <row r="2" spans="1:8" x14ac:dyDescent="0.3">
      <c r="B2" t="s">
        <v>17</v>
      </c>
      <c r="C2" s="106">
        <v>0.35</v>
      </c>
    </row>
    <row r="3" spans="1:8" x14ac:dyDescent="0.3">
      <c r="B3" t="str">
        <f>"Income Statement for "&amp;C1</f>
        <v>Income Statement for Lemonade Co.</v>
      </c>
      <c r="H3" s="134">
        <v>43723</v>
      </c>
    </row>
    <row r="4" spans="1:8" x14ac:dyDescent="0.3">
      <c r="A4" s="1"/>
      <c r="C4" s="134">
        <v>42004</v>
      </c>
      <c r="D4" s="134">
        <f>DATE(YEAR(C4)+1,MONTH(C4),DAY(C4))</f>
        <v>42369</v>
      </c>
      <c r="E4" s="134">
        <f>DATE(YEAR(D4)+1,MONTH(D4),DAY(D4))</f>
        <v>42735</v>
      </c>
      <c r="F4" s="134">
        <f t="shared" ref="F4:G4" si="0">DATE(YEAR(E4)+1,MONTH(E4),DAY(E4))</f>
        <v>43100</v>
      </c>
      <c r="G4" s="134">
        <f t="shared" si="0"/>
        <v>43465</v>
      </c>
      <c r="H4" s="135">
        <f>YEARFRAC(G4,H3)</f>
        <v>0.70833333333333337</v>
      </c>
    </row>
    <row r="5" spans="1:8" x14ac:dyDescent="0.3">
      <c r="B5" t="s">
        <v>0</v>
      </c>
      <c r="C5" s="136">
        <v>800</v>
      </c>
      <c r="D5" s="136">
        <v>1000</v>
      </c>
      <c r="E5" s="136">
        <v>1500</v>
      </c>
      <c r="F5" s="136">
        <v>2500</v>
      </c>
      <c r="G5" s="136">
        <v>4500</v>
      </c>
      <c r="H5">
        <f>G5*H4</f>
        <v>3187.5</v>
      </c>
    </row>
    <row r="6" spans="1:8" outlineLevel="1" x14ac:dyDescent="0.3">
      <c r="B6" t="s">
        <v>1</v>
      </c>
      <c r="C6" s="136">
        <v>300</v>
      </c>
      <c r="D6" s="136">
        <v>500</v>
      </c>
      <c r="E6" s="136">
        <v>1200</v>
      </c>
      <c r="F6" s="136">
        <v>3400</v>
      </c>
      <c r="G6" s="136">
        <v>4000</v>
      </c>
    </row>
    <row r="7" spans="1:8" outlineLevel="1" x14ac:dyDescent="0.3">
      <c r="B7" t="s">
        <v>2</v>
      </c>
      <c r="C7" s="96">
        <f>Revenues2004-COGS2004</f>
        <v>500</v>
      </c>
      <c r="D7" s="96">
        <f>D5-D6</f>
        <v>500</v>
      </c>
      <c r="E7" s="96">
        <f t="shared" ref="E7:G7" si="1">E5-E6</f>
        <v>300</v>
      </c>
      <c r="F7" s="96">
        <f t="shared" si="1"/>
        <v>-900</v>
      </c>
      <c r="G7" s="96">
        <f t="shared" si="1"/>
        <v>500</v>
      </c>
    </row>
    <row r="8" spans="1:8" outlineLevel="1" x14ac:dyDescent="0.3">
      <c r="B8" t="s">
        <v>162</v>
      </c>
      <c r="C8" s="136">
        <v>35</v>
      </c>
      <c r="D8" s="136">
        <v>45</v>
      </c>
      <c r="E8" s="136">
        <v>55</v>
      </c>
      <c r="F8" s="136">
        <v>65</v>
      </c>
      <c r="G8" s="136">
        <v>78</v>
      </c>
    </row>
    <row r="9" spans="1:8" outlineLevel="1" x14ac:dyDescent="0.3">
      <c r="B9" t="s">
        <v>163</v>
      </c>
      <c r="C9" s="136">
        <v>15</v>
      </c>
      <c r="D9" s="136">
        <v>15</v>
      </c>
      <c r="E9" s="136">
        <v>15</v>
      </c>
      <c r="F9" s="136">
        <v>15</v>
      </c>
      <c r="G9" s="136">
        <v>15</v>
      </c>
    </row>
    <row r="10" spans="1:8" outlineLevel="1" x14ac:dyDescent="0.3">
      <c r="B10" t="s">
        <v>164</v>
      </c>
      <c r="C10" s="96">
        <f>C7-C8-C9</f>
        <v>450</v>
      </c>
      <c r="D10" s="96">
        <f>D7-D8-D9</f>
        <v>440</v>
      </c>
      <c r="E10" s="96">
        <f>E7-E8-E9</f>
        <v>230</v>
      </c>
      <c r="F10" s="96">
        <f>F7-F8-F9</f>
        <v>-980</v>
      </c>
      <c r="G10" s="96">
        <f>G7-G8-G9</f>
        <v>407</v>
      </c>
    </row>
    <row r="11" spans="1:8" outlineLevel="1" x14ac:dyDescent="0.3">
      <c r="B11" t="s">
        <v>165</v>
      </c>
      <c r="C11" s="80">
        <f>IF($C$14,C10*$C14,"No tax")</f>
        <v>157.5</v>
      </c>
      <c r="D11" s="80">
        <f t="shared" ref="D11:G11" si="2">IF($C$14,D10*$C14,"No tax")</f>
        <v>154</v>
      </c>
      <c r="E11" s="80">
        <f t="shared" si="2"/>
        <v>80.5</v>
      </c>
      <c r="F11" s="80">
        <f t="shared" si="2"/>
        <v>-343</v>
      </c>
      <c r="G11" s="80">
        <f t="shared" si="2"/>
        <v>142.44999999999999</v>
      </c>
    </row>
    <row r="12" spans="1:8" x14ac:dyDescent="0.3">
      <c r="B12" t="s">
        <v>166</v>
      </c>
      <c r="C12" s="80">
        <f>IFERROR(C10-C11,"NM")</f>
        <v>292.5</v>
      </c>
      <c r="D12" s="80">
        <f t="shared" ref="D12:G12" si="3">IFERROR(D10-D11,"NM")</f>
        <v>286</v>
      </c>
      <c r="E12" s="80">
        <f t="shared" si="3"/>
        <v>149.5</v>
      </c>
      <c r="F12" s="80">
        <f t="shared" si="3"/>
        <v>-637</v>
      </c>
      <c r="G12" s="80">
        <f t="shared" si="3"/>
        <v>264.55</v>
      </c>
    </row>
    <row r="14" spans="1:8" x14ac:dyDescent="0.3">
      <c r="B14" t="s">
        <v>17</v>
      </c>
      <c r="C14" s="137">
        <v>0.35</v>
      </c>
    </row>
    <row r="16" spans="1:8" x14ac:dyDescent="0.3">
      <c r="B16" t="s">
        <v>167</v>
      </c>
      <c r="D16" s="136">
        <v>5000</v>
      </c>
    </row>
    <row r="17" spans="2:4" x14ac:dyDescent="0.3">
      <c r="B17" t="s">
        <v>168</v>
      </c>
      <c r="D17" s="96">
        <f>IF(D16,D16,C10*5)</f>
        <v>5000</v>
      </c>
    </row>
  </sheetData>
  <pageMargins left="0.7" right="0.7" top="0.75" bottom="0.75" header="0.3" footer="0.3"/>
  <pageSetup scale="76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F433-445C-4B92-8909-D3D503C80A3A}">
  <sheetPr>
    <pageSetUpPr fitToPage="1"/>
  </sheetPr>
  <dimension ref="A1:K133"/>
  <sheetViews>
    <sheetView topLeftCell="A19" zoomScaleNormal="100" workbookViewId="0"/>
  </sheetViews>
  <sheetFormatPr defaultColWidth="8.77734375" defaultRowHeight="14.4" x14ac:dyDescent="0.3"/>
  <cols>
    <col min="1" max="1" width="11.6640625" bestFit="1" customWidth="1"/>
    <col min="2" max="2" width="35.44140625" customWidth="1"/>
    <col min="3" max="3" width="11.33203125" customWidth="1"/>
    <col min="4" max="6" width="10.109375" customWidth="1"/>
    <col min="7" max="7" width="9.6640625" customWidth="1"/>
    <col min="8" max="8" width="8.33203125" bestFit="1" customWidth="1"/>
  </cols>
  <sheetData>
    <row r="1" spans="1:4" x14ac:dyDescent="0.3">
      <c r="A1" s="68" t="s">
        <v>61</v>
      </c>
    </row>
    <row r="3" spans="1:4" x14ac:dyDescent="0.3">
      <c r="B3" t="s">
        <v>62</v>
      </c>
      <c r="C3" s="79">
        <v>-4</v>
      </c>
      <c r="D3" s="79"/>
    </row>
    <row r="4" spans="1:4" x14ac:dyDescent="0.3">
      <c r="B4" t="s">
        <v>63</v>
      </c>
      <c r="C4" s="80">
        <f>ABS(C3)</f>
        <v>4</v>
      </c>
      <c r="D4" s="81" t="s">
        <v>64</v>
      </c>
    </row>
    <row r="6" spans="1:4" x14ac:dyDescent="0.3">
      <c r="A6" s="68" t="s">
        <v>65</v>
      </c>
    </row>
    <row r="8" spans="1:4" x14ac:dyDescent="0.3">
      <c r="B8" t="s">
        <v>66</v>
      </c>
      <c r="C8" s="82">
        <v>4.2300000000000004</v>
      </c>
    </row>
    <row r="9" spans="1:4" x14ac:dyDescent="0.3">
      <c r="B9" t="s">
        <v>67</v>
      </c>
      <c r="C9" s="83">
        <f>CEILING(C8,0.1)</f>
        <v>4.3</v>
      </c>
      <c r="D9" s="84" t="s">
        <v>68</v>
      </c>
    </row>
    <row r="11" spans="1:4" x14ac:dyDescent="0.3">
      <c r="A11" s="68" t="s">
        <v>69</v>
      </c>
    </row>
    <row r="13" spans="1:4" x14ac:dyDescent="0.3">
      <c r="B13" t="s">
        <v>66</v>
      </c>
      <c r="C13" s="82">
        <v>4.2300000000000004</v>
      </c>
    </row>
    <row r="14" spans="1:4" x14ac:dyDescent="0.3">
      <c r="B14" t="s">
        <v>70</v>
      </c>
      <c r="C14" s="83">
        <f>FLOOR(C13,0.05)</f>
        <v>4.2</v>
      </c>
      <c r="D14" s="84" t="s">
        <v>71</v>
      </c>
    </row>
    <row r="16" spans="1:4" x14ac:dyDescent="0.3">
      <c r="A16" s="68" t="s">
        <v>72</v>
      </c>
    </row>
    <row r="18" spans="1:4" x14ac:dyDescent="0.3">
      <c r="B18" t="s">
        <v>73</v>
      </c>
      <c r="C18" s="85">
        <v>15</v>
      </c>
    </row>
    <row r="19" spans="1:4" x14ac:dyDescent="0.3">
      <c r="B19" t="s">
        <v>74</v>
      </c>
      <c r="C19" s="86">
        <f>COMBIN(C18+1,2)</f>
        <v>120</v>
      </c>
      <c r="D19" s="87" t="s">
        <v>75</v>
      </c>
    </row>
    <row r="21" spans="1:4" x14ac:dyDescent="0.3">
      <c r="A21" s="68" t="s">
        <v>76</v>
      </c>
    </row>
    <row r="23" spans="1:4" x14ac:dyDescent="0.3">
      <c r="B23" t="s">
        <v>77</v>
      </c>
      <c r="C23" s="88">
        <v>1807</v>
      </c>
    </row>
    <row r="24" spans="1:4" x14ac:dyDescent="0.3">
      <c r="B24" t="s">
        <v>59</v>
      </c>
      <c r="C24" s="79">
        <v>123</v>
      </c>
    </row>
    <row r="25" spans="1:4" x14ac:dyDescent="0.3">
      <c r="B25" t="s">
        <v>78</v>
      </c>
      <c r="C25" s="83">
        <f>ROUND(C23/C24,2)</f>
        <v>14.69</v>
      </c>
      <c r="D25" s="84" t="s">
        <v>79</v>
      </c>
    </row>
    <row r="27" spans="1:4" x14ac:dyDescent="0.3">
      <c r="A27" s="68" t="s">
        <v>80</v>
      </c>
    </row>
    <row r="29" spans="1:4" x14ac:dyDescent="0.3">
      <c r="B29" t="s">
        <v>77</v>
      </c>
      <c r="C29" s="88">
        <v>1807</v>
      </c>
      <c r="D29" s="89"/>
    </row>
    <row r="30" spans="1:4" x14ac:dyDescent="0.3">
      <c r="B30" t="s">
        <v>59</v>
      </c>
      <c r="C30" s="79">
        <v>123</v>
      </c>
    </row>
    <row r="31" spans="1:4" x14ac:dyDescent="0.3">
      <c r="B31" t="s">
        <v>78</v>
      </c>
      <c r="C31" s="83">
        <f>ROUNDUP(C29/C30,2)</f>
        <v>14.7</v>
      </c>
      <c r="D31" s="84" t="s">
        <v>81</v>
      </c>
    </row>
    <row r="33" spans="1:7" x14ac:dyDescent="0.3">
      <c r="A33" s="68" t="s">
        <v>82</v>
      </c>
    </row>
    <row r="35" spans="1:7" x14ac:dyDescent="0.3">
      <c r="B35" t="s">
        <v>77</v>
      </c>
      <c r="C35" s="88">
        <v>1807</v>
      </c>
      <c r="D35" s="89"/>
    </row>
    <row r="36" spans="1:7" x14ac:dyDescent="0.3">
      <c r="B36" t="s">
        <v>59</v>
      </c>
      <c r="C36" s="79">
        <v>123</v>
      </c>
    </row>
    <row r="37" spans="1:7" x14ac:dyDescent="0.3">
      <c r="B37" t="s">
        <v>78</v>
      </c>
      <c r="C37" s="83">
        <f>ROUNDDOWN(C35/C36,2)</f>
        <v>14.69</v>
      </c>
      <c r="D37" s="84" t="s">
        <v>83</v>
      </c>
    </row>
    <row r="39" spans="1:7" x14ac:dyDescent="0.3">
      <c r="A39" s="68" t="s">
        <v>84</v>
      </c>
    </row>
    <row r="40" spans="1:7" x14ac:dyDescent="0.3">
      <c r="B40" s="68"/>
      <c r="C40" s="90">
        <v>2014</v>
      </c>
      <c r="D40" s="90">
        <f>C40+1</f>
        <v>2015</v>
      </c>
      <c r="E40" s="90">
        <f t="shared" ref="E40:F40" si="0">D40+1</f>
        <v>2016</v>
      </c>
      <c r="F40" s="90">
        <f t="shared" si="0"/>
        <v>2017</v>
      </c>
      <c r="G40" s="90"/>
    </row>
    <row r="41" spans="1:7" x14ac:dyDescent="0.3">
      <c r="B41" s="91" t="s">
        <v>85</v>
      </c>
      <c r="C41" s="92">
        <v>-200</v>
      </c>
      <c r="D41" s="92">
        <v>900</v>
      </c>
      <c r="E41" s="92">
        <v>750</v>
      </c>
      <c r="F41" s="92">
        <v>1040</v>
      </c>
      <c r="G41" s="93"/>
    </row>
    <row r="42" spans="1:7" x14ac:dyDescent="0.3">
      <c r="B42" t="s">
        <v>86</v>
      </c>
      <c r="C42" s="88">
        <v>800</v>
      </c>
      <c r="D42" s="93">
        <f>C43</f>
        <v>0</v>
      </c>
      <c r="E42" s="93">
        <f t="shared" ref="E42:F42" si="1">D43</f>
        <v>0</v>
      </c>
      <c r="F42" s="93">
        <f t="shared" si="1"/>
        <v>0</v>
      </c>
    </row>
    <row r="43" spans="1:7" x14ac:dyDescent="0.3">
      <c r="B43" t="s">
        <v>87</v>
      </c>
      <c r="C43" s="94"/>
      <c r="D43" s="94"/>
      <c r="E43" s="94"/>
      <c r="F43" s="94"/>
    </row>
    <row r="45" spans="1:7" x14ac:dyDescent="0.3">
      <c r="A45" s="68" t="s">
        <v>88</v>
      </c>
    </row>
    <row r="46" spans="1:7" x14ac:dyDescent="0.3">
      <c r="A46" s="68"/>
      <c r="B46" t="s">
        <v>89</v>
      </c>
    </row>
    <row r="47" spans="1:7" x14ac:dyDescent="0.3">
      <c r="A47" s="68"/>
    </row>
    <row r="48" spans="1:7" x14ac:dyDescent="0.3">
      <c r="C48" s="68">
        <v>2014</v>
      </c>
      <c r="D48" s="68">
        <f>C48+1</f>
        <v>2015</v>
      </c>
      <c r="E48" s="68">
        <f t="shared" ref="E48" si="2">D48+1</f>
        <v>2016</v>
      </c>
      <c r="F48" s="68" t="s">
        <v>90</v>
      </c>
    </row>
    <row r="49" spans="1:6" x14ac:dyDescent="0.3">
      <c r="B49" t="s">
        <v>91</v>
      </c>
      <c r="C49" s="95">
        <v>350</v>
      </c>
      <c r="D49" s="95">
        <f>C49*1.05</f>
        <v>367.5</v>
      </c>
      <c r="E49" s="95">
        <f>D49*1.05</f>
        <v>385.875</v>
      </c>
      <c r="F49" s="96">
        <f>AVERAGE(C49:E49)</f>
        <v>367.79166666666669</v>
      </c>
    </row>
    <row r="50" spans="1:6" x14ac:dyDescent="0.3">
      <c r="B50" t="s">
        <v>92</v>
      </c>
      <c r="C50" s="97"/>
    </row>
    <row r="51" spans="1:6" x14ac:dyDescent="0.3">
      <c r="B51" s="68"/>
      <c r="C51" s="93"/>
    </row>
    <row r="52" spans="1:6" x14ac:dyDescent="0.3">
      <c r="A52" s="68" t="s">
        <v>93</v>
      </c>
    </row>
    <row r="53" spans="1:6" x14ac:dyDescent="0.3">
      <c r="B53" s="90" t="s">
        <v>94</v>
      </c>
      <c r="C53" s="90" t="s">
        <v>95</v>
      </c>
    </row>
    <row r="54" spans="1:6" x14ac:dyDescent="0.3">
      <c r="B54" t="s">
        <v>96</v>
      </c>
      <c r="C54" s="88">
        <v>348</v>
      </c>
    </row>
    <row r="55" spans="1:6" x14ac:dyDescent="0.3">
      <c r="B55" t="s">
        <v>97</v>
      </c>
      <c r="C55" s="79">
        <v>263</v>
      </c>
    </row>
    <row r="56" spans="1:6" x14ac:dyDescent="0.3">
      <c r="B56" t="s">
        <v>98</v>
      </c>
      <c r="C56" s="75" t="s">
        <v>99</v>
      </c>
    </row>
    <row r="57" spans="1:6" x14ac:dyDescent="0.3">
      <c r="B57" t="s">
        <v>100</v>
      </c>
      <c r="C57" s="79">
        <v>309</v>
      </c>
    </row>
    <row r="58" spans="1:6" x14ac:dyDescent="0.3">
      <c r="B58" t="s">
        <v>101</v>
      </c>
      <c r="C58" s="79">
        <v>123</v>
      </c>
    </row>
    <row r="59" spans="1:6" x14ac:dyDescent="0.3">
      <c r="B59" t="s">
        <v>102</v>
      </c>
      <c r="C59" s="75" t="s">
        <v>99</v>
      </c>
    </row>
    <row r="60" spans="1:6" x14ac:dyDescent="0.3">
      <c r="B60" t="s">
        <v>103</v>
      </c>
      <c r="C60" s="79">
        <v>131</v>
      </c>
    </row>
    <row r="61" spans="1:6" x14ac:dyDescent="0.3">
      <c r="B61" t="s">
        <v>104</v>
      </c>
      <c r="C61" s="79">
        <v>238</v>
      </c>
    </row>
    <row r="62" spans="1:6" x14ac:dyDescent="0.3">
      <c r="B62" t="s">
        <v>105</v>
      </c>
      <c r="C62" s="79">
        <v>385</v>
      </c>
    </row>
    <row r="64" spans="1:6" x14ac:dyDescent="0.3">
      <c r="B64" t="s">
        <v>106</v>
      </c>
      <c r="C64" s="98"/>
      <c r="D64" s="84" t="s">
        <v>107</v>
      </c>
      <c r="E64" s="84"/>
      <c r="F64" s="84"/>
    </row>
    <row r="65" spans="1:6" x14ac:dyDescent="0.3">
      <c r="B65" t="s">
        <v>108</v>
      </c>
      <c r="C65" s="99"/>
      <c r="D65" s="84" t="s">
        <v>109</v>
      </c>
      <c r="E65" s="84"/>
      <c r="F65" s="84"/>
    </row>
    <row r="66" spans="1:6" x14ac:dyDescent="0.3">
      <c r="B66" t="s">
        <v>110</v>
      </c>
      <c r="C66" s="100"/>
      <c r="D66" s="84" t="s">
        <v>111</v>
      </c>
      <c r="E66" s="84"/>
      <c r="F66" s="84"/>
    </row>
    <row r="68" spans="1:6" x14ac:dyDescent="0.3">
      <c r="A68" s="68" t="s">
        <v>112</v>
      </c>
    </row>
    <row r="70" spans="1:6" x14ac:dyDescent="0.3">
      <c r="B70" t="s">
        <v>113</v>
      </c>
      <c r="C70" s="88">
        <v>1500</v>
      </c>
    </row>
    <row r="71" spans="1:6" x14ac:dyDescent="0.3">
      <c r="B71" t="s">
        <v>114</v>
      </c>
      <c r="C71" s="101">
        <v>0.08</v>
      </c>
    </row>
    <row r="72" spans="1:6" x14ac:dyDescent="0.3">
      <c r="B72" t="s">
        <v>115</v>
      </c>
      <c r="C72" s="102">
        <f>1/(1+C71)^2</f>
        <v>0.85733882030178321</v>
      </c>
    </row>
    <row r="73" spans="1:6" x14ac:dyDescent="0.3">
      <c r="B73" t="s">
        <v>116</v>
      </c>
      <c r="C73" s="102">
        <f>(1+C71)^0.5</f>
        <v>1.0392304845413265</v>
      </c>
    </row>
    <row r="74" spans="1:6" x14ac:dyDescent="0.3">
      <c r="B74" t="s">
        <v>117</v>
      </c>
      <c r="C74" s="94"/>
      <c r="D74" s="103"/>
    </row>
    <row r="76" spans="1:6" x14ac:dyDescent="0.3">
      <c r="A76" s="68" t="s">
        <v>118</v>
      </c>
    </row>
    <row r="77" spans="1:6" x14ac:dyDescent="0.3">
      <c r="C77" s="68" t="s">
        <v>119</v>
      </c>
      <c r="E77" s="68" t="s">
        <v>120</v>
      </c>
    </row>
    <row r="78" spans="1:6" x14ac:dyDescent="0.3">
      <c r="B78" t="s">
        <v>121</v>
      </c>
      <c r="C78" s="101">
        <v>0.12</v>
      </c>
      <c r="E78" s="101">
        <v>0.12</v>
      </c>
    </row>
    <row r="79" spans="1:6" x14ac:dyDescent="0.3">
      <c r="B79" t="s">
        <v>122</v>
      </c>
      <c r="C79" s="88">
        <v>-500</v>
      </c>
      <c r="E79" s="88">
        <v>-500</v>
      </c>
    </row>
    <row r="80" spans="1:6" x14ac:dyDescent="0.3">
      <c r="B80" t="s">
        <v>123</v>
      </c>
      <c r="C80" s="104">
        <v>5</v>
      </c>
      <c r="E80" s="104">
        <v>5</v>
      </c>
    </row>
    <row r="81" spans="1:11" x14ac:dyDescent="0.3">
      <c r="B81" t="s">
        <v>124</v>
      </c>
      <c r="C81" s="105">
        <v>1</v>
      </c>
      <c r="E81" s="105">
        <v>1</v>
      </c>
    </row>
    <row r="82" spans="1:11" x14ac:dyDescent="0.3">
      <c r="B82" t="s">
        <v>125</v>
      </c>
      <c r="C82" s="106">
        <f>C78/12</f>
        <v>0.01</v>
      </c>
      <c r="E82" s="106">
        <f>E78/12</f>
        <v>0.01</v>
      </c>
    </row>
    <row r="83" spans="1:11" x14ac:dyDescent="0.3">
      <c r="B83" t="s">
        <v>126</v>
      </c>
      <c r="C83">
        <f>C80*12</f>
        <v>60</v>
      </c>
      <c r="E83">
        <f>E80*12</f>
        <v>60</v>
      </c>
      <c r="G83" s="107"/>
    </row>
    <row r="84" spans="1:11" x14ac:dyDescent="0.3">
      <c r="B84" s="68"/>
      <c r="C84" s="108"/>
      <c r="E84" s="108"/>
    </row>
    <row r="86" spans="1:11" x14ac:dyDescent="0.3">
      <c r="A86" s="68" t="s">
        <v>127</v>
      </c>
    </row>
    <row r="87" spans="1:11" x14ac:dyDescent="0.3">
      <c r="C87" s="68" t="s">
        <v>127</v>
      </c>
    </row>
    <row r="88" spans="1:11" x14ac:dyDescent="0.3">
      <c r="B88" t="s">
        <v>128</v>
      </c>
      <c r="C88" s="101">
        <v>0.12</v>
      </c>
    </row>
    <row r="89" spans="1:11" x14ac:dyDescent="0.3">
      <c r="B89" t="s">
        <v>129</v>
      </c>
      <c r="C89" s="88">
        <v>-1000</v>
      </c>
    </row>
    <row r="90" spans="1:11" x14ac:dyDescent="0.3">
      <c r="B90" t="s">
        <v>130</v>
      </c>
      <c r="C90" s="88">
        <v>250</v>
      </c>
    </row>
    <row r="91" spans="1:11" x14ac:dyDescent="0.3">
      <c r="B91" t="s">
        <v>131</v>
      </c>
      <c r="C91" s="88">
        <v>400</v>
      </c>
    </row>
    <row r="92" spans="1:11" x14ac:dyDescent="0.3">
      <c r="B92" t="s">
        <v>132</v>
      </c>
      <c r="C92" s="88">
        <v>500</v>
      </c>
    </row>
    <row r="93" spans="1:11" x14ac:dyDescent="0.3">
      <c r="B93" t="s">
        <v>133</v>
      </c>
      <c r="C93" s="88">
        <v>480</v>
      </c>
    </row>
    <row r="94" spans="1:11" x14ac:dyDescent="0.3">
      <c r="B94" t="s">
        <v>134</v>
      </c>
      <c r="C94" s="88">
        <v>700</v>
      </c>
    </row>
    <row r="95" spans="1:11" x14ac:dyDescent="0.3">
      <c r="B95" s="68"/>
      <c r="C95" s="109"/>
    </row>
    <row r="96" spans="1:11" ht="18" thickBot="1" x14ac:dyDescent="0.4">
      <c r="C96" s="110"/>
      <c r="F96" s="111" t="s">
        <v>135</v>
      </c>
      <c r="G96" s="111"/>
      <c r="H96" s="111"/>
      <c r="I96" s="111"/>
      <c r="J96" s="111"/>
      <c r="K96" s="111"/>
    </row>
    <row r="97" spans="1:11" x14ac:dyDescent="0.3">
      <c r="A97" s="68" t="s">
        <v>136</v>
      </c>
      <c r="K97" t="s">
        <v>137</v>
      </c>
    </row>
    <row r="98" spans="1:11" x14ac:dyDescent="0.3">
      <c r="C98" s="68" t="s">
        <v>136</v>
      </c>
      <c r="G98" t="s">
        <v>138</v>
      </c>
      <c r="I98" t="s">
        <v>136</v>
      </c>
      <c r="K98" t="s">
        <v>138</v>
      </c>
    </row>
    <row r="99" spans="1:11" x14ac:dyDescent="0.3">
      <c r="B99" t="s">
        <v>128</v>
      </c>
      <c r="C99" s="101">
        <v>0.12</v>
      </c>
      <c r="D99" s="112"/>
      <c r="F99" s="113" t="s">
        <v>139</v>
      </c>
      <c r="G99" s="114">
        <v>0.1</v>
      </c>
      <c r="H99" s="113" t="s">
        <v>139</v>
      </c>
      <c r="I99" s="114">
        <v>0.1</v>
      </c>
      <c r="J99" s="113" t="s">
        <v>139</v>
      </c>
      <c r="K99" s="114">
        <v>0.1</v>
      </c>
    </row>
    <row r="100" spans="1:11" x14ac:dyDescent="0.3">
      <c r="B100" s="115">
        <v>41741</v>
      </c>
      <c r="C100" s="88">
        <v>-1000</v>
      </c>
      <c r="D100" s="83"/>
      <c r="F100" s="116">
        <v>42004</v>
      </c>
      <c r="G100" s="95">
        <v>1000</v>
      </c>
      <c r="I100" s="95">
        <v>1000</v>
      </c>
      <c r="K100" s="95">
        <v>1000</v>
      </c>
    </row>
    <row r="101" spans="1:11" x14ac:dyDescent="0.3">
      <c r="B101" s="115">
        <v>42035</v>
      </c>
      <c r="C101" s="88">
        <v>250</v>
      </c>
      <c r="F101" s="116">
        <f>EOMONTH(F100,12)</f>
        <v>42369</v>
      </c>
      <c r="G101" s="95">
        <v>1000</v>
      </c>
      <c r="I101" s="95">
        <v>1000</v>
      </c>
      <c r="K101" s="95">
        <v>1000</v>
      </c>
    </row>
    <row r="102" spans="1:11" x14ac:dyDescent="0.3">
      <c r="B102" s="115">
        <v>42277</v>
      </c>
      <c r="C102" s="88">
        <v>400</v>
      </c>
      <c r="F102" s="116">
        <f>EOMONTH(F101,12)</f>
        <v>42735</v>
      </c>
      <c r="G102" s="95">
        <v>1000</v>
      </c>
      <c r="I102" s="95">
        <v>1000</v>
      </c>
      <c r="K102" s="95">
        <v>1000</v>
      </c>
    </row>
    <row r="103" spans="1:11" x14ac:dyDescent="0.3">
      <c r="B103" s="115">
        <v>42551</v>
      </c>
      <c r="C103" s="88">
        <v>500</v>
      </c>
      <c r="F103" s="116">
        <f>EOMONTH(F102,12)</f>
        <v>43100</v>
      </c>
      <c r="G103" s="95">
        <v>1000</v>
      </c>
      <c r="I103" s="95">
        <v>1000</v>
      </c>
      <c r="K103" s="95">
        <v>1000</v>
      </c>
    </row>
    <row r="104" spans="1:11" x14ac:dyDescent="0.3">
      <c r="B104" s="115">
        <v>43220</v>
      </c>
      <c r="C104" s="88">
        <v>480</v>
      </c>
      <c r="G104" s="117">
        <f>NPV(G99,G100:G103)</f>
        <v>3169.8654463492926</v>
      </c>
      <c r="I104" s="117">
        <f>XNPV(I99,I100:I103,F100:F103)</f>
        <v>3486.4400538317641</v>
      </c>
      <c r="K104" s="96">
        <f>K100+NPV(K99,K101:K103)</f>
        <v>3486.8519909842221</v>
      </c>
    </row>
    <row r="105" spans="1:11" x14ac:dyDescent="0.3">
      <c r="B105" s="115">
        <v>43251</v>
      </c>
      <c r="C105" s="88">
        <v>700</v>
      </c>
      <c r="G105" s="118" t="s">
        <v>140</v>
      </c>
      <c r="I105" s="119" t="s">
        <v>141</v>
      </c>
    </row>
    <row r="106" spans="1:11" x14ac:dyDescent="0.3">
      <c r="C106" s="120"/>
    </row>
    <row r="108" spans="1:11" ht="18" thickBot="1" x14ac:dyDescent="0.4">
      <c r="A108" s="68" t="s">
        <v>142</v>
      </c>
      <c r="F108" s="111" t="s">
        <v>143</v>
      </c>
      <c r="G108" s="111"/>
      <c r="H108" s="111"/>
      <c r="I108" s="111"/>
      <c r="J108" s="111"/>
      <c r="K108" s="111"/>
    </row>
    <row r="109" spans="1:11" x14ac:dyDescent="0.3">
      <c r="B109" t="s">
        <v>144</v>
      </c>
      <c r="C109" s="88">
        <v>-1000</v>
      </c>
    </row>
    <row r="110" spans="1:11" x14ac:dyDescent="0.3">
      <c r="B110" t="str">
        <f>"Cash inflow after period " &amp; 1</f>
        <v>Cash inflow after period 1</v>
      </c>
      <c r="C110" s="88">
        <v>100</v>
      </c>
      <c r="G110" t="s">
        <v>142</v>
      </c>
      <c r="I110" t="s">
        <v>145</v>
      </c>
    </row>
    <row r="111" spans="1:11" x14ac:dyDescent="0.3">
      <c r="B111" t="str">
        <f>"Cash inflow after period " &amp; 2</f>
        <v>Cash inflow after period 2</v>
      </c>
      <c r="C111" s="88">
        <v>200</v>
      </c>
      <c r="F111" s="115">
        <v>41741</v>
      </c>
      <c r="G111" s="95">
        <v>-1000</v>
      </c>
      <c r="I111" s="95">
        <v>-1000</v>
      </c>
    </row>
    <row r="112" spans="1:11" x14ac:dyDescent="0.3">
      <c r="B112" t="str">
        <f>"Cash inflow after period " &amp; 3</f>
        <v>Cash inflow after period 3</v>
      </c>
      <c r="C112" s="88">
        <v>300</v>
      </c>
      <c r="F112" s="115">
        <v>42035</v>
      </c>
      <c r="G112" s="95">
        <v>400</v>
      </c>
      <c r="I112" s="95">
        <v>400</v>
      </c>
    </row>
    <row r="113" spans="1:9" x14ac:dyDescent="0.3">
      <c r="B113" t="str">
        <f>"Cash inflow after period " &amp; 4</f>
        <v>Cash inflow after period 4</v>
      </c>
      <c r="C113" s="88">
        <v>400</v>
      </c>
      <c r="F113" s="115">
        <v>42277</v>
      </c>
      <c r="G113" s="95">
        <v>300</v>
      </c>
      <c r="I113" s="95">
        <v>300</v>
      </c>
    </row>
    <row r="114" spans="1:9" x14ac:dyDescent="0.3">
      <c r="B114" t="str">
        <f>"Cash inflow after period " &amp; 5</f>
        <v>Cash inflow after period 5</v>
      </c>
      <c r="C114" s="88">
        <v>500</v>
      </c>
      <c r="F114" s="115">
        <v>42551</v>
      </c>
      <c r="G114" s="95">
        <v>800</v>
      </c>
      <c r="I114" s="95">
        <v>800</v>
      </c>
    </row>
    <row r="115" spans="1:9" x14ac:dyDescent="0.3">
      <c r="B115" s="68" t="s">
        <v>146</v>
      </c>
      <c r="C115" s="121"/>
      <c r="G115" s="122">
        <f>IRR(G111:G114)</f>
        <v>0.20260726445323174</v>
      </c>
      <c r="I115" s="122">
        <f>XIRR(I111:I114,F111:F114)</f>
        <v>0.27937057614326477</v>
      </c>
    </row>
    <row r="116" spans="1:9" x14ac:dyDescent="0.3">
      <c r="C116" s="123"/>
      <c r="G116" s="124" t="s">
        <v>147</v>
      </c>
      <c r="I116" s="110" t="s">
        <v>148</v>
      </c>
    </row>
    <row r="117" spans="1:9" x14ac:dyDescent="0.3">
      <c r="A117" s="68" t="s">
        <v>145</v>
      </c>
      <c r="G117" s="118"/>
      <c r="I117" s="119"/>
    </row>
    <row r="118" spans="1:9" x14ac:dyDescent="0.3">
      <c r="A118" s="68"/>
    </row>
    <row r="119" spans="1:9" x14ac:dyDescent="0.3">
      <c r="B119" s="90" t="s">
        <v>149</v>
      </c>
      <c r="C119" s="125" t="s">
        <v>150</v>
      </c>
    </row>
    <row r="120" spans="1:9" x14ac:dyDescent="0.3">
      <c r="B120" s="115">
        <v>41741</v>
      </c>
      <c r="C120" s="88">
        <v>-1000</v>
      </c>
    </row>
    <row r="121" spans="1:9" x14ac:dyDescent="0.3">
      <c r="B121" s="115">
        <v>42035</v>
      </c>
      <c r="C121" s="88">
        <v>100</v>
      </c>
    </row>
    <row r="122" spans="1:9" x14ac:dyDescent="0.3">
      <c r="B122" s="115">
        <v>42277</v>
      </c>
      <c r="C122" s="88">
        <v>200</v>
      </c>
    </row>
    <row r="123" spans="1:9" x14ac:dyDescent="0.3">
      <c r="B123" s="115">
        <v>42551</v>
      </c>
      <c r="C123" s="88">
        <v>300</v>
      </c>
    </row>
    <row r="124" spans="1:9" x14ac:dyDescent="0.3">
      <c r="B124" s="115">
        <v>43220</v>
      </c>
      <c r="C124" s="88">
        <v>400</v>
      </c>
    </row>
    <row r="125" spans="1:9" x14ac:dyDescent="0.3">
      <c r="B125" s="115">
        <v>43251</v>
      </c>
      <c r="C125" s="88">
        <v>500</v>
      </c>
    </row>
    <row r="126" spans="1:9" x14ac:dyDescent="0.3">
      <c r="B126" s="68" t="s">
        <v>146</v>
      </c>
      <c r="C126" s="121"/>
    </row>
    <row r="128" spans="1:9" x14ac:dyDescent="0.3">
      <c r="A128" s="68" t="s">
        <v>151</v>
      </c>
    </row>
    <row r="130" spans="2:3" x14ac:dyDescent="0.3">
      <c r="B130" s="91" t="s">
        <v>152</v>
      </c>
      <c r="C130" s="126">
        <v>15000</v>
      </c>
    </row>
    <row r="131" spans="2:3" x14ac:dyDescent="0.3">
      <c r="B131" s="91" t="s">
        <v>153</v>
      </c>
      <c r="C131" s="127">
        <v>36</v>
      </c>
    </row>
    <row r="132" spans="2:3" x14ac:dyDescent="0.3">
      <c r="B132" s="91" t="s">
        <v>154</v>
      </c>
      <c r="C132" s="128">
        <v>0.02</v>
      </c>
    </row>
    <row r="133" spans="2:3" x14ac:dyDescent="0.3">
      <c r="B133" s="129" t="s">
        <v>155</v>
      </c>
      <c r="C133" s="130">
        <f>PMT(C132,C131,C130)</f>
        <v>-588.49278896697228</v>
      </c>
    </row>
  </sheetData>
  <pageMargins left="0.7" right="0.7" top="0.75" bottom="0.75" header="0.3" footer="0.3"/>
  <pageSetup scale="3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8AE4-43C8-4E56-8672-946DAC30ED36}">
  <sheetPr>
    <pageSetUpPr fitToPage="1"/>
  </sheetPr>
  <dimension ref="A1:K133"/>
  <sheetViews>
    <sheetView zoomScaleNormal="100" workbookViewId="0"/>
  </sheetViews>
  <sheetFormatPr defaultColWidth="9.109375" defaultRowHeight="14.4" x14ac:dyDescent="0.3"/>
  <cols>
    <col min="1" max="1" width="11.6640625" bestFit="1" customWidth="1"/>
    <col min="2" max="2" width="67" customWidth="1"/>
    <col min="3" max="3" width="11.33203125" customWidth="1"/>
    <col min="4" max="6" width="10.109375" customWidth="1"/>
    <col min="7" max="7" width="9.6640625" customWidth="1"/>
    <col min="8" max="8" width="8.33203125" bestFit="1" customWidth="1"/>
  </cols>
  <sheetData>
    <row r="1" spans="1:4" x14ac:dyDescent="0.3">
      <c r="A1" s="68" t="s">
        <v>61</v>
      </c>
    </row>
    <row r="3" spans="1:4" x14ac:dyDescent="0.3">
      <c r="B3" t="s">
        <v>62</v>
      </c>
      <c r="C3" s="79">
        <v>-4</v>
      </c>
      <c r="D3" s="79"/>
    </row>
    <row r="4" spans="1:4" x14ac:dyDescent="0.3">
      <c r="B4" t="s">
        <v>63</v>
      </c>
      <c r="C4" s="80">
        <f>ABS(C3)</f>
        <v>4</v>
      </c>
      <c r="D4" s="81" t="s">
        <v>64</v>
      </c>
    </row>
    <row r="6" spans="1:4" x14ac:dyDescent="0.3">
      <c r="A6" s="68" t="s">
        <v>65</v>
      </c>
    </row>
    <row r="8" spans="1:4" x14ac:dyDescent="0.3">
      <c r="B8" t="s">
        <v>66</v>
      </c>
      <c r="C8" s="82">
        <v>4.2300000000000004</v>
      </c>
    </row>
    <row r="9" spans="1:4" x14ac:dyDescent="0.3">
      <c r="B9" t="s">
        <v>67</v>
      </c>
      <c r="C9" s="83">
        <f>CEILING(C8,0.1)</f>
        <v>4.3</v>
      </c>
      <c r="D9" s="84" t="s">
        <v>68</v>
      </c>
    </row>
    <row r="11" spans="1:4" x14ac:dyDescent="0.3">
      <c r="A11" s="68" t="s">
        <v>69</v>
      </c>
    </row>
    <row r="13" spans="1:4" x14ac:dyDescent="0.3">
      <c r="B13" t="s">
        <v>66</v>
      </c>
      <c r="C13" s="82">
        <v>4.2300000000000004</v>
      </c>
    </row>
    <row r="14" spans="1:4" x14ac:dyDescent="0.3">
      <c r="B14" t="s">
        <v>70</v>
      </c>
      <c r="C14" s="83">
        <f>FLOOR(C13,0.05)</f>
        <v>4.2</v>
      </c>
      <c r="D14" s="84" t="s">
        <v>71</v>
      </c>
    </row>
    <row r="16" spans="1:4" x14ac:dyDescent="0.3">
      <c r="A16" s="68" t="s">
        <v>72</v>
      </c>
    </row>
    <row r="18" spans="1:4" x14ac:dyDescent="0.3">
      <c r="B18" t="s">
        <v>73</v>
      </c>
      <c r="C18" s="85">
        <v>15</v>
      </c>
    </row>
    <row r="19" spans="1:4" x14ac:dyDescent="0.3">
      <c r="B19" t="s">
        <v>74</v>
      </c>
      <c r="C19" s="86">
        <f>COMBIN(C18+1,2)</f>
        <v>120</v>
      </c>
      <c r="D19" s="87" t="s">
        <v>75</v>
      </c>
    </row>
    <row r="21" spans="1:4" x14ac:dyDescent="0.3">
      <c r="A21" s="68" t="s">
        <v>76</v>
      </c>
    </row>
    <row r="23" spans="1:4" x14ac:dyDescent="0.3">
      <c r="B23" t="s">
        <v>77</v>
      </c>
      <c r="C23" s="88">
        <v>1807</v>
      </c>
    </row>
    <row r="24" spans="1:4" x14ac:dyDescent="0.3">
      <c r="B24" t="s">
        <v>59</v>
      </c>
      <c r="C24" s="79">
        <v>123</v>
      </c>
    </row>
    <row r="25" spans="1:4" x14ac:dyDescent="0.3">
      <c r="B25" t="s">
        <v>78</v>
      </c>
      <c r="C25" s="83">
        <f>ROUND(C23/C24,2)</f>
        <v>14.69</v>
      </c>
      <c r="D25" s="84" t="s">
        <v>79</v>
      </c>
    </row>
    <row r="27" spans="1:4" x14ac:dyDescent="0.3">
      <c r="A27" s="68" t="s">
        <v>80</v>
      </c>
    </row>
    <row r="29" spans="1:4" x14ac:dyDescent="0.3">
      <c r="B29" t="s">
        <v>77</v>
      </c>
      <c r="C29" s="88">
        <v>1807</v>
      </c>
      <c r="D29" s="89"/>
    </row>
    <row r="30" spans="1:4" x14ac:dyDescent="0.3">
      <c r="B30" t="s">
        <v>59</v>
      </c>
      <c r="C30" s="79">
        <v>123</v>
      </c>
    </row>
    <row r="31" spans="1:4" x14ac:dyDescent="0.3">
      <c r="B31" t="s">
        <v>78</v>
      </c>
      <c r="C31" s="83">
        <f>ROUNDUP(C29/C30,2)</f>
        <v>14.7</v>
      </c>
      <c r="D31" s="84" t="s">
        <v>81</v>
      </c>
    </row>
    <row r="33" spans="1:7" x14ac:dyDescent="0.3">
      <c r="A33" s="68" t="s">
        <v>82</v>
      </c>
    </row>
    <row r="35" spans="1:7" x14ac:dyDescent="0.3">
      <c r="B35" t="s">
        <v>77</v>
      </c>
      <c r="C35" s="88">
        <v>1807</v>
      </c>
      <c r="D35" s="89"/>
    </row>
    <row r="36" spans="1:7" x14ac:dyDescent="0.3">
      <c r="B36" t="s">
        <v>59</v>
      </c>
      <c r="C36" s="79">
        <v>123</v>
      </c>
    </row>
    <row r="37" spans="1:7" x14ac:dyDescent="0.3">
      <c r="B37" t="s">
        <v>78</v>
      </c>
      <c r="C37" s="83">
        <f>ROUNDDOWN(C35/C36,2)</f>
        <v>14.69</v>
      </c>
      <c r="D37" s="84" t="s">
        <v>83</v>
      </c>
    </row>
    <row r="39" spans="1:7" x14ac:dyDescent="0.3">
      <c r="A39" s="68" t="s">
        <v>84</v>
      </c>
    </row>
    <row r="40" spans="1:7" x14ac:dyDescent="0.3">
      <c r="B40" s="68"/>
      <c r="C40" s="90">
        <v>2014</v>
      </c>
      <c r="D40" s="90">
        <f>C40+1</f>
        <v>2015</v>
      </c>
      <c r="E40" s="90">
        <f t="shared" ref="E40:F40" si="0">D40+1</f>
        <v>2016</v>
      </c>
      <c r="F40" s="90">
        <f t="shared" si="0"/>
        <v>2017</v>
      </c>
      <c r="G40" s="90"/>
    </row>
    <row r="41" spans="1:7" x14ac:dyDescent="0.3">
      <c r="B41" s="91" t="s">
        <v>85</v>
      </c>
      <c r="C41" s="92">
        <v>-200</v>
      </c>
      <c r="D41" s="92">
        <v>900</v>
      </c>
      <c r="E41" s="92">
        <v>750</v>
      </c>
      <c r="F41" s="92">
        <v>1040</v>
      </c>
      <c r="G41" s="93"/>
    </row>
    <row r="42" spans="1:7" x14ac:dyDescent="0.3">
      <c r="B42" t="s">
        <v>86</v>
      </c>
      <c r="C42" s="88">
        <v>800</v>
      </c>
      <c r="D42" s="93">
        <f>C43</f>
        <v>1000</v>
      </c>
      <c r="E42" s="93">
        <f t="shared" ref="E42:F42" si="1">D43</f>
        <v>100</v>
      </c>
      <c r="F42" s="93">
        <f t="shared" si="1"/>
        <v>0</v>
      </c>
    </row>
    <row r="43" spans="1:7" x14ac:dyDescent="0.3">
      <c r="B43" t="s">
        <v>87</v>
      </c>
      <c r="C43" s="94">
        <f>MAX(0,C42-C41)</f>
        <v>1000</v>
      </c>
      <c r="D43" s="94">
        <f t="shared" ref="D43:F43" si="2">MAX(0,D42-D41)</f>
        <v>100</v>
      </c>
      <c r="E43" s="94">
        <f t="shared" si="2"/>
        <v>0</v>
      </c>
      <c r="F43" s="94">
        <f t="shared" si="2"/>
        <v>0</v>
      </c>
    </row>
    <row r="44" spans="1:7" x14ac:dyDescent="0.3">
      <c r="C44" s="131" t="s">
        <v>156</v>
      </c>
      <c r="D44" s="132"/>
    </row>
    <row r="45" spans="1:7" x14ac:dyDescent="0.3">
      <c r="A45" s="68" t="s">
        <v>88</v>
      </c>
    </row>
    <row r="46" spans="1:7" x14ac:dyDescent="0.3">
      <c r="A46" s="68"/>
      <c r="B46" t="s">
        <v>157</v>
      </c>
    </row>
    <row r="47" spans="1:7" x14ac:dyDescent="0.3">
      <c r="A47" s="68"/>
    </row>
    <row r="48" spans="1:7" x14ac:dyDescent="0.3">
      <c r="C48" s="68">
        <v>2014</v>
      </c>
      <c r="D48" s="68">
        <f>C48+1</f>
        <v>2015</v>
      </c>
      <c r="E48" s="68">
        <f t="shared" ref="E48" si="3">D48+1</f>
        <v>2016</v>
      </c>
      <c r="F48" s="68" t="s">
        <v>90</v>
      </c>
    </row>
    <row r="49" spans="1:6" x14ac:dyDescent="0.3">
      <c r="B49" t="s">
        <v>91</v>
      </c>
      <c r="C49" s="95">
        <v>350</v>
      </c>
      <c r="D49" s="95">
        <f>C49*1.05</f>
        <v>367.5</v>
      </c>
      <c r="E49" s="95">
        <f>D49*1.05</f>
        <v>385.875</v>
      </c>
      <c r="F49" s="96">
        <f>AVERAGE(C49:E49)</f>
        <v>367.79166666666669</v>
      </c>
    </row>
    <row r="50" spans="1:6" x14ac:dyDescent="0.3">
      <c r="B50" t="s">
        <v>92</v>
      </c>
      <c r="C50" s="133">
        <f>5*MIN(F49,E49)</f>
        <v>1838.9583333333335</v>
      </c>
      <c r="D50" s="84" t="s">
        <v>158</v>
      </c>
      <c r="E50" s="84"/>
    </row>
    <row r="51" spans="1:6" x14ac:dyDescent="0.3">
      <c r="B51" s="68"/>
      <c r="C51" s="93"/>
    </row>
    <row r="52" spans="1:6" x14ac:dyDescent="0.3">
      <c r="A52" s="68" t="s">
        <v>93</v>
      </c>
    </row>
    <row r="53" spans="1:6" x14ac:dyDescent="0.3">
      <c r="B53" s="90" t="s">
        <v>94</v>
      </c>
      <c r="C53" s="90" t="s">
        <v>95</v>
      </c>
    </row>
    <row r="54" spans="1:6" x14ac:dyDescent="0.3">
      <c r="B54" t="s">
        <v>96</v>
      </c>
      <c r="C54" s="88">
        <v>348</v>
      </c>
    </row>
    <row r="55" spans="1:6" x14ac:dyDescent="0.3">
      <c r="B55" t="s">
        <v>97</v>
      </c>
      <c r="C55" s="79">
        <v>263</v>
      </c>
    </row>
    <row r="56" spans="1:6" x14ac:dyDescent="0.3">
      <c r="B56" t="s">
        <v>98</v>
      </c>
      <c r="C56" s="75" t="s">
        <v>99</v>
      </c>
    </row>
    <row r="57" spans="1:6" x14ac:dyDescent="0.3">
      <c r="B57" t="s">
        <v>100</v>
      </c>
      <c r="C57" s="79">
        <v>309</v>
      </c>
    </row>
    <row r="58" spans="1:6" x14ac:dyDescent="0.3">
      <c r="B58" t="s">
        <v>101</v>
      </c>
      <c r="C58" s="79">
        <v>123</v>
      </c>
    </row>
    <row r="59" spans="1:6" x14ac:dyDescent="0.3">
      <c r="B59" t="s">
        <v>102</v>
      </c>
      <c r="C59" s="75" t="s">
        <v>99</v>
      </c>
    </row>
    <row r="60" spans="1:6" x14ac:dyDescent="0.3">
      <c r="B60" t="s">
        <v>103</v>
      </c>
      <c r="C60" s="79">
        <v>131</v>
      </c>
    </row>
    <row r="61" spans="1:6" x14ac:dyDescent="0.3">
      <c r="B61" t="s">
        <v>104</v>
      </c>
      <c r="C61" s="79">
        <v>238</v>
      </c>
    </row>
    <row r="62" spans="1:6" x14ac:dyDescent="0.3">
      <c r="B62" t="s">
        <v>105</v>
      </c>
      <c r="C62" s="79">
        <v>385</v>
      </c>
    </row>
    <row r="64" spans="1:6" x14ac:dyDescent="0.3">
      <c r="B64" t="s">
        <v>106</v>
      </c>
      <c r="C64">
        <f>COUNT(C54:C62)</f>
        <v>7</v>
      </c>
      <c r="D64" s="84" t="s">
        <v>107</v>
      </c>
      <c r="E64" s="84"/>
      <c r="F64" s="84"/>
    </row>
    <row r="65" spans="1:6" x14ac:dyDescent="0.3">
      <c r="B65" t="s">
        <v>108</v>
      </c>
      <c r="C65">
        <f>COUNTA(C54:C62)</f>
        <v>9</v>
      </c>
      <c r="D65" s="84" t="s">
        <v>109</v>
      </c>
      <c r="E65" s="84"/>
      <c r="F65" s="84"/>
    </row>
    <row r="66" spans="1:6" x14ac:dyDescent="0.3">
      <c r="B66" t="s">
        <v>110</v>
      </c>
      <c r="C66">
        <f>COUNTIF(C54:C62,"&gt;250")</f>
        <v>4</v>
      </c>
      <c r="D66" s="84" t="s">
        <v>111</v>
      </c>
      <c r="E66" s="84"/>
      <c r="F66" s="84"/>
    </row>
    <row r="68" spans="1:6" x14ac:dyDescent="0.3">
      <c r="A68" s="68" t="s">
        <v>112</v>
      </c>
    </row>
    <row r="70" spans="1:6" x14ac:dyDescent="0.3">
      <c r="B70" t="s">
        <v>113</v>
      </c>
      <c r="C70" s="88">
        <v>1500</v>
      </c>
    </row>
    <row r="71" spans="1:6" x14ac:dyDescent="0.3">
      <c r="B71" t="s">
        <v>114</v>
      </c>
      <c r="C71" s="101">
        <v>0.08</v>
      </c>
    </row>
    <row r="72" spans="1:6" x14ac:dyDescent="0.3">
      <c r="B72" t="s">
        <v>115</v>
      </c>
      <c r="C72" s="102">
        <f>1/(1+C71)^2</f>
        <v>0.85733882030178321</v>
      </c>
    </row>
    <row r="73" spans="1:6" x14ac:dyDescent="0.3">
      <c r="B73" t="s">
        <v>116</v>
      </c>
      <c r="C73" s="102">
        <f>(1+C71)^0.5</f>
        <v>1.0392304845413265</v>
      </c>
    </row>
    <row r="74" spans="1:6" x14ac:dyDescent="0.3">
      <c r="B74" t="s">
        <v>117</v>
      </c>
      <c r="C74" s="93">
        <f>PRODUCT(C70,C72,C73)</f>
        <v>1336.4589564574671</v>
      </c>
      <c r="D74" s="103" t="s">
        <v>159</v>
      </c>
    </row>
    <row r="76" spans="1:6" x14ac:dyDescent="0.3">
      <c r="A76" s="68" t="s">
        <v>118</v>
      </c>
    </row>
    <row r="77" spans="1:6" x14ac:dyDescent="0.3">
      <c r="C77" s="68" t="s">
        <v>119</v>
      </c>
      <c r="E77" s="68" t="s">
        <v>120</v>
      </c>
    </row>
    <row r="78" spans="1:6" x14ac:dyDescent="0.3">
      <c r="B78" t="s">
        <v>121</v>
      </c>
      <c r="C78" s="101">
        <v>0.12</v>
      </c>
      <c r="E78" s="101">
        <v>0.12</v>
      </c>
    </row>
    <row r="79" spans="1:6" x14ac:dyDescent="0.3">
      <c r="B79" t="s">
        <v>122</v>
      </c>
      <c r="C79" s="88">
        <v>-500</v>
      </c>
      <c r="E79" s="88">
        <v>-500</v>
      </c>
    </row>
    <row r="80" spans="1:6" x14ac:dyDescent="0.3">
      <c r="B80" t="s">
        <v>123</v>
      </c>
      <c r="C80" s="104">
        <v>5</v>
      </c>
      <c r="E80" s="104">
        <v>5</v>
      </c>
    </row>
    <row r="81" spans="1:11" x14ac:dyDescent="0.3">
      <c r="B81" t="s">
        <v>124</v>
      </c>
      <c r="C81" s="105">
        <v>1</v>
      </c>
      <c r="E81" s="105">
        <v>1</v>
      </c>
    </row>
    <row r="82" spans="1:11" x14ac:dyDescent="0.3">
      <c r="B82" t="s">
        <v>125</v>
      </c>
      <c r="C82" s="106">
        <f>C78/12</f>
        <v>0.01</v>
      </c>
      <c r="E82" s="106">
        <f>E78/12</f>
        <v>0.01</v>
      </c>
    </row>
    <row r="83" spans="1:11" x14ac:dyDescent="0.3">
      <c r="B83" t="s">
        <v>126</v>
      </c>
      <c r="C83">
        <f>C80*12</f>
        <v>60</v>
      </c>
      <c r="E83">
        <f>E80*12</f>
        <v>60</v>
      </c>
      <c r="G83" s="107"/>
    </row>
    <row r="84" spans="1:11" x14ac:dyDescent="0.3">
      <c r="B84" s="68"/>
      <c r="C84" s="108">
        <f>PV(C82,C83,C79,,C81)</f>
        <v>22702.294395143133</v>
      </c>
      <c r="E84" s="108">
        <f>FV(E82,E83,E79,,E81)</f>
        <v>41243.183277486605</v>
      </c>
    </row>
    <row r="86" spans="1:11" x14ac:dyDescent="0.3">
      <c r="A86" s="68" t="s">
        <v>127</v>
      </c>
    </row>
    <row r="87" spans="1:11" x14ac:dyDescent="0.3">
      <c r="C87" s="68" t="s">
        <v>127</v>
      </c>
    </row>
    <row r="88" spans="1:11" x14ac:dyDescent="0.3">
      <c r="B88" t="s">
        <v>128</v>
      </c>
      <c r="C88" s="101">
        <v>0.12</v>
      </c>
    </row>
    <row r="89" spans="1:11" x14ac:dyDescent="0.3">
      <c r="B89" t="s">
        <v>129</v>
      </c>
      <c r="C89" s="88">
        <v>-1000</v>
      </c>
    </row>
    <row r="90" spans="1:11" x14ac:dyDescent="0.3">
      <c r="B90" t="s">
        <v>130</v>
      </c>
      <c r="C90" s="88">
        <v>250</v>
      </c>
    </row>
    <row r="91" spans="1:11" x14ac:dyDescent="0.3">
      <c r="B91" t="s">
        <v>131</v>
      </c>
      <c r="C91" s="88">
        <v>400</v>
      </c>
    </row>
    <row r="92" spans="1:11" x14ac:dyDescent="0.3">
      <c r="B92" t="s">
        <v>132</v>
      </c>
      <c r="C92" s="88">
        <v>500</v>
      </c>
    </row>
    <row r="93" spans="1:11" x14ac:dyDescent="0.3">
      <c r="B93" t="s">
        <v>133</v>
      </c>
      <c r="C93" s="88">
        <v>480</v>
      </c>
    </row>
    <row r="94" spans="1:11" x14ac:dyDescent="0.3">
      <c r="B94" t="s">
        <v>134</v>
      </c>
      <c r="C94" s="88">
        <v>700</v>
      </c>
    </row>
    <row r="95" spans="1:11" x14ac:dyDescent="0.3">
      <c r="B95" s="68"/>
      <c r="C95" s="109">
        <f>NPV(C88,C89:C94)</f>
        <v>535.91914042744418</v>
      </c>
    </row>
    <row r="96" spans="1:11" ht="18" thickBot="1" x14ac:dyDescent="0.4">
      <c r="C96" s="110"/>
      <c r="F96" s="111" t="s">
        <v>135</v>
      </c>
      <c r="G96" s="111"/>
      <c r="H96" s="111"/>
      <c r="I96" s="111"/>
      <c r="J96" s="111"/>
      <c r="K96" s="111"/>
    </row>
    <row r="97" spans="1:11" x14ac:dyDescent="0.3">
      <c r="A97" s="68" t="s">
        <v>136</v>
      </c>
      <c r="K97" t="s">
        <v>137</v>
      </c>
    </row>
    <row r="98" spans="1:11" x14ac:dyDescent="0.3">
      <c r="C98" s="68" t="s">
        <v>136</v>
      </c>
      <c r="G98" t="s">
        <v>138</v>
      </c>
      <c r="I98" t="s">
        <v>136</v>
      </c>
      <c r="K98" t="s">
        <v>138</v>
      </c>
    </row>
    <row r="99" spans="1:11" x14ac:dyDescent="0.3">
      <c r="B99" t="s">
        <v>128</v>
      </c>
      <c r="C99" s="101">
        <v>0.12</v>
      </c>
      <c r="D99" s="112"/>
      <c r="F99" s="113" t="s">
        <v>139</v>
      </c>
      <c r="G99" s="114">
        <v>0.1</v>
      </c>
      <c r="H99" s="113" t="s">
        <v>139</v>
      </c>
      <c r="I99" s="114">
        <v>0.1</v>
      </c>
      <c r="J99" s="113" t="s">
        <v>139</v>
      </c>
      <c r="K99" s="114">
        <v>0.1</v>
      </c>
    </row>
    <row r="100" spans="1:11" x14ac:dyDescent="0.3">
      <c r="B100" s="115">
        <v>41741</v>
      </c>
      <c r="C100" s="88">
        <v>-1000</v>
      </c>
      <c r="D100" s="83"/>
      <c r="F100" s="116">
        <v>42004</v>
      </c>
      <c r="G100" s="95">
        <v>1000</v>
      </c>
      <c r="I100" s="95">
        <v>1000</v>
      </c>
      <c r="K100" s="95">
        <v>1000</v>
      </c>
    </row>
    <row r="101" spans="1:11" x14ac:dyDescent="0.3">
      <c r="B101" s="115">
        <v>42035</v>
      </c>
      <c r="C101" s="88">
        <v>250</v>
      </c>
      <c r="F101" s="116">
        <f>EOMONTH(F100,12)</f>
        <v>42369</v>
      </c>
      <c r="G101" s="95">
        <v>1000</v>
      </c>
      <c r="I101" s="95">
        <v>1000</v>
      </c>
      <c r="K101" s="95">
        <v>1000</v>
      </c>
    </row>
    <row r="102" spans="1:11" x14ac:dyDescent="0.3">
      <c r="B102" s="115">
        <v>42277</v>
      </c>
      <c r="C102" s="88">
        <v>400</v>
      </c>
      <c r="F102" s="116">
        <f>EOMONTH(F101,12)</f>
        <v>42735</v>
      </c>
      <c r="G102" s="95">
        <v>1000</v>
      </c>
      <c r="I102" s="95">
        <v>1000</v>
      </c>
      <c r="K102" s="95">
        <v>1000</v>
      </c>
    </row>
    <row r="103" spans="1:11" x14ac:dyDescent="0.3">
      <c r="B103" s="115">
        <v>42551</v>
      </c>
      <c r="C103" s="88">
        <v>500</v>
      </c>
      <c r="F103" s="116">
        <f>EOMONTH(F102,12)</f>
        <v>43100</v>
      </c>
      <c r="G103" s="95">
        <v>1000</v>
      </c>
      <c r="I103" s="95">
        <v>1000</v>
      </c>
      <c r="K103" s="95">
        <v>1000</v>
      </c>
    </row>
    <row r="104" spans="1:11" x14ac:dyDescent="0.3">
      <c r="B104" s="115">
        <v>43220</v>
      </c>
      <c r="C104" s="88">
        <v>480</v>
      </c>
      <c r="G104" s="117">
        <f>NPV(G99,G100:G103)</f>
        <v>3169.8654463492926</v>
      </c>
      <c r="I104" s="117">
        <f>XNPV(I99,I100:I103,F100:F103)</f>
        <v>3486.4400538317641</v>
      </c>
      <c r="K104" s="96">
        <f>K100+NPV(K99,K101:K103)</f>
        <v>3486.8519909842221</v>
      </c>
    </row>
    <row r="105" spans="1:11" x14ac:dyDescent="0.3">
      <c r="B105" s="115">
        <v>43251</v>
      </c>
      <c r="C105" s="88">
        <v>700</v>
      </c>
      <c r="G105" s="118" t="s">
        <v>140</v>
      </c>
      <c r="I105" s="119" t="s">
        <v>141</v>
      </c>
    </row>
    <row r="106" spans="1:11" x14ac:dyDescent="0.3">
      <c r="C106" s="120">
        <f>XNPV(C99,C100:C105,B100:B105)</f>
        <v>696.94724065210812</v>
      </c>
    </row>
    <row r="108" spans="1:11" ht="18" thickBot="1" x14ac:dyDescent="0.4">
      <c r="A108" s="68" t="s">
        <v>142</v>
      </c>
      <c r="F108" s="111" t="s">
        <v>143</v>
      </c>
      <c r="G108" s="111"/>
      <c r="H108" s="111"/>
      <c r="I108" s="111"/>
      <c r="J108" s="111"/>
      <c r="K108" s="111"/>
    </row>
    <row r="109" spans="1:11" x14ac:dyDescent="0.3">
      <c r="B109" t="s">
        <v>144</v>
      </c>
      <c r="C109" s="88">
        <v>-1000</v>
      </c>
    </row>
    <row r="110" spans="1:11" x14ac:dyDescent="0.3">
      <c r="B110" t="str">
        <f>"Cash inflow after period " &amp; 1</f>
        <v>Cash inflow after period 1</v>
      </c>
      <c r="C110" s="88">
        <v>100</v>
      </c>
      <c r="G110" t="s">
        <v>142</v>
      </c>
      <c r="I110" t="s">
        <v>145</v>
      </c>
    </row>
    <row r="111" spans="1:11" x14ac:dyDescent="0.3">
      <c r="B111" t="str">
        <f>"Cash inflow after period " &amp; 2</f>
        <v>Cash inflow after period 2</v>
      </c>
      <c r="C111" s="88">
        <v>200</v>
      </c>
      <c r="F111" s="115">
        <v>41741</v>
      </c>
      <c r="G111" s="95">
        <v>-1000</v>
      </c>
      <c r="I111" s="95">
        <v>-1000</v>
      </c>
    </row>
    <row r="112" spans="1:11" x14ac:dyDescent="0.3">
      <c r="B112" t="str">
        <f>"Cash inflow after period " &amp; 3</f>
        <v>Cash inflow after period 3</v>
      </c>
      <c r="C112" s="88">
        <v>300</v>
      </c>
      <c r="F112" s="115">
        <v>42035</v>
      </c>
      <c r="G112" s="95">
        <v>400</v>
      </c>
      <c r="I112" s="95">
        <v>400</v>
      </c>
    </row>
    <row r="113" spans="1:9" x14ac:dyDescent="0.3">
      <c r="B113" t="str">
        <f>"Cash inflow after period " &amp; 4</f>
        <v>Cash inflow after period 4</v>
      </c>
      <c r="C113" s="88">
        <v>400</v>
      </c>
      <c r="F113" s="115">
        <v>42277</v>
      </c>
      <c r="G113" s="95">
        <v>300</v>
      </c>
      <c r="I113" s="95">
        <v>300</v>
      </c>
    </row>
    <row r="114" spans="1:9" x14ac:dyDescent="0.3">
      <c r="B114" t="str">
        <f>"Cash inflow after period " &amp; 5</f>
        <v>Cash inflow after period 5</v>
      </c>
      <c r="C114" s="88">
        <v>500</v>
      </c>
      <c r="F114" s="115">
        <v>42551</v>
      </c>
      <c r="G114" s="95">
        <v>800</v>
      </c>
      <c r="I114" s="95">
        <v>800</v>
      </c>
    </row>
    <row r="115" spans="1:9" x14ac:dyDescent="0.3">
      <c r="B115" s="68" t="s">
        <v>146</v>
      </c>
      <c r="C115" s="121">
        <f>IRR(C109:C114)</f>
        <v>0.12005761954170246</v>
      </c>
      <c r="G115" s="122">
        <f>IRR(G111:G114)</f>
        <v>0.20260726445323174</v>
      </c>
      <c r="I115" s="122">
        <f>XIRR(I111:I114,F111:F114)</f>
        <v>0.27937057614326477</v>
      </c>
    </row>
    <row r="116" spans="1:9" x14ac:dyDescent="0.3">
      <c r="C116" s="123"/>
      <c r="G116" s="124" t="s">
        <v>147</v>
      </c>
      <c r="I116" s="110" t="s">
        <v>148</v>
      </c>
    </row>
    <row r="117" spans="1:9" x14ac:dyDescent="0.3">
      <c r="A117" s="68" t="s">
        <v>145</v>
      </c>
      <c r="G117" s="118"/>
      <c r="I117" s="119"/>
    </row>
    <row r="118" spans="1:9" x14ac:dyDescent="0.3">
      <c r="A118" s="68"/>
    </row>
    <row r="119" spans="1:9" x14ac:dyDescent="0.3">
      <c r="B119" s="90" t="s">
        <v>149</v>
      </c>
      <c r="C119" s="125" t="s">
        <v>150</v>
      </c>
    </row>
    <row r="120" spans="1:9" x14ac:dyDescent="0.3">
      <c r="B120" s="115">
        <v>41741</v>
      </c>
      <c r="C120" s="88">
        <v>-1000</v>
      </c>
    </row>
    <row r="121" spans="1:9" x14ac:dyDescent="0.3">
      <c r="B121" s="115">
        <v>42035</v>
      </c>
      <c r="C121" s="88">
        <v>100</v>
      </c>
    </row>
    <row r="122" spans="1:9" x14ac:dyDescent="0.3">
      <c r="B122" s="115">
        <v>42277</v>
      </c>
      <c r="C122" s="88">
        <v>200</v>
      </c>
    </row>
    <row r="123" spans="1:9" x14ac:dyDescent="0.3">
      <c r="B123" s="115">
        <v>42551</v>
      </c>
      <c r="C123" s="88">
        <v>300</v>
      </c>
    </row>
    <row r="124" spans="1:9" x14ac:dyDescent="0.3">
      <c r="B124" s="115">
        <v>43220</v>
      </c>
      <c r="C124" s="88">
        <v>400</v>
      </c>
    </row>
    <row r="125" spans="1:9" x14ac:dyDescent="0.3">
      <c r="B125" s="115">
        <v>43251</v>
      </c>
      <c r="C125" s="88">
        <v>500</v>
      </c>
    </row>
    <row r="126" spans="1:9" x14ac:dyDescent="0.3">
      <c r="B126" s="68" t="s">
        <v>146</v>
      </c>
      <c r="C126" s="121">
        <f>XIRR(C120:C125,B120:B125)</f>
        <v>0.14203502535820012</v>
      </c>
    </row>
    <row r="128" spans="1:9" x14ac:dyDescent="0.3">
      <c r="A128" s="68" t="s">
        <v>151</v>
      </c>
    </row>
    <row r="130" spans="2:3" x14ac:dyDescent="0.3">
      <c r="B130" s="91" t="s">
        <v>152</v>
      </c>
      <c r="C130" s="126">
        <v>15000</v>
      </c>
    </row>
    <row r="131" spans="2:3" x14ac:dyDescent="0.3">
      <c r="B131" s="91" t="s">
        <v>153</v>
      </c>
      <c r="C131" s="127">
        <v>36</v>
      </c>
    </row>
    <row r="132" spans="2:3" x14ac:dyDescent="0.3">
      <c r="B132" s="91" t="s">
        <v>154</v>
      </c>
      <c r="C132" s="128">
        <v>0.02</v>
      </c>
    </row>
    <row r="133" spans="2:3" x14ac:dyDescent="0.3">
      <c r="B133" s="129" t="s">
        <v>155</v>
      </c>
      <c r="C133" s="130">
        <f>PMT(C132,C131,C130)</f>
        <v>-588.49278896697228</v>
      </c>
    </row>
  </sheetData>
  <pageMargins left="0.7" right="0.7" top="0.75" bottom="0.75" header="0.3" footer="0.3"/>
  <pageSetup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26209-D89C-42BF-888D-BCFD553F8B8F}">
  <dimension ref="B1:F30"/>
  <sheetViews>
    <sheetView workbookViewId="0">
      <selection activeCell="J23" sqref="J23"/>
    </sheetView>
  </sheetViews>
  <sheetFormatPr defaultRowHeight="14.4" x14ac:dyDescent="0.3"/>
  <cols>
    <col min="2" max="2" width="12.109375" customWidth="1"/>
  </cols>
  <sheetData>
    <row r="1" spans="2:6" x14ac:dyDescent="0.3">
      <c r="C1" s="2">
        <v>2005</v>
      </c>
      <c r="D1" s="2">
        <v>2006</v>
      </c>
      <c r="E1" s="2">
        <v>2007</v>
      </c>
      <c r="F1" s="2">
        <v>2008</v>
      </c>
    </row>
    <row r="2" spans="2:6" x14ac:dyDescent="0.3">
      <c r="B2" t="s">
        <v>0</v>
      </c>
      <c r="C2" s="7">
        <v>1000</v>
      </c>
      <c r="D2" s="7">
        <v>1500</v>
      </c>
      <c r="E2" s="7">
        <v>2500</v>
      </c>
      <c r="F2" s="7">
        <v>4500</v>
      </c>
    </row>
    <row r="3" spans="2:6" x14ac:dyDescent="0.3">
      <c r="B3" t="s">
        <v>1</v>
      </c>
      <c r="C3" s="7">
        <v>500</v>
      </c>
      <c r="D3" s="7">
        <v>1200</v>
      </c>
      <c r="E3" s="7">
        <v>3400</v>
      </c>
      <c r="F3" s="7">
        <v>4000</v>
      </c>
    </row>
    <row r="4" spans="2:6" x14ac:dyDescent="0.3">
      <c r="B4" t="s">
        <v>2</v>
      </c>
    </row>
    <row r="10" spans="2:6" x14ac:dyDescent="0.3">
      <c r="C10" s="2">
        <v>2005</v>
      </c>
      <c r="D10" s="2">
        <v>2006</v>
      </c>
      <c r="E10" s="2">
        <v>2007</v>
      </c>
      <c r="F10" s="2">
        <v>2008</v>
      </c>
    </row>
    <row r="11" spans="2:6" x14ac:dyDescent="0.3">
      <c r="B11" t="s">
        <v>0</v>
      </c>
      <c r="C11" s="3">
        <v>1000</v>
      </c>
      <c r="D11" s="3">
        <v>1500</v>
      </c>
      <c r="E11" s="3">
        <v>2500</v>
      </c>
      <c r="F11" s="3">
        <v>4500</v>
      </c>
    </row>
    <row r="12" spans="2:6" x14ac:dyDescent="0.3">
      <c r="B12" t="s">
        <v>1</v>
      </c>
      <c r="C12" s="3">
        <v>500</v>
      </c>
      <c r="D12" s="3">
        <v>1200</v>
      </c>
      <c r="E12" s="3">
        <v>3400</v>
      </c>
      <c r="F12" s="3">
        <v>4000</v>
      </c>
    </row>
    <row r="13" spans="2:6" x14ac:dyDescent="0.3">
      <c r="B13" t="s">
        <v>2</v>
      </c>
      <c r="C13" s="4">
        <f>C11-C12</f>
        <v>500</v>
      </c>
      <c r="D13" s="4">
        <f t="shared" ref="D13:F13" si="0">D11-D12</f>
        <v>300</v>
      </c>
      <c r="E13" s="4">
        <f t="shared" si="0"/>
        <v>-900</v>
      </c>
      <c r="F13" s="4">
        <f t="shared" si="0"/>
        <v>500</v>
      </c>
    </row>
    <row r="30" spans="4:4" x14ac:dyDescent="0.3">
      <c r="D3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BB52-AD2E-4803-BB7D-9EBAC475414C}">
  <dimension ref="B1:F13"/>
  <sheetViews>
    <sheetView workbookViewId="0">
      <selection activeCell="B1" sqref="B1:F4"/>
    </sheetView>
  </sheetViews>
  <sheetFormatPr defaultRowHeight="14.4" x14ac:dyDescent="0.3"/>
  <cols>
    <col min="2" max="2" width="17.21875" bestFit="1" customWidth="1"/>
  </cols>
  <sheetData>
    <row r="1" spans="2:6" x14ac:dyDescent="0.3">
      <c r="C1" s="2">
        <v>2005</v>
      </c>
      <c r="D1" s="2">
        <v>2006</v>
      </c>
      <c r="E1" s="2">
        <v>2007</v>
      </c>
      <c r="F1" s="2">
        <v>2008</v>
      </c>
    </row>
    <row r="2" spans="2:6" x14ac:dyDescent="0.3">
      <c r="B2" t="s">
        <v>0</v>
      </c>
      <c r="C2" s="3"/>
      <c r="D2" s="3"/>
      <c r="E2" s="3"/>
      <c r="F2" s="3"/>
    </row>
    <row r="3" spans="2:6" x14ac:dyDescent="0.3">
      <c r="B3" t="s">
        <v>1</v>
      </c>
      <c r="C3" s="3"/>
      <c r="D3" s="3"/>
      <c r="E3" s="3"/>
      <c r="F3" s="3"/>
    </row>
    <row r="4" spans="2:6" x14ac:dyDescent="0.3">
      <c r="B4" t="s">
        <v>2</v>
      </c>
      <c r="C4" s="5"/>
      <c r="D4" s="5"/>
      <c r="E4" s="5"/>
      <c r="F4" s="5"/>
    </row>
    <row r="10" spans="2:6" x14ac:dyDescent="0.3">
      <c r="C10" s="2">
        <v>2005</v>
      </c>
      <c r="D10" s="2">
        <v>2006</v>
      </c>
      <c r="E10" s="2">
        <v>2007</v>
      </c>
      <c r="F10" s="2">
        <v>2008</v>
      </c>
    </row>
    <row r="11" spans="2:6" x14ac:dyDescent="0.3">
      <c r="B11" t="s">
        <v>0</v>
      </c>
      <c r="C11" s="3">
        <f>Sheet1!C11+Sheet2!C11</f>
        <v>1100</v>
      </c>
      <c r="D11" s="3">
        <f>Sheet1!D11+Sheet2!D11</f>
        <v>1625</v>
      </c>
      <c r="E11" s="3">
        <f>Sheet1!E11+Sheet2!E11</f>
        <v>2650</v>
      </c>
      <c r="F11" s="3">
        <f>Sheet1!F11+Sheet2!F11</f>
        <v>4675</v>
      </c>
    </row>
    <row r="12" spans="2:6" x14ac:dyDescent="0.3">
      <c r="B12" t="s">
        <v>1</v>
      </c>
      <c r="C12" s="3">
        <f>Sheet1!C12+Sheet2!C12</f>
        <v>550</v>
      </c>
      <c r="D12" s="3">
        <f>Sheet1!D12+Sheet2!D12</f>
        <v>1260</v>
      </c>
      <c r="E12" s="3">
        <f>Sheet1!E12+Sheet2!E12</f>
        <v>3470</v>
      </c>
      <c r="F12" s="3">
        <f>Sheet1!F12+Sheet2!F12</f>
        <v>4080</v>
      </c>
    </row>
    <row r="13" spans="2:6" x14ac:dyDescent="0.3">
      <c r="B13" t="s">
        <v>2</v>
      </c>
      <c r="C13" s="5">
        <f>C11-C12</f>
        <v>550</v>
      </c>
      <c r="D13" s="5">
        <f t="shared" ref="D13:F13" si="0">D11-D12</f>
        <v>365</v>
      </c>
      <c r="E13" s="5">
        <f t="shared" si="0"/>
        <v>-820</v>
      </c>
      <c r="F13" s="5">
        <f t="shared" si="0"/>
        <v>595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7E96-EDAD-4D64-B731-86BC4B8C14B1}">
  <dimension ref="A1:G23"/>
  <sheetViews>
    <sheetView showGridLines="0" zoomScaleNormal="100" zoomScaleSheetLayoutView="30" workbookViewId="0">
      <selection activeCell="B18" sqref="B18"/>
    </sheetView>
  </sheetViews>
  <sheetFormatPr defaultColWidth="8.88671875" defaultRowHeight="13.8" x14ac:dyDescent="0.25"/>
  <cols>
    <col min="1" max="1" width="18.44140625" style="10" customWidth="1"/>
    <col min="2" max="3" width="11.5546875" style="10" customWidth="1"/>
    <col min="4" max="4" width="8.88671875" style="10"/>
    <col min="5" max="5" width="23.44140625" style="10" customWidth="1"/>
    <col min="6" max="6" width="15.44140625" style="10" customWidth="1"/>
    <col min="7" max="7" width="10.44140625" style="10" customWidth="1"/>
    <col min="8" max="16384" width="8.88671875" style="10"/>
  </cols>
  <sheetData>
    <row r="1" spans="1:7" x14ac:dyDescent="0.25">
      <c r="A1" s="56" t="s">
        <v>3</v>
      </c>
      <c r="B1" s="56"/>
      <c r="C1" s="56"/>
      <c r="E1" s="56" t="s">
        <v>3</v>
      </c>
      <c r="F1" s="56"/>
      <c r="G1" s="56"/>
    </row>
    <row r="2" spans="1:7" x14ac:dyDescent="0.25">
      <c r="A2" s="56" t="s">
        <v>4</v>
      </c>
      <c r="B2" s="56"/>
      <c r="C2" s="56"/>
      <c r="E2" s="56" t="s">
        <v>4</v>
      </c>
      <c r="F2" s="56"/>
      <c r="G2" s="56"/>
    </row>
    <row r="3" spans="1:7" x14ac:dyDescent="0.25">
      <c r="A3" s="56" t="s">
        <v>5</v>
      </c>
      <c r="B3" s="56"/>
      <c r="C3" s="56"/>
      <c r="E3" s="56" t="s">
        <v>5</v>
      </c>
      <c r="F3" s="56"/>
      <c r="G3" s="56"/>
    </row>
    <row r="4" spans="1:7" x14ac:dyDescent="0.25">
      <c r="A4" s="9"/>
      <c r="B4" s="9">
        <v>2021</v>
      </c>
      <c r="C4" s="9">
        <f>B4-1</f>
        <v>2020</v>
      </c>
      <c r="E4" s="9"/>
      <c r="F4" s="9">
        <v>2021</v>
      </c>
      <c r="G4" s="9">
        <f>F4-1</f>
        <v>2020</v>
      </c>
    </row>
    <row r="5" spans="1:7" ht="15" customHeight="1" x14ac:dyDescent="0.25">
      <c r="A5" s="11" t="s">
        <v>6</v>
      </c>
      <c r="B5" s="12">
        <v>3850000</v>
      </c>
      <c r="C5" s="12">
        <v>3432000</v>
      </c>
      <c r="E5" s="11" t="s">
        <v>6</v>
      </c>
      <c r="F5" s="13">
        <f>B5/B$5</f>
        <v>1</v>
      </c>
      <c r="G5" s="13">
        <f>C5/C$5</f>
        <v>1</v>
      </c>
    </row>
    <row r="6" spans="1:7" ht="15" customHeight="1" x14ac:dyDescent="0.25">
      <c r="A6" s="10" t="s">
        <v>7</v>
      </c>
      <c r="B6" s="12">
        <v>3250000</v>
      </c>
      <c r="C6" s="12">
        <v>2864000</v>
      </c>
      <c r="E6" s="10" t="s">
        <v>7</v>
      </c>
      <c r="F6" s="14">
        <f t="shared" ref="F6:G15" si="0">B6/B$5</f>
        <v>0.8441558441558441</v>
      </c>
      <c r="G6" s="14">
        <f t="shared" si="0"/>
        <v>0.83449883449883455</v>
      </c>
    </row>
    <row r="7" spans="1:7" ht="15" customHeight="1" x14ac:dyDescent="0.25">
      <c r="A7" s="15" t="s">
        <v>2</v>
      </c>
      <c r="B7" s="16">
        <f>B5-B6</f>
        <v>600000</v>
      </c>
      <c r="C7" s="16">
        <f>C5-C6</f>
        <v>568000</v>
      </c>
      <c r="E7" s="15" t="s">
        <v>2</v>
      </c>
      <c r="F7" s="17">
        <f t="shared" si="0"/>
        <v>0.15584415584415584</v>
      </c>
      <c r="G7" s="17">
        <f t="shared" si="0"/>
        <v>0.1655011655011655</v>
      </c>
    </row>
    <row r="8" spans="1:7" ht="15" customHeight="1" x14ac:dyDescent="0.25">
      <c r="A8" s="10" t="s">
        <v>8</v>
      </c>
      <c r="B8" s="12">
        <v>330300</v>
      </c>
      <c r="C8" s="12">
        <v>240000</v>
      </c>
      <c r="E8" s="10" t="s">
        <v>8</v>
      </c>
      <c r="F8" s="13">
        <f t="shared" si="0"/>
        <v>8.5792207792207795E-2</v>
      </c>
      <c r="G8" s="13">
        <f t="shared" si="0"/>
        <v>6.9930069930069935E-2</v>
      </c>
    </row>
    <row r="9" spans="1:7" ht="15" customHeight="1" x14ac:dyDescent="0.25">
      <c r="A9" s="10" t="s">
        <v>9</v>
      </c>
      <c r="B9" s="12">
        <v>100000</v>
      </c>
      <c r="C9" s="12">
        <f>B9</f>
        <v>100000</v>
      </c>
      <c r="E9" s="10" t="s">
        <v>9</v>
      </c>
      <c r="F9" s="13">
        <f t="shared" si="0"/>
        <v>2.5974025974025976E-2</v>
      </c>
      <c r="G9" s="13">
        <f t="shared" si="0"/>
        <v>2.9137529137529136E-2</v>
      </c>
    </row>
    <row r="10" spans="1:7" ht="15" customHeight="1" x14ac:dyDescent="0.25">
      <c r="A10" s="10" t="s">
        <v>10</v>
      </c>
      <c r="B10" s="12">
        <v>20000</v>
      </c>
      <c r="C10" s="12">
        <v>18900</v>
      </c>
      <c r="E10" s="10" t="s">
        <v>10</v>
      </c>
      <c r="F10" s="14">
        <f t="shared" si="0"/>
        <v>5.1948051948051948E-3</v>
      </c>
      <c r="G10" s="14">
        <f t="shared" si="0"/>
        <v>5.5069930069930068E-3</v>
      </c>
    </row>
    <row r="11" spans="1:7" ht="15" customHeight="1" x14ac:dyDescent="0.25">
      <c r="A11" s="15" t="s">
        <v>11</v>
      </c>
      <c r="B11" s="18">
        <f>B7-B8-B9-B10</f>
        <v>149700</v>
      </c>
      <c r="C11" s="18">
        <f>C7-C8-C9-C10</f>
        <v>209100</v>
      </c>
      <c r="E11" s="15" t="s">
        <v>11</v>
      </c>
      <c r="F11" s="17">
        <f t="shared" si="0"/>
        <v>3.8883116883116881E-2</v>
      </c>
      <c r="G11" s="17">
        <f t="shared" si="0"/>
        <v>6.0926573426573427E-2</v>
      </c>
    </row>
    <row r="12" spans="1:7" ht="15" customHeight="1" x14ac:dyDescent="0.25">
      <c r="A12" s="10" t="s">
        <v>12</v>
      </c>
      <c r="B12" s="12">
        <v>76000</v>
      </c>
      <c r="C12" s="12">
        <v>62500</v>
      </c>
      <c r="E12" s="10" t="s">
        <v>12</v>
      </c>
      <c r="F12" s="14">
        <f t="shared" si="0"/>
        <v>1.9740259740259742E-2</v>
      </c>
      <c r="G12" s="14">
        <f t="shared" si="0"/>
        <v>1.8210955710955712E-2</v>
      </c>
    </row>
    <row r="13" spans="1:7" ht="15" customHeight="1" x14ac:dyDescent="0.25">
      <c r="A13" s="15" t="s">
        <v>13</v>
      </c>
      <c r="B13" s="16">
        <f>B11-B12</f>
        <v>73700</v>
      </c>
      <c r="C13" s="16">
        <f>C11-C12</f>
        <v>146600</v>
      </c>
      <c r="E13" s="15" t="s">
        <v>13</v>
      </c>
      <c r="F13" s="17">
        <f t="shared" si="0"/>
        <v>1.9142857142857142E-2</v>
      </c>
      <c r="G13" s="17">
        <f t="shared" si="0"/>
        <v>4.2715617715617715E-2</v>
      </c>
    </row>
    <row r="14" spans="1:7" ht="15" customHeight="1" x14ac:dyDescent="0.25">
      <c r="A14" s="10" t="s">
        <v>14</v>
      </c>
      <c r="B14" s="19">
        <f>B13*$B$18</f>
        <v>15477</v>
      </c>
      <c r="C14" s="19">
        <f>C13*$B$18</f>
        <v>30786</v>
      </c>
      <c r="E14" s="10" t="s">
        <v>14</v>
      </c>
      <c r="F14" s="14">
        <f>B14/B$5</f>
        <v>4.0200000000000001E-3</v>
      </c>
      <c r="G14" s="14">
        <f t="shared" si="0"/>
        <v>8.9702797202797207E-3</v>
      </c>
    </row>
    <row r="15" spans="1:7" ht="15" customHeight="1" thickBot="1" x14ac:dyDescent="0.3">
      <c r="A15" s="20" t="s">
        <v>15</v>
      </c>
      <c r="B15" s="21">
        <f>B13-B14</f>
        <v>58223</v>
      </c>
      <c r="C15" s="21">
        <f>C13-C14</f>
        <v>115814</v>
      </c>
      <c r="E15" s="20" t="s">
        <v>15</v>
      </c>
      <c r="F15" s="22">
        <f t="shared" si="0"/>
        <v>1.5122857142857143E-2</v>
      </c>
      <c r="G15" s="22">
        <f t="shared" si="0"/>
        <v>3.3745337995337993E-2</v>
      </c>
    </row>
    <row r="16" spans="1:7" ht="14.4" thickTop="1" x14ac:dyDescent="0.25"/>
    <row r="17" spans="1:7" x14ac:dyDescent="0.25">
      <c r="A17" s="11" t="s">
        <v>16</v>
      </c>
      <c r="E17" s="11"/>
    </row>
    <row r="18" spans="1:7" x14ac:dyDescent="0.25">
      <c r="A18" s="10" t="s">
        <v>17</v>
      </c>
      <c r="B18" s="23">
        <v>0.21</v>
      </c>
      <c r="C18" s="24"/>
      <c r="F18" s="23"/>
      <c r="G18" s="24"/>
    </row>
    <row r="19" spans="1:7" x14ac:dyDescent="0.25">
      <c r="B19" s="24"/>
      <c r="C19" s="24"/>
    </row>
    <row r="20" spans="1:7" x14ac:dyDescent="0.25">
      <c r="B20" s="25"/>
      <c r="C20" s="25"/>
    </row>
    <row r="21" spans="1:7" x14ac:dyDescent="0.25">
      <c r="B21" s="24"/>
      <c r="C21" s="24"/>
    </row>
    <row r="22" spans="1:7" x14ac:dyDescent="0.25">
      <c r="B22" s="25"/>
      <c r="C22" s="25"/>
    </row>
    <row r="23" spans="1:7" x14ac:dyDescent="0.25">
      <c r="B23" s="24"/>
      <c r="C23" s="24"/>
    </row>
  </sheetData>
  <mergeCells count="6">
    <mergeCell ref="A1:C1"/>
    <mergeCell ref="E1:G1"/>
    <mergeCell ref="A2:C2"/>
    <mergeCell ref="E2:G2"/>
    <mergeCell ref="A3:C3"/>
    <mergeCell ref="E3:G3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B507-54D9-4864-A670-BA43EB802D05}">
  <dimension ref="A1:AL63"/>
  <sheetViews>
    <sheetView showGridLines="0" workbookViewId="0">
      <selection activeCell="E19" sqref="E19"/>
    </sheetView>
  </sheetViews>
  <sheetFormatPr defaultColWidth="9.109375" defaultRowHeight="13.2" x14ac:dyDescent="0.25"/>
  <cols>
    <col min="1" max="1" width="9.109375" style="27" customWidth="1"/>
    <col min="2" max="2" width="29.33203125" style="27" customWidth="1"/>
    <col min="3" max="3" width="10.44140625" style="27" customWidth="1"/>
    <col min="4" max="4" width="3.77734375" style="27" customWidth="1"/>
    <col min="5" max="5" width="23.88671875" style="27" customWidth="1"/>
    <col min="6" max="6" width="13.6640625" style="27" customWidth="1"/>
    <col min="7" max="7" width="2.5546875" style="27" customWidth="1"/>
    <col min="8" max="16384" width="9.109375" style="27"/>
  </cols>
  <sheetData>
    <row r="1" spans="2:11" ht="16.2" thickBot="1" x14ac:dyDescent="0.35">
      <c r="C1" s="28"/>
      <c r="D1" s="26"/>
      <c r="E1" s="26"/>
      <c r="F1" s="26"/>
      <c r="G1" s="26"/>
    </row>
    <row r="2" spans="2:11" ht="15.6" x14ac:dyDescent="0.3">
      <c r="B2" s="57" t="s">
        <v>18</v>
      </c>
      <c r="C2" s="58"/>
      <c r="D2" s="58"/>
      <c r="E2" s="58"/>
      <c r="F2" s="58"/>
      <c r="G2" s="59"/>
      <c r="H2" s="26"/>
      <c r="I2" s="26"/>
    </row>
    <row r="3" spans="2:11" ht="15.6" x14ac:dyDescent="0.3">
      <c r="B3" s="60" t="s">
        <v>19</v>
      </c>
      <c r="C3" s="61"/>
      <c r="D3" s="61"/>
      <c r="E3" s="61"/>
      <c r="F3" s="61"/>
      <c r="G3" s="62"/>
      <c r="H3" s="26"/>
      <c r="I3" s="26"/>
    </row>
    <row r="4" spans="2:11" ht="15" x14ac:dyDescent="0.25">
      <c r="B4" s="63" t="s">
        <v>20</v>
      </c>
      <c r="C4" s="64"/>
      <c r="D4" s="64"/>
      <c r="E4" s="64" t="s">
        <v>21</v>
      </c>
      <c r="F4" s="64"/>
      <c r="G4" s="65"/>
      <c r="H4" s="26"/>
      <c r="I4" s="26"/>
    </row>
    <row r="5" spans="2:11" ht="15" x14ac:dyDescent="0.25">
      <c r="B5" s="29"/>
      <c r="C5" s="27" t="s">
        <v>22</v>
      </c>
      <c r="F5" s="27" t="s">
        <v>22</v>
      </c>
      <c r="G5" s="30"/>
      <c r="H5" s="26"/>
      <c r="I5" s="26"/>
    </row>
    <row r="6" spans="2:11" ht="15.6" x14ac:dyDescent="0.3">
      <c r="B6" s="29" t="s">
        <v>23</v>
      </c>
      <c r="C6" s="31"/>
      <c r="E6" s="27" t="s">
        <v>24</v>
      </c>
      <c r="G6" s="30"/>
      <c r="H6" s="26"/>
      <c r="I6" s="26"/>
    </row>
    <row r="7" spans="2:11" ht="15.6" x14ac:dyDescent="0.3">
      <c r="B7" s="32" t="s">
        <v>25</v>
      </c>
      <c r="C7" s="31">
        <v>2950</v>
      </c>
      <c r="D7" s="33"/>
      <c r="E7" s="34" t="s">
        <v>26</v>
      </c>
      <c r="F7" s="31">
        <v>2400</v>
      </c>
      <c r="G7" s="35"/>
      <c r="H7" s="26"/>
      <c r="I7" s="26"/>
    </row>
    <row r="8" spans="2:11" ht="15.6" x14ac:dyDescent="0.3">
      <c r="B8" s="32" t="s">
        <v>27</v>
      </c>
      <c r="C8" s="31">
        <v>4100</v>
      </c>
      <c r="D8" s="33"/>
      <c r="E8" s="34" t="s">
        <v>28</v>
      </c>
      <c r="F8" s="36">
        <v>5400</v>
      </c>
      <c r="G8" s="37"/>
      <c r="H8" s="26"/>
      <c r="I8" s="26"/>
    </row>
    <row r="9" spans="2:11" ht="15.6" x14ac:dyDescent="0.3">
      <c r="B9" s="32" t="s">
        <v>29</v>
      </c>
      <c r="C9" s="36">
        <v>6400</v>
      </c>
      <c r="D9" s="33"/>
      <c r="E9" s="38" t="s">
        <v>30</v>
      </c>
      <c r="F9" s="39">
        <f>F7+F8</f>
        <v>7800</v>
      </c>
      <c r="G9" s="37"/>
      <c r="H9" s="26"/>
      <c r="I9" s="26"/>
    </row>
    <row r="10" spans="2:11" ht="15.6" x14ac:dyDescent="0.3">
      <c r="B10" s="40" t="s">
        <v>31</v>
      </c>
      <c r="C10" s="41">
        <f>C7+C8+C9</f>
        <v>13450</v>
      </c>
      <c r="D10" s="33"/>
      <c r="E10" s="27" t="s">
        <v>32</v>
      </c>
      <c r="F10" s="31">
        <v>28000</v>
      </c>
      <c r="G10" s="37"/>
      <c r="H10" s="26"/>
      <c r="I10" s="26"/>
    </row>
    <row r="11" spans="2:11" ht="15.6" x14ac:dyDescent="0.3">
      <c r="B11" s="42" t="s">
        <v>33</v>
      </c>
      <c r="C11" s="31"/>
      <c r="F11" s="31"/>
      <c r="G11" s="37"/>
      <c r="H11" s="26"/>
      <c r="I11" s="26"/>
    </row>
    <row r="12" spans="2:11" ht="15.6" x14ac:dyDescent="0.3">
      <c r="B12" s="32" t="s">
        <v>34</v>
      </c>
      <c r="C12" s="36">
        <v>41300</v>
      </c>
      <c r="D12" s="33"/>
      <c r="E12" s="27" t="s">
        <v>35</v>
      </c>
      <c r="F12" s="31"/>
      <c r="G12" s="37"/>
      <c r="H12" s="26"/>
      <c r="I12" s="26"/>
    </row>
    <row r="13" spans="2:11" ht="15.6" x14ac:dyDescent="0.3">
      <c r="B13" s="29"/>
      <c r="E13" s="34" t="s">
        <v>36</v>
      </c>
      <c r="F13" s="31">
        <v>15000</v>
      </c>
      <c r="G13" s="37"/>
      <c r="H13" s="26"/>
      <c r="I13" s="43"/>
    </row>
    <row r="14" spans="2:11" ht="15.6" x14ac:dyDescent="0.3">
      <c r="B14" s="29"/>
      <c r="E14" s="34" t="s">
        <v>37</v>
      </c>
      <c r="F14" s="36">
        <v>3950</v>
      </c>
      <c r="G14" s="37"/>
      <c r="H14" s="26"/>
      <c r="I14" s="43"/>
      <c r="J14" s="26"/>
    </row>
    <row r="15" spans="2:11" ht="15.6" x14ac:dyDescent="0.3">
      <c r="B15" s="29"/>
      <c r="E15" s="44" t="s">
        <v>38</v>
      </c>
      <c r="F15" s="45">
        <f>F13+F14</f>
        <v>18950</v>
      </c>
      <c r="G15" s="37"/>
      <c r="H15" s="26"/>
      <c r="I15" s="43"/>
      <c r="J15" s="26"/>
      <c r="K15" s="46"/>
    </row>
    <row r="16" spans="2:11" ht="16.2" thickBot="1" x14ac:dyDescent="0.35">
      <c r="B16" s="47" t="s">
        <v>39</v>
      </c>
      <c r="C16" s="48">
        <f>C10+C12</f>
        <v>54750</v>
      </c>
      <c r="D16" s="49"/>
      <c r="E16" s="50" t="s">
        <v>40</v>
      </c>
      <c r="F16" s="51">
        <f>F9+F10+F15</f>
        <v>54750</v>
      </c>
      <c r="G16" s="52"/>
      <c r="H16" s="26"/>
      <c r="I16" s="43"/>
      <c r="J16" s="26"/>
      <c r="K16" s="53"/>
    </row>
    <row r="17" spans="1:38" ht="15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</row>
    <row r="18" spans="1:38" ht="15.6" x14ac:dyDescent="0.3">
      <c r="A18" s="26"/>
      <c r="B18" s="54" t="s">
        <v>41</v>
      </c>
      <c r="C18" s="55"/>
      <c r="D18" s="55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</row>
    <row r="19" spans="1:38" ht="15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</row>
    <row r="20" spans="1:38" ht="15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</row>
    <row r="21" spans="1:38" ht="15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</row>
    <row r="22" spans="1:38" ht="15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</row>
    <row r="23" spans="1:38" ht="15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</row>
    <row r="24" spans="1:38" ht="15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</row>
    <row r="25" spans="1:38" ht="15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</row>
    <row r="26" spans="1:38" ht="15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</row>
    <row r="27" spans="1:38" ht="15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</row>
    <row r="28" spans="1:38" ht="15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</row>
    <row r="29" spans="1:38" ht="15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</row>
    <row r="30" spans="1:38" ht="15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</row>
    <row r="31" spans="1:38" ht="15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</row>
    <row r="32" spans="1:38" ht="15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</row>
    <row r="33" spans="1:38" ht="15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</row>
    <row r="34" spans="1:38" ht="15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</row>
    <row r="35" spans="1:38" ht="15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</row>
    <row r="36" spans="1:38" ht="15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</row>
    <row r="37" spans="1:38" ht="15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</row>
    <row r="38" spans="1:38" ht="15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</row>
    <row r="39" spans="1:38" ht="15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</row>
    <row r="40" spans="1:38" ht="15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</row>
    <row r="41" spans="1:38" ht="15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</row>
    <row r="42" spans="1:38" ht="15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</row>
    <row r="43" spans="1:38" ht="15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</row>
    <row r="44" spans="1:38" ht="15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</row>
    <row r="45" spans="1:38" ht="15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</row>
    <row r="46" spans="1:38" ht="15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</row>
    <row r="47" spans="1:38" ht="15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</row>
    <row r="48" spans="1:38" ht="15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</row>
    <row r="49" spans="1:38" ht="15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</row>
    <row r="50" spans="1:38" ht="15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</row>
    <row r="51" spans="1:38" ht="15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</row>
    <row r="52" spans="1:38" ht="15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</row>
    <row r="53" spans="1:38" ht="15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</row>
    <row r="54" spans="1:38" ht="15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</row>
    <row r="55" spans="1:38" ht="15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</row>
    <row r="56" spans="1:38" ht="15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</row>
    <row r="57" spans="1:38" ht="15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</row>
    <row r="58" spans="1:38" ht="15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</row>
    <row r="59" spans="1:38" ht="15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</row>
    <row r="60" spans="1:38" ht="15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</row>
    <row r="61" spans="1:38" ht="15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</row>
    <row r="62" spans="1:38" ht="15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</row>
    <row r="63" spans="1:38" ht="15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</row>
  </sheetData>
  <mergeCells count="4">
    <mergeCell ref="B2:G2"/>
    <mergeCell ref="B3:G3"/>
    <mergeCell ref="B4:D4"/>
    <mergeCell ref="E4:G4"/>
  </mergeCells>
  <pageMargins left="0.75" right="0.75" top="1" bottom="1" header="0.5" footer="0.5"/>
  <pageSetup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32DD4-1A4B-4643-AEAE-DC6A5BEF0551}">
  <dimension ref="B2:F13"/>
  <sheetViews>
    <sheetView workbookViewId="0">
      <selection activeCell="C11" sqref="C11"/>
    </sheetView>
  </sheetViews>
  <sheetFormatPr defaultRowHeight="14.4" x14ac:dyDescent="0.3"/>
  <cols>
    <col min="2" max="2" width="16.5546875" bestFit="1" customWidth="1"/>
  </cols>
  <sheetData>
    <row r="2" spans="2:6" x14ac:dyDescent="0.3">
      <c r="C2" s="2">
        <v>2005</v>
      </c>
      <c r="D2" s="2">
        <v>2006</v>
      </c>
      <c r="E2" s="2">
        <v>2007</v>
      </c>
      <c r="F2" s="2">
        <v>2008</v>
      </c>
    </row>
    <row r="3" spans="2:6" x14ac:dyDescent="0.3">
      <c r="B3" t="s">
        <v>0</v>
      </c>
      <c r="C3" s="3"/>
      <c r="D3" s="3"/>
      <c r="E3" s="3"/>
      <c r="F3" s="3"/>
    </row>
    <row r="4" spans="2:6" x14ac:dyDescent="0.3">
      <c r="B4" t="s">
        <v>1</v>
      </c>
      <c r="C4" s="3"/>
      <c r="D4" s="3"/>
      <c r="E4" s="3"/>
      <c r="F4" s="3"/>
    </row>
    <row r="5" spans="2:6" x14ac:dyDescent="0.3">
      <c r="B5" t="s">
        <v>2</v>
      </c>
      <c r="C5" s="5"/>
      <c r="D5" s="5"/>
      <c r="E5" s="5"/>
      <c r="F5" s="5"/>
    </row>
    <row r="10" spans="2:6" x14ac:dyDescent="0.3">
      <c r="C10" s="2">
        <v>2005</v>
      </c>
      <c r="D10" s="2">
        <v>2006</v>
      </c>
      <c r="E10" s="2">
        <v>2007</v>
      </c>
      <c r="F10" s="2">
        <v>2008</v>
      </c>
    </row>
    <row r="11" spans="2:6" x14ac:dyDescent="0.3">
      <c r="B11" t="s">
        <v>0</v>
      </c>
      <c r="C11" s="3">
        <f>SUM(Sheet1:Sheet3!C11)</f>
        <v>2200</v>
      </c>
      <c r="D11" s="3">
        <f>SUM(Sheet1:Sheet3!D11)</f>
        <v>3250</v>
      </c>
      <c r="E11" s="3">
        <f>SUM(Sheet1:Sheet3!E11)</f>
        <v>5300</v>
      </c>
      <c r="F11" s="3">
        <f>SUM(Sheet1:Sheet3!F11)</f>
        <v>9350</v>
      </c>
    </row>
    <row r="12" spans="2:6" x14ac:dyDescent="0.3">
      <c r="B12" t="s">
        <v>1</v>
      </c>
      <c r="C12" s="3">
        <f>SUM(Sheet1:Sheet3!C12)</f>
        <v>1100</v>
      </c>
      <c r="D12" s="3">
        <f>SUM(Sheet1:Sheet3!D12)</f>
        <v>2520</v>
      </c>
      <c r="E12" s="3">
        <f>SUM(Sheet1:Sheet3!E12)</f>
        <v>6940</v>
      </c>
      <c r="F12" s="3">
        <f>SUM(Sheet1:Sheet3!F12)</f>
        <v>8160</v>
      </c>
    </row>
    <row r="13" spans="2:6" x14ac:dyDescent="0.3">
      <c r="B13" t="s">
        <v>2</v>
      </c>
      <c r="C13" s="5">
        <f>C11-C12</f>
        <v>1100</v>
      </c>
      <c r="D13" s="5">
        <f t="shared" ref="D13:F13" si="0">D11-D12</f>
        <v>730</v>
      </c>
      <c r="E13" s="5">
        <f t="shared" si="0"/>
        <v>-1640</v>
      </c>
      <c r="F13" s="5">
        <f t="shared" si="0"/>
        <v>1190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724F0-292C-4108-8CA7-A361B3979B92}">
  <sheetPr>
    <pageSetUpPr fitToPage="1"/>
  </sheetPr>
  <dimension ref="B1:C21"/>
  <sheetViews>
    <sheetView zoomScaleNormal="100" workbookViewId="0"/>
  </sheetViews>
  <sheetFormatPr defaultColWidth="8.77734375" defaultRowHeight="14.4" x14ac:dyDescent="0.3"/>
  <cols>
    <col min="2" max="2" width="60.109375" bestFit="1" customWidth="1"/>
    <col min="3" max="3" width="10.6640625" customWidth="1"/>
  </cols>
  <sheetData>
    <row r="1" spans="2:3" ht="15" thickBot="1" x14ac:dyDescent="0.35">
      <c r="B1" s="66" t="s">
        <v>42</v>
      </c>
      <c r="C1" s="67"/>
    </row>
    <row r="2" spans="2:3" x14ac:dyDescent="0.3">
      <c r="B2" s="68" t="s">
        <v>43</v>
      </c>
    </row>
    <row r="3" spans="2:3" x14ac:dyDescent="0.3">
      <c r="B3" t="s">
        <v>44</v>
      </c>
      <c r="C3" s="69">
        <v>25</v>
      </c>
    </row>
    <row r="4" spans="2:3" x14ac:dyDescent="0.3">
      <c r="B4" t="s">
        <v>45</v>
      </c>
      <c r="C4" s="69">
        <v>17</v>
      </c>
    </row>
    <row r="6" spans="2:3" x14ac:dyDescent="0.3">
      <c r="B6" s="68" t="s">
        <v>46</v>
      </c>
      <c r="C6" s="68" t="s">
        <v>47</v>
      </c>
    </row>
    <row r="7" spans="2:3" x14ac:dyDescent="0.3">
      <c r="B7" t="s">
        <v>48</v>
      </c>
      <c r="C7" s="70"/>
    </row>
    <row r="8" spans="2:3" x14ac:dyDescent="0.3">
      <c r="B8" t="s">
        <v>49</v>
      </c>
      <c r="C8" s="71"/>
    </row>
    <row r="9" spans="2:3" x14ac:dyDescent="0.3">
      <c r="B9" t="s">
        <v>50</v>
      </c>
      <c r="C9" s="72"/>
    </row>
    <row r="11" spans="2:3" ht="15" thickBot="1" x14ac:dyDescent="0.35">
      <c r="B11" s="66" t="s">
        <v>51</v>
      </c>
      <c r="C11" s="67"/>
    </row>
    <row r="12" spans="2:3" x14ac:dyDescent="0.3">
      <c r="B12" s="68" t="s">
        <v>43</v>
      </c>
    </row>
    <row r="13" spans="2:3" x14ac:dyDescent="0.3">
      <c r="B13" t="s">
        <v>52</v>
      </c>
      <c r="C13" s="69">
        <v>300</v>
      </c>
    </row>
    <row r="14" spans="2:3" x14ac:dyDescent="0.3">
      <c r="B14" t="s">
        <v>53</v>
      </c>
      <c r="C14" s="69">
        <v>400</v>
      </c>
    </row>
    <row r="16" spans="2:3" x14ac:dyDescent="0.3">
      <c r="B16" t="s">
        <v>54</v>
      </c>
      <c r="C16" s="69">
        <v>50</v>
      </c>
    </row>
    <row r="17" spans="2:3" x14ac:dyDescent="0.3">
      <c r="B17" t="s">
        <v>55</v>
      </c>
      <c r="C17" s="69">
        <v>60</v>
      </c>
    </row>
    <row r="19" spans="2:3" x14ac:dyDescent="0.3">
      <c r="B19" s="68" t="s">
        <v>46</v>
      </c>
      <c r="C19" s="68" t="s">
        <v>47</v>
      </c>
    </row>
    <row r="20" spans="2:3" x14ac:dyDescent="0.3">
      <c r="B20" t="s">
        <v>56</v>
      </c>
      <c r="C20" s="70"/>
    </row>
    <row r="21" spans="2:3" x14ac:dyDescent="0.3">
      <c r="B21" t="s">
        <v>57</v>
      </c>
      <c r="C21" s="7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B559F-E98B-4931-8879-2B5F7CFE75ED}">
  <sheetPr>
    <pageSetUpPr fitToPage="1"/>
  </sheetPr>
  <dimension ref="B1:D21"/>
  <sheetViews>
    <sheetView zoomScaleNormal="100" workbookViewId="0"/>
  </sheetViews>
  <sheetFormatPr defaultColWidth="9.109375" defaultRowHeight="14.4" x14ac:dyDescent="0.3"/>
  <cols>
    <col min="2" max="2" width="60.109375" bestFit="1" customWidth="1"/>
    <col min="3" max="3" width="10.6640625" customWidth="1"/>
  </cols>
  <sheetData>
    <row r="1" spans="2:4" ht="15" thickBot="1" x14ac:dyDescent="0.35">
      <c r="B1" s="66" t="s">
        <v>42</v>
      </c>
      <c r="C1" s="67"/>
    </row>
    <row r="2" spans="2:4" x14ac:dyDescent="0.3">
      <c r="B2" s="68" t="s">
        <v>43</v>
      </c>
    </row>
    <row r="3" spans="2:4" x14ac:dyDescent="0.3">
      <c r="B3" t="s">
        <v>44</v>
      </c>
      <c r="C3" s="69">
        <v>25</v>
      </c>
    </row>
    <row r="4" spans="2:4" x14ac:dyDescent="0.3">
      <c r="B4" t="s">
        <v>45</v>
      </c>
      <c r="C4" s="69">
        <v>17</v>
      </c>
    </row>
    <row r="6" spans="2:4" x14ac:dyDescent="0.3">
      <c r="B6" s="68" t="s">
        <v>46</v>
      </c>
      <c r="C6" s="68" t="s">
        <v>47</v>
      </c>
    </row>
    <row r="7" spans="2:4" x14ac:dyDescent="0.3">
      <c r="B7" t="s">
        <v>48</v>
      </c>
      <c r="C7" s="70" t="str">
        <f>IF(C3&gt;=18,"yes","no")</f>
        <v>yes</v>
      </c>
    </row>
    <row r="8" spans="2:4" x14ac:dyDescent="0.3">
      <c r="B8" t="s">
        <v>49</v>
      </c>
      <c r="C8" s="71">
        <f>IF(C7="yes",C3-18,0)</f>
        <v>7</v>
      </c>
    </row>
    <row r="9" spans="2:4" x14ac:dyDescent="0.3">
      <c r="B9" t="s">
        <v>50</v>
      </c>
      <c r="C9" s="72" t="str">
        <f>IF(C7="yes",IF(C4&gt;=18,"yes","no"),"no")</f>
        <v>no</v>
      </c>
      <c r="D9" t="str">
        <f>IF(AND(C7="yes",C4&gt;=18),"yes","no")</f>
        <v>no</v>
      </c>
    </row>
    <row r="11" spans="2:4" ht="15" thickBot="1" x14ac:dyDescent="0.35">
      <c r="B11" s="66" t="s">
        <v>51</v>
      </c>
      <c r="C11" s="67"/>
    </row>
    <row r="12" spans="2:4" x14ac:dyDescent="0.3">
      <c r="B12" s="68" t="s">
        <v>43</v>
      </c>
    </row>
    <row r="13" spans="2:4" x14ac:dyDescent="0.3">
      <c r="B13" t="s">
        <v>52</v>
      </c>
      <c r="C13" s="69">
        <v>300</v>
      </c>
    </row>
    <row r="14" spans="2:4" x14ac:dyDescent="0.3">
      <c r="B14" t="s">
        <v>53</v>
      </c>
      <c r="C14" s="69">
        <v>400</v>
      </c>
    </row>
    <row r="16" spans="2:4" x14ac:dyDescent="0.3">
      <c r="B16" t="s">
        <v>54</v>
      </c>
      <c r="C16" s="69">
        <v>50</v>
      </c>
    </row>
    <row r="17" spans="2:3" x14ac:dyDescent="0.3">
      <c r="B17" t="s">
        <v>55</v>
      </c>
      <c r="C17" s="69">
        <v>60</v>
      </c>
    </row>
    <row r="19" spans="2:3" x14ac:dyDescent="0.3">
      <c r="B19" s="68" t="s">
        <v>46</v>
      </c>
      <c r="C19" s="68" t="s">
        <v>47</v>
      </c>
    </row>
    <row r="20" spans="2:3" x14ac:dyDescent="0.3">
      <c r="B20" t="s">
        <v>56</v>
      </c>
      <c r="C20" s="70" t="str">
        <f>IF(C14&gt;C13,"yes","no")</f>
        <v>yes</v>
      </c>
    </row>
    <row r="21" spans="2:3" x14ac:dyDescent="0.3">
      <c r="B21" t="s">
        <v>57</v>
      </c>
      <c r="C21" s="71" t="str">
        <f>IF(AND(C20="yes",C17&gt;C16),"yes","no")</f>
        <v>yes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C226-D21A-425D-8AB6-072EE74A4810}">
  <sheetPr>
    <pageSetUpPr fitToPage="1"/>
  </sheetPr>
  <dimension ref="B2:E5"/>
  <sheetViews>
    <sheetView zoomScaleNormal="100" workbookViewId="0">
      <selection activeCell="C5" sqref="C5:D5"/>
    </sheetView>
  </sheetViews>
  <sheetFormatPr defaultColWidth="8.77734375" defaultRowHeight="14.4" x14ac:dyDescent="0.3"/>
  <cols>
    <col min="2" max="2" width="22.44140625" bestFit="1" customWidth="1"/>
    <col min="3" max="5" width="9.109375" customWidth="1"/>
  </cols>
  <sheetData>
    <row r="2" spans="2:5" x14ac:dyDescent="0.3">
      <c r="C2" s="73">
        <v>2014</v>
      </c>
      <c r="D2" s="73">
        <f>C2+1</f>
        <v>2015</v>
      </c>
      <c r="E2" s="73">
        <f>D2+1</f>
        <v>2016</v>
      </c>
    </row>
    <row r="3" spans="2:5" x14ac:dyDescent="0.3">
      <c r="B3" t="s">
        <v>58</v>
      </c>
      <c r="C3" s="74">
        <v>1500</v>
      </c>
      <c r="D3" s="74">
        <v>1850</v>
      </c>
      <c r="E3" s="74">
        <v>2130</v>
      </c>
    </row>
    <row r="4" spans="2:5" x14ac:dyDescent="0.3">
      <c r="B4" t="s">
        <v>59</v>
      </c>
      <c r="C4" s="75">
        <v>0</v>
      </c>
      <c r="D4" s="75">
        <v>50</v>
      </c>
      <c r="E4" s="75">
        <v>75</v>
      </c>
    </row>
    <row r="5" spans="2:5" x14ac:dyDescent="0.3">
      <c r="B5" t="s">
        <v>60</v>
      </c>
      <c r="C5" s="76"/>
      <c r="D5" s="77"/>
      <c r="E5" s="7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Sheet1</vt:lpstr>
      <vt:lpstr>Sheet2</vt:lpstr>
      <vt:lpstr>Sheet3</vt:lpstr>
      <vt:lpstr>Income Statement</vt:lpstr>
      <vt:lpstr>IF Statement</vt:lpstr>
      <vt:lpstr>3D</vt:lpstr>
      <vt:lpstr>IF</vt:lpstr>
      <vt:lpstr>IF_ans</vt:lpstr>
      <vt:lpstr>IFERROR</vt:lpstr>
      <vt:lpstr>IFERROR_ans</vt:lpstr>
      <vt:lpstr>EOMONTH</vt:lpstr>
      <vt:lpstr>EDATE</vt:lpstr>
      <vt:lpstr>YEARFRAC</vt:lpstr>
      <vt:lpstr>DATE</vt:lpstr>
      <vt:lpstr>Other Useful Functions</vt:lpstr>
      <vt:lpstr>Other Useful Functions_ans</vt:lpstr>
      <vt:lpstr>DATE!COGS2004</vt:lpstr>
      <vt:lpstr>EDATE!COGS2004</vt:lpstr>
      <vt:lpstr>EOMONTH!COGS2004</vt:lpstr>
      <vt:lpstr>YEARFRAC!COGS2004</vt:lpstr>
      <vt:lpstr>DATE!GP</vt:lpstr>
      <vt:lpstr>EDATE!GP</vt:lpstr>
      <vt:lpstr>YEARFRAC!GP</vt:lpstr>
      <vt:lpstr>GP</vt:lpstr>
      <vt:lpstr>'Income Statement'!Print_Area</vt:lpstr>
      <vt:lpstr>DATE!Revenues2004</vt:lpstr>
      <vt:lpstr>EDATE!Revenues2004</vt:lpstr>
      <vt:lpstr>EOMONTH!Revenues2004</vt:lpstr>
      <vt:lpstr>YEARFRAC!Revenues2004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Hernandez</dc:creator>
  <cp:lastModifiedBy>Esteban Hernandez</cp:lastModifiedBy>
  <dcterms:created xsi:type="dcterms:W3CDTF">2023-02-22T00:27:59Z</dcterms:created>
  <dcterms:modified xsi:type="dcterms:W3CDTF">2023-02-22T21:52:09Z</dcterms:modified>
</cp:coreProperties>
</file>