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olors3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D5A50897-E0A8-4DBB-A9F2-473A84A3FBA6}" xr6:coauthVersionLast="47" xr6:coauthVersionMax="47" xr10:uidLastSave="{00000000-0000-0000-0000-000000000000}"/>
  <bookViews>
    <workbookView xWindow="-110" yWindow="-110" windowWidth="18490" windowHeight="11020" firstSheet="6" activeTab="11" xr2:uid="{00000000-000D-0000-FFFF-FFFF00000000}"/>
  </bookViews>
  <sheets>
    <sheet name="Cover" sheetId="18" r:id="rId1"/>
    <sheet name="Income Approach" sheetId="10" r:id="rId2"/>
    <sheet name="SBUX_BS" sheetId="15" r:id="rId3"/>
    <sheet name="SBUX_Income Statement" sheetId="16" r:id="rId4"/>
    <sheet name="SBUX_Statement of CF" sheetId="17" r:id="rId5"/>
    <sheet name="Historical Ratios" sheetId="7" r:id="rId6"/>
    <sheet name="Market Approach" sheetId="9" r:id="rId7"/>
    <sheet name="SBUX_Bonds" sheetId="20" r:id="rId8"/>
    <sheet name="Beta_monthly" sheetId="22" r:id="rId9"/>
    <sheet name="Beta_Beta Suite" sheetId="21" r:id="rId10"/>
    <sheet name="WACC" sheetId="11" r:id="rId11"/>
    <sheet name="GDP" sheetId="6" r:id="rId12"/>
  </sheets>
  <externalReferences>
    <externalReference r:id="rId13"/>
  </externalReferences>
  <definedNames>
    <definedName name="Filename">[1]Admin!$B$5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MONTH" hidden="1">15000</definedName>
    <definedName name="IQ_NAMES_REVISION_DATE_" hidden="1">40186.5803935185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khvt9cixgufwiqsm">'Beta_Beta Suite'!$A$1:$L$61</definedName>
    <definedName name="_xlnm.Print_Area" localSheetId="0">Cover!$A$1:$V$68</definedName>
    <definedName name="Scenario_Version">[1]Admin!$B$13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0" l="1"/>
  <c r="D7" i="10"/>
  <c r="E7" i="10"/>
  <c r="F70" i="10"/>
  <c r="G70" i="10" s="1"/>
  <c r="B74" i="10"/>
  <c r="B75" i="10" s="1"/>
  <c r="D55" i="10" l="1"/>
  <c r="C9" i="11" l="1"/>
  <c r="F62" i="21" l="1"/>
  <c r="K28" i="7"/>
  <c r="O7" i="9"/>
  <c r="O6" i="9"/>
  <c r="M6" i="9"/>
  <c r="M7" i="9"/>
  <c r="O2" i="9"/>
  <c r="N2" i="9"/>
  <c r="O5" i="9" s="1"/>
  <c r="O1" i="9"/>
  <c r="N1" i="9"/>
  <c r="J23" i="9"/>
  <c r="K26" i="9" s="1"/>
  <c r="O13" i="9" s="1"/>
  <c r="K15" i="9"/>
  <c r="K13" i="9"/>
  <c r="J6" i="9"/>
  <c r="J2" i="9"/>
  <c r="J5" i="9" s="1"/>
  <c r="G9" i="6"/>
  <c r="K12" i="9"/>
  <c r="K21" i="9" s="1"/>
  <c r="J12" i="9"/>
  <c r="J21" i="9" s="1"/>
  <c r="I40" i="10"/>
  <c r="A61" i="10"/>
  <c r="F46" i="10"/>
  <c r="D46" i="10"/>
  <c r="I46" i="10" s="1"/>
  <c r="C15" i="11"/>
  <c r="C4" i="11"/>
  <c r="C32" i="10"/>
  <c r="K8" i="9" s="1"/>
  <c r="J15" i="9" s="1"/>
  <c r="L4" i="20"/>
  <c r="L22" i="20" s="1"/>
  <c r="C23" i="20" s="1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3" i="20"/>
  <c r="M5" i="20"/>
  <c r="M9" i="20"/>
  <c r="M17" i="20"/>
  <c r="M19" i="20"/>
  <c r="K22" i="20"/>
  <c r="M4" i="20" s="1"/>
  <c r="O4" i="20"/>
  <c r="P4" i="20" s="1"/>
  <c r="O5" i="20"/>
  <c r="P5" i="20" s="1"/>
  <c r="O6" i="20"/>
  <c r="P6" i="20" s="1"/>
  <c r="O7" i="20"/>
  <c r="P7" i="20" s="1"/>
  <c r="O8" i="20"/>
  <c r="P8" i="20" s="1"/>
  <c r="O9" i="20"/>
  <c r="P9" i="20" s="1"/>
  <c r="O10" i="20"/>
  <c r="P10" i="20" s="1"/>
  <c r="O11" i="20"/>
  <c r="P11" i="20" s="1"/>
  <c r="O12" i="20"/>
  <c r="P12" i="20" s="1"/>
  <c r="O13" i="20"/>
  <c r="P13" i="20" s="1"/>
  <c r="O14" i="20"/>
  <c r="P14" i="20" s="1"/>
  <c r="O15" i="20"/>
  <c r="P15" i="20" s="1"/>
  <c r="O16" i="20"/>
  <c r="P16" i="20" s="1"/>
  <c r="O17" i="20"/>
  <c r="P17" i="20" s="1"/>
  <c r="O18" i="20"/>
  <c r="P18" i="20" s="1"/>
  <c r="O19" i="20"/>
  <c r="P19" i="20" s="1"/>
  <c r="O20" i="20"/>
  <c r="P20" i="20" s="1"/>
  <c r="O21" i="20"/>
  <c r="P21" i="20" s="1"/>
  <c r="O3" i="20"/>
  <c r="P3" i="20" s="1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3" i="20"/>
  <c r="D61" i="10" l="1"/>
  <c r="O8" i="9"/>
  <c r="O9" i="9" s="1"/>
  <c r="O16" i="9" s="1"/>
  <c r="K16" i="9"/>
  <c r="K7" i="9"/>
  <c r="K9" i="9" s="1"/>
  <c r="O14" i="9" s="1"/>
  <c r="J13" i="9"/>
  <c r="C3" i="11"/>
  <c r="C14" i="11"/>
  <c r="D45" i="10"/>
  <c r="I45" i="10" s="1"/>
  <c r="M13" i="20"/>
  <c r="C5" i="11"/>
  <c r="M21" i="20"/>
  <c r="M11" i="20"/>
  <c r="Q21" i="20"/>
  <c r="Q13" i="20"/>
  <c r="Q5" i="20"/>
  <c r="M18" i="20"/>
  <c r="M10" i="20"/>
  <c r="Q19" i="20"/>
  <c r="Q11" i="20"/>
  <c r="M16" i="20"/>
  <c r="M8" i="20"/>
  <c r="Q4" i="20"/>
  <c r="Q18" i="20"/>
  <c r="Q10" i="20"/>
  <c r="M3" i="20"/>
  <c r="M15" i="20"/>
  <c r="M7" i="20"/>
  <c r="Q17" i="20"/>
  <c r="Q9" i="20"/>
  <c r="M22" i="20"/>
  <c r="M14" i="20"/>
  <c r="M6" i="20"/>
  <c r="Q8" i="20"/>
  <c r="Q15" i="20"/>
  <c r="Q7" i="20"/>
  <c r="M20" i="20"/>
  <c r="M12" i="20"/>
  <c r="D22" i="10"/>
  <c r="D19" i="10"/>
  <c r="D17" i="10"/>
  <c r="E17" i="10" s="1"/>
  <c r="F17" i="10" s="1"/>
  <c r="G17" i="10" s="1"/>
  <c r="H17" i="10" s="1"/>
  <c r="I17" i="10" s="1"/>
  <c r="J17" i="10" s="1"/>
  <c r="D14" i="10"/>
  <c r="D34" i="7"/>
  <c r="D35" i="7" s="1"/>
  <c r="E34" i="7"/>
  <c r="F34" i="7"/>
  <c r="G34" i="7"/>
  <c r="C34" i="7"/>
  <c r="C35" i="7" s="1"/>
  <c r="B43" i="16"/>
  <c r="D8" i="7"/>
  <c r="E8" i="7"/>
  <c r="F8" i="7"/>
  <c r="G8" i="7"/>
  <c r="C8" i="7"/>
  <c r="D3" i="7"/>
  <c r="E3" i="7"/>
  <c r="F3" i="7"/>
  <c r="G3" i="7"/>
  <c r="H3" i="7"/>
  <c r="C3" i="7"/>
  <c r="K19" i="16"/>
  <c r="G64" i="16"/>
  <c r="G65" i="16"/>
  <c r="G63" i="16"/>
  <c r="F64" i="16"/>
  <c r="F65" i="16"/>
  <c r="F63" i="16"/>
  <c r="E64" i="16"/>
  <c r="E65" i="16"/>
  <c r="E63" i="16"/>
  <c r="D64" i="16"/>
  <c r="D65" i="16"/>
  <c r="D63" i="16"/>
  <c r="C64" i="16"/>
  <c r="C65" i="16"/>
  <c r="C63" i="16"/>
  <c r="B64" i="16"/>
  <c r="B65" i="16"/>
  <c r="B63" i="16"/>
  <c r="C62" i="16"/>
  <c r="D62" i="16" s="1"/>
  <c r="E62" i="16" s="1"/>
  <c r="F62" i="16" s="1"/>
  <c r="G62" i="16" s="1"/>
  <c r="E46" i="16"/>
  <c r="E52" i="16" s="1"/>
  <c r="C98" i="15"/>
  <c r="D98" i="15" s="1"/>
  <c r="E98" i="15" s="1"/>
  <c r="F98" i="15" s="1"/>
  <c r="G98" i="15" s="1"/>
  <c r="C94" i="15"/>
  <c r="D94" i="15" s="1"/>
  <c r="E94" i="15" s="1"/>
  <c r="F94" i="15" s="1"/>
  <c r="G94" i="15" s="1"/>
  <c r="J49" i="16"/>
  <c r="J53" i="16"/>
  <c r="J14" i="16"/>
  <c r="J15" i="16"/>
  <c r="J18" i="16"/>
  <c r="J19" i="16"/>
  <c r="J20" i="16"/>
  <c r="J21" i="16"/>
  <c r="J22" i="16"/>
  <c r="J23" i="16"/>
  <c r="J25" i="16"/>
  <c r="J30" i="16"/>
  <c r="J31" i="16"/>
  <c r="J13" i="16"/>
  <c r="J43" i="15"/>
  <c r="J42" i="15"/>
  <c r="J44" i="15"/>
  <c r="J45" i="15"/>
  <c r="J46" i="15"/>
  <c r="J47" i="15"/>
  <c r="J26" i="15"/>
  <c r="J29" i="15"/>
  <c r="J14" i="15"/>
  <c r="I30" i="16"/>
  <c r="I14" i="16"/>
  <c r="I15" i="16"/>
  <c r="I18" i="16"/>
  <c r="I19" i="16"/>
  <c r="I20" i="16"/>
  <c r="I21" i="16"/>
  <c r="I22" i="16"/>
  <c r="I25" i="16"/>
  <c r="I31" i="16"/>
  <c r="I49" i="16"/>
  <c r="I53" i="16"/>
  <c r="I13" i="16"/>
  <c r="H14" i="16"/>
  <c r="H15" i="16"/>
  <c r="H18" i="16"/>
  <c r="H19" i="16"/>
  <c r="H20" i="16"/>
  <c r="H21" i="16"/>
  <c r="H22" i="16"/>
  <c r="H25" i="16"/>
  <c r="H30" i="16"/>
  <c r="H31" i="16"/>
  <c r="H13" i="16"/>
  <c r="I26" i="15"/>
  <c r="I29" i="15"/>
  <c r="I42" i="15"/>
  <c r="I44" i="15"/>
  <c r="I45" i="15"/>
  <c r="I46" i="15"/>
  <c r="I47" i="15"/>
  <c r="I50" i="15"/>
  <c r="I65" i="15"/>
  <c r="I75" i="15"/>
  <c r="I78" i="15"/>
  <c r="I79" i="15"/>
  <c r="I80" i="15"/>
  <c r="H26" i="15"/>
  <c r="H29" i="15"/>
  <c r="H42" i="15"/>
  <c r="H44" i="15"/>
  <c r="H45" i="15"/>
  <c r="H46" i="15"/>
  <c r="H47" i="15"/>
  <c r="H50" i="15"/>
  <c r="H65" i="15"/>
  <c r="H75" i="15"/>
  <c r="H78" i="15"/>
  <c r="H79" i="15"/>
  <c r="H80" i="15"/>
  <c r="I14" i="15"/>
  <c r="H14" i="15"/>
  <c r="B86" i="15"/>
  <c r="C6" i="7" s="1"/>
  <c r="C85" i="15"/>
  <c r="C86" i="15" s="1"/>
  <c r="C88" i="15" s="1"/>
  <c r="B67" i="15"/>
  <c r="B27" i="15"/>
  <c r="B24" i="16"/>
  <c r="B16" i="16"/>
  <c r="E11" i="7"/>
  <c r="F11" i="7"/>
  <c r="G11" i="7"/>
  <c r="H11" i="7"/>
  <c r="D11" i="7"/>
  <c r="C62" i="17"/>
  <c r="D62" i="17"/>
  <c r="E62" i="17"/>
  <c r="F62" i="17"/>
  <c r="B62" i="17"/>
  <c r="E61" i="17"/>
  <c r="C61" i="17"/>
  <c r="D61" i="17"/>
  <c r="B61" i="17"/>
  <c r="C57" i="17"/>
  <c r="D57" i="17"/>
  <c r="E57" i="17"/>
  <c r="F57" i="17"/>
  <c r="B57" i="17"/>
  <c r="F45" i="17"/>
  <c r="E45" i="17"/>
  <c r="D45" i="17"/>
  <c r="C45" i="17"/>
  <c r="B45" i="17"/>
  <c r="B20" i="17"/>
  <c r="F20" i="17"/>
  <c r="E20" i="17"/>
  <c r="D14" i="17"/>
  <c r="D36" i="17" s="1"/>
  <c r="D60" i="17" s="1"/>
  <c r="G42" i="16"/>
  <c r="E42" i="16"/>
  <c r="F42" i="16"/>
  <c r="D42" i="16"/>
  <c r="C42" i="16"/>
  <c r="D38" i="16"/>
  <c r="E38" i="16"/>
  <c r="F38" i="16"/>
  <c r="G38" i="16"/>
  <c r="G43" i="16" s="1"/>
  <c r="H10" i="7" s="1"/>
  <c r="C38" i="16"/>
  <c r="J38" i="16" s="1"/>
  <c r="E34" i="16"/>
  <c r="F34" i="16"/>
  <c r="G34" i="16"/>
  <c r="D34" i="16"/>
  <c r="C34" i="16"/>
  <c r="F26" i="16"/>
  <c r="G7" i="7" s="1"/>
  <c r="G26" i="7" s="1"/>
  <c r="G24" i="16"/>
  <c r="H22" i="7" s="1"/>
  <c r="F24" i="16"/>
  <c r="G22" i="7" s="1"/>
  <c r="E24" i="16"/>
  <c r="F22" i="7" s="1"/>
  <c r="D24" i="16"/>
  <c r="E22" i="7" s="1"/>
  <c r="C24" i="16"/>
  <c r="D22" i="7" s="1"/>
  <c r="E16" i="16"/>
  <c r="D66" i="16" s="1"/>
  <c r="F16" i="16"/>
  <c r="C66" i="16" s="1"/>
  <c r="G16" i="16"/>
  <c r="F17" i="16" s="1"/>
  <c r="D16" i="16"/>
  <c r="E41" i="7" s="1"/>
  <c r="C16" i="16"/>
  <c r="C17" i="16" s="1"/>
  <c r="F85" i="15"/>
  <c r="F86" i="15" s="1"/>
  <c r="F88" i="15" s="1"/>
  <c r="G85" i="15"/>
  <c r="H85" i="15" s="1"/>
  <c r="E85" i="15"/>
  <c r="E86" i="15" s="1"/>
  <c r="E88" i="15" s="1"/>
  <c r="D85" i="15"/>
  <c r="D86" i="15" s="1"/>
  <c r="D88" i="15" s="1"/>
  <c r="G72" i="15"/>
  <c r="H72" i="15" s="1"/>
  <c r="F72" i="15"/>
  <c r="D72" i="15"/>
  <c r="F58" i="15"/>
  <c r="F67" i="15" s="1"/>
  <c r="G58" i="15"/>
  <c r="G67" i="15" s="1"/>
  <c r="G76" i="15" s="1"/>
  <c r="E58" i="15"/>
  <c r="E67" i="15" s="1"/>
  <c r="E76" i="15" s="1"/>
  <c r="D58" i="15"/>
  <c r="D67" i="15" s="1"/>
  <c r="D76" i="15" s="1"/>
  <c r="D89" i="15" s="1"/>
  <c r="E97" i="15" s="1"/>
  <c r="E99" i="15" s="1"/>
  <c r="C58" i="15"/>
  <c r="F40" i="15"/>
  <c r="G40" i="15"/>
  <c r="D40" i="15"/>
  <c r="E40" i="15"/>
  <c r="C40" i="15"/>
  <c r="D32" i="15"/>
  <c r="E32" i="15"/>
  <c r="F32" i="15"/>
  <c r="G32" i="15"/>
  <c r="C32" i="15"/>
  <c r="D25" i="15"/>
  <c r="E32" i="7" s="1"/>
  <c r="E25" i="15"/>
  <c r="F32" i="7" s="1"/>
  <c r="F25" i="15"/>
  <c r="G32" i="7" s="1"/>
  <c r="G25" i="15"/>
  <c r="H25" i="15" s="1"/>
  <c r="C25" i="15"/>
  <c r="J25" i="15" s="1"/>
  <c r="E20" i="15"/>
  <c r="F20" i="15"/>
  <c r="G20" i="15"/>
  <c r="H20" i="15" s="1"/>
  <c r="D20" i="15"/>
  <c r="C20" i="15"/>
  <c r="J20" i="15" s="1"/>
  <c r="D17" i="15"/>
  <c r="E14" i="7" s="1"/>
  <c r="E17" i="15"/>
  <c r="F36" i="7" s="1"/>
  <c r="F37" i="7" s="1"/>
  <c r="F17" i="15"/>
  <c r="G17" i="15"/>
  <c r="I17" i="15" s="1"/>
  <c r="C17" i="15"/>
  <c r="C23" i="18"/>
  <c r="M34" i="18"/>
  <c r="I4" i="6"/>
  <c r="J4" i="6"/>
  <c r="K4" i="6"/>
  <c r="L4" i="6" s="1"/>
  <c r="M4" i="6" s="1"/>
  <c r="N4" i="6" s="1"/>
  <c r="O4" i="6" s="1"/>
  <c r="P4" i="6" s="1"/>
  <c r="Q5" i="6"/>
  <c r="H5" i="6"/>
  <c r="G5" i="6"/>
  <c r="D60" i="10" l="1"/>
  <c r="K18" i="9"/>
  <c r="O15" i="9" s="1"/>
  <c r="J17" i="15"/>
  <c r="D36" i="7"/>
  <c r="D37" i="7" s="1"/>
  <c r="C36" i="7"/>
  <c r="C37" i="7" s="1"/>
  <c r="G36" i="7"/>
  <c r="G37" i="7" s="1"/>
  <c r="J37" i="7" s="1"/>
  <c r="E19" i="7"/>
  <c r="F66" i="16"/>
  <c r="H9" i="7"/>
  <c r="D9" i="7"/>
  <c r="E15" i="7"/>
  <c r="C21" i="7"/>
  <c r="E21" i="7"/>
  <c r="G23" i="7"/>
  <c r="C30" i="7"/>
  <c r="C31" i="7" s="1"/>
  <c r="D30" i="7"/>
  <c r="D31" i="7" s="1"/>
  <c r="G28" i="7"/>
  <c r="C41" i="7"/>
  <c r="D5" i="10" s="1"/>
  <c r="D41" i="7"/>
  <c r="E42" i="7"/>
  <c r="E47" i="7"/>
  <c r="C22" i="7"/>
  <c r="D18" i="10"/>
  <c r="C19" i="7"/>
  <c r="E59" i="16"/>
  <c r="F50" i="7"/>
  <c r="G9" i="7"/>
  <c r="H21" i="7"/>
  <c r="D21" i="7"/>
  <c r="F23" i="7"/>
  <c r="F25" i="7"/>
  <c r="E6" i="7"/>
  <c r="G30" i="7"/>
  <c r="C32" i="7"/>
  <c r="C33" i="7" s="1"/>
  <c r="C38" i="7" s="1"/>
  <c r="D32" i="7"/>
  <c r="D33" i="7" s="1"/>
  <c r="D38" i="7" s="1"/>
  <c r="F28" i="7"/>
  <c r="G41" i="7"/>
  <c r="C42" i="7"/>
  <c r="D42" i="7"/>
  <c r="Q12" i="20"/>
  <c r="Q3" i="20"/>
  <c r="F9" i="7"/>
  <c r="G21" i="7"/>
  <c r="C23" i="7"/>
  <c r="E23" i="7"/>
  <c r="G24" i="7"/>
  <c r="D6" i="7"/>
  <c r="F30" i="7"/>
  <c r="E28" i="7"/>
  <c r="F41" i="7"/>
  <c r="G42" i="7"/>
  <c r="J42" i="7" s="1"/>
  <c r="D20" i="10"/>
  <c r="D21" i="10" s="1"/>
  <c r="Q20" i="20"/>
  <c r="Q6" i="20"/>
  <c r="Q16" i="20"/>
  <c r="H19" i="7"/>
  <c r="B17" i="16"/>
  <c r="E36" i="7"/>
  <c r="E37" i="7" s="1"/>
  <c r="G19" i="7"/>
  <c r="I19" i="7" s="1"/>
  <c r="C67" i="15"/>
  <c r="D14" i="7" s="1"/>
  <c r="G14" i="7"/>
  <c r="F19" i="7"/>
  <c r="L20" i="15"/>
  <c r="E100" i="15"/>
  <c r="C9" i="7"/>
  <c r="E9" i="7"/>
  <c r="F21" i="7"/>
  <c r="H23" i="7"/>
  <c r="D23" i="7"/>
  <c r="F6" i="7"/>
  <c r="F17" i="7" s="1"/>
  <c r="E30" i="7"/>
  <c r="K30" i="7" s="1"/>
  <c r="C28" i="7"/>
  <c r="D28" i="7"/>
  <c r="F42" i="7"/>
  <c r="G43" i="7"/>
  <c r="G48" i="7"/>
  <c r="Q14" i="20"/>
  <c r="D9" i="10"/>
  <c r="K22" i="7"/>
  <c r="D13" i="10"/>
  <c r="J11" i="7"/>
  <c r="I11" i="7"/>
  <c r="K41" i="7"/>
  <c r="I42" i="7"/>
  <c r="K32" i="7"/>
  <c r="I41" i="7"/>
  <c r="I28" i="7"/>
  <c r="I30" i="7"/>
  <c r="J28" i="7"/>
  <c r="J32" i="7"/>
  <c r="J30" i="7"/>
  <c r="J34" i="7"/>
  <c r="I34" i="7"/>
  <c r="I32" i="7"/>
  <c r="F14" i="7"/>
  <c r="G15" i="7"/>
  <c r="F15" i="7"/>
  <c r="D19" i="7"/>
  <c r="J8" i="7"/>
  <c r="I8" i="7"/>
  <c r="G66" i="16"/>
  <c r="B26" i="16"/>
  <c r="E17" i="16"/>
  <c r="D26" i="16"/>
  <c r="I24" i="16"/>
  <c r="J16" i="16"/>
  <c r="D17" i="16"/>
  <c r="E26" i="16"/>
  <c r="J24" i="16"/>
  <c r="G26" i="16"/>
  <c r="G44" i="7" s="1"/>
  <c r="H38" i="16"/>
  <c r="B66" i="16"/>
  <c r="E43" i="16"/>
  <c r="F10" i="7" s="1"/>
  <c r="H24" i="16"/>
  <c r="K16" i="16"/>
  <c r="G44" i="16"/>
  <c r="G46" i="16" s="1"/>
  <c r="H25" i="7" s="1"/>
  <c r="C43" i="16"/>
  <c r="H16" i="16"/>
  <c r="E66" i="16"/>
  <c r="K26" i="16"/>
  <c r="F43" i="16"/>
  <c r="D43" i="16"/>
  <c r="I38" i="16"/>
  <c r="I16" i="16"/>
  <c r="I85" i="15"/>
  <c r="L27" i="15"/>
  <c r="B48" i="15"/>
  <c r="G86" i="15"/>
  <c r="G88" i="15" s="1"/>
  <c r="G89" i="15" s="1"/>
  <c r="B97" i="15" s="1"/>
  <c r="I67" i="15"/>
  <c r="L17" i="15"/>
  <c r="E89" i="15"/>
  <c r="D97" i="15" s="1"/>
  <c r="H67" i="15"/>
  <c r="K63" i="15"/>
  <c r="I58" i="15"/>
  <c r="I25" i="15"/>
  <c r="K47" i="15"/>
  <c r="L26" i="15"/>
  <c r="K62" i="15"/>
  <c r="H17" i="15"/>
  <c r="K86" i="15"/>
  <c r="B76" i="15"/>
  <c r="H58" i="15"/>
  <c r="I72" i="15"/>
  <c r="I20" i="15"/>
  <c r="K26" i="15"/>
  <c r="L25" i="15"/>
  <c r="K74" i="15"/>
  <c r="K44" i="15"/>
  <c r="B88" i="15"/>
  <c r="L14" i="15"/>
  <c r="K79" i="15"/>
  <c r="F76" i="15"/>
  <c r="C26" i="16"/>
  <c r="E51" i="16"/>
  <c r="E58" i="16" s="1"/>
  <c r="G27" i="15"/>
  <c r="F27" i="15"/>
  <c r="E27" i="15"/>
  <c r="F13" i="7" s="1"/>
  <c r="C27" i="15"/>
  <c r="C4" i="7" s="1"/>
  <c r="D27" i="15"/>
  <c r="E18" i="10" l="1"/>
  <c r="F18" i="10" s="1"/>
  <c r="G18" i="10" s="1"/>
  <c r="H18" i="10" s="1"/>
  <c r="I18" i="10" s="1"/>
  <c r="J18" i="10" s="1"/>
  <c r="Q22" i="20"/>
  <c r="E14" i="11" s="1"/>
  <c r="C39" i="7"/>
  <c r="D28" i="10"/>
  <c r="I4" i="7"/>
  <c r="B99" i="15"/>
  <c r="B100" i="15"/>
  <c r="F48" i="15"/>
  <c r="G4" i="7"/>
  <c r="G39" i="7" s="1"/>
  <c r="C44" i="16"/>
  <c r="C46" i="16" s="1"/>
  <c r="D10" i="7"/>
  <c r="C44" i="7"/>
  <c r="C48" i="7"/>
  <c r="C43" i="7"/>
  <c r="C24" i="7"/>
  <c r="K21" i="7"/>
  <c r="D48" i="15"/>
  <c r="E4" i="7"/>
  <c r="E39" i="7" s="1"/>
  <c r="E13" i="7"/>
  <c r="D99" i="15"/>
  <c r="D100" i="15"/>
  <c r="K58" i="15"/>
  <c r="C5" i="7"/>
  <c r="F24" i="7"/>
  <c r="F44" i="7"/>
  <c r="F48" i="7"/>
  <c r="F43" i="7"/>
  <c r="I9" i="7"/>
  <c r="D17" i="7"/>
  <c r="J19" i="7"/>
  <c r="G6" i="7"/>
  <c r="K37" i="7"/>
  <c r="C13" i="7"/>
  <c r="C27" i="16"/>
  <c r="D44" i="7"/>
  <c r="D48" i="7"/>
  <c r="D43" i="7"/>
  <c r="D24" i="7"/>
  <c r="E44" i="7"/>
  <c r="E48" i="7"/>
  <c r="E43" i="7"/>
  <c r="E24" i="7"/>
  <c r="I36" i="7"/>
  <c r="J41" i="7"/>
  <c r="D10" i="10"/>
  <c r="E10" i="10" s="1"/>
  <c r="I86" i="15"/>
  <c r="J27" i="15"/>
  <c r="D4" i="7"/>
  <c r="D39" i="7" s="1"/>
  <c r="C48" i="15"/>
  <c r="D13" i="7"/>
  <c r="F89" i="15"/>
  <c r="C97" i="15" s="1"/>
  <c r="C100" i="15" s="1"/>
  <c r="D44" i="16"/>
  <c r="E10" i="7"/>
  <c r="E48" i="15"/>
  <c r="F4" i="7"/>
  <c r="F39" i="7" s="1"/>
  <c r="H86" i="15"/>
  <c r="F44" i="16"/>
  <c r="F46" i="16" s="1"/>
  <c r="G10" i="7"/>
  <c r="B32" i="16"/>
  <c r="H26" i="16"/>
  <c r="H48" i="7"/>
  <c r="H24" i="7"/>
  <c r="G13" i="7"/>
  <c r="I13" i="7" s="1"/>
  <c r="J9" i="7"/>
  <c r="J36" i="7"/>
  <c r="I37" i="7"/>
  <c r="C76" i="15"/>
  <c r="D15" i="7"/>
  <c r="C14" i="7"/>
  <c r="C15" i="7"/>
  <c r="J15" i="7" s="1"/>
  <c r="E13" i="10"/>
  <c r="L28" i="7"/>
  <c r="I15" i="7"/>
  <c r="J13" i="7"/>
  <c r="C99" i="15"/>
  <c r="E7" i="7"/>
  <c r="E26" i="7" s="1"/>
  <c r="D27" i="16"/>
  <c r="C7" i="7"/>
  <c r="C26" i="7" s="1"/>
  <c r="B27" i="16"/>
  <c r="F27" i="16"/>
  <c r="F7" i="7"/>
  <c r="F26" i="7" s="1"/>
  <c r="E27" i="16"/>
  <c r="J26" i="16"/>
  <c r="D7" i="7"/>
  <c r="D26" i="7" s="1"/>
  <c r="I26" i="16"/>
  <c r="H7" i="7"/>
  <c r="H26" i="7" s="1"/>
  <c r="F14" i="17"/>
  <c r="F36" i="17" s="1"/>
  <c r="F60" i="17" s="1"/>
  <c r="D46" i="16"/>
  <c r="C14" i="17"/>
  <c r="C36" i="17" s="1"/>
  <c r="C60" i="17" s="1"/>
  <c r="J32" i="16"/>
  <c r="H32" i="16"/>
  <c r="B34" i="16"/>
  <c r="I32" i="16"/>
  <c r="E90" i="15"/>
  <c r="K73" i="15"/>
  <c r="K25" i="15"/>
  <c r="K50" i="15"/>
  <c r="K65" i="15"/>
  <c r="K14" i="15"/>
  <c r="K72" i="15"/>
  <c r="K85" i="15"/>
  <c r="K43" i="15"/>
  <c r="K87" i="15"/>
  <c r="K45" i="15"/>
  <c r="K80" i="15"/>
  <c r="K48" i="15"/>
  <c r="K20" i="15"/>
  <c r="K67" i="15"/>
  <c r="K17" i="15"/>
  <c r="K29" i="15"/>
  <c r="K64" i="15"/>
  <c r="K59" i="15"/>
  <c r="K46" i="15"/>
  <c r="K42" i="15"/>
  <c r="K75" i="15"/>
  <c r="K27" i="15"/>
  <c r="G48" i="15"/>
  <c r="H27" i="15"/>
  <c r="H88" i="15"/>
  <c r="K88" i="15"/>
  <c r="I88" i="15"/>
  <c r="I27" i="15"/>
  <c r="I76" i="15"/>
  <c r="B89" i="15"/>
  <c r="G97" i="15" s="1"/>
  <c r="H76" i="15"/>
  <c r="K76" i="15"/>
  <c r="J48" i="15"/>
  <c r="G51" i="16"/>
  <c r="G58" i="16" s="1"/>
  <c r="G52" i="16"/>
  <c r="H50" i="7" s="1"/>
  <c r="B14" i="17"/>
  <c r="B36" i="17" s="1"/>
  <c r="B60" i="17" s="1"/>
  <c r="F52" i="16"/>
  <c r="D5" i="6"/>
  <c r="E5" i="6"/>
  <c r="F5" i="6"/>
  <c r="C5" i="6"/>
  <c r="C3" i="6"/>
  <c r="D3" i="6" s="1"/>
  <c r="E3" i="6" s="1"/>
  <c r="F3" i="6" s="1"/>
  <c r="L3" i="6" s="1"/>
  <c r="M3" i="6" s="1"/>
  <c r="N3" i="6" s="1"/>
  <c r="O3" i="6" s="1"/>
  <c r="P3" i="6" s="1"/>
  <c r="E14" i="10" l="1"/>
  <c r="E22" i="10"/>
  <c r="E20" i="10"/>
  <c r="E27" i="10"/>
  <c r="F22" i="10"/>
  <c r="F27" i="10" s="1"/>
  <c r="F20" i="10"/>
  <c r="I6" i="7"/>
  <c r="J6" i="7"/>
  <c r="J4" i="7"/>
  <c r="F59" i="16"/>
  <c r="G50" i="7"/>
  <c r="I14" i="7"/>
  <c r="J14" i="7"/>
  <c r="G18" i="7"/>
  <c r="G45" i="7"/>
  <c r="F47" i="16"/>
  <c r="G25" i="7"/>
  <c r="F45" i="7"/>
  <c r="G17" i="7"/>
  <c r="E47" i="16"/>
  <c r="G5" i="7"/>
  <c r="G29" i="7"/>
  <c r="D51" i="16"/>
  <c r="D58" i="16" s="1"/>
  <c r="E45" i="7"/>
  <c r="D47" i="16"/>
  <c r="E25" i="7"/>
  <c r="E18" i="7"/>
  <c r="D52" i="16"/>
  <c r="C89" i="15"/>
  <c r="F97" i="15" s="1"/>
  <c r="K39" i="7"/>
  <c r="D5" i="7"/>
  <c r="D29" i="7"/>
  <c r="C29" i="7"/>
  <c r="D90" i="15"/>
  <c r="E5" i="7"/>
  <c r="E29" i="7"/>
  <c r="I48" i="7"/>
  <c r="J48" i="7"/>
  <c r="D25" i="7"/>
  <c r="D18" i="7"/>
  <c r="D45" i="7"/>
  <c r="C47" i="16"/>
  <c r="C10" i="7"/>
  <c r="I5" i="7"/>
  <c r="J5" i="7"/>
  <c r="F51" i="16"/>
  <c r="F58" i="16" s="1"/>
  <c r="G99" i="15"/>
  <c r="G100" i="15"/>
  <c r="F90" i="15"/>
  <c r="E14" i="17"/>
  <c r="E36" i="17" s="1"/>
  <c r="E60" i="17" s="1"/>
  <c r="F5" i="7"/>
  <c r="F29" i="7"/>
  <c r="F18" i="7"/>
  <c r="G47" i="7"/>
  <c r="E17" i="7"/>
  <c r="F47" i="7"/>
  <c r="J39" i="7"/>
  <c r="D12" i="10"/>
  <c r="I39" i="7"/>
  <c r="I7" i="7"/>
  <c r="J7" i="7"/>
  <c r="H34" i="16"/>
  <c r="I34" i="16"/>
  <c r="B44" i="16"/>
  <c r="J34" i="16"/>
  <c r="G59" i="16"/>
  <c r="H89" i="15"/>
  <c r="K89" i="15"/>
  <c r="I89" i="15"/>
  <c r="B90" i="15"/>
  <c r="G90" i="15"/>
  <c r="H48" i="15"/>
  <c r="I48" i="15"/>
  <c r="C90" i="15"/>
  <c r="C51" i="16"/>
  <c r="C52" i="16"/>
  <c r="D50" i="7" s="1"/>
  <c r="J5" i="6"/>
  <c r="D11" i="10" l="1"/>
  <c r="J10" i="7"/>
  <c r="I10" i="7"/>
  <c r="F99" i="15"/>
  <c r="F100" i="15"/>
  <c r="D47" i="7"/>
  <c r="C47" i="7"/>
  <c r="D59" i="16"/>
  <c r="E50" i="7"/>
  <c r="J29" i="7"/>
  <c r="I29" i="7"/>
  <c r="J44" i="16"/>
  <c r="I44" i="16"/>
  <c r="B46" i="16"/>
  <c r="H44" i="16"/>
  <c r="C59" i="16"/>
  <c r="C58" i="16"/>
  <c r="C11" i="11"/>
  <c r="B41" i="9"/>
  <c r="E4" i="10"/>
  <c r="O17" i="9"/>
  <c r="C22" i="9"/>
  <c r="C12" i="9"/>
  <c r="D12" i="9"/>
  <c r="B12" i="9"/>
  <c r="C10" i="9"/>
  <c r="D10" i="9"/>
  <c r="B10" i="9"/>
  <c r="F35" i="7"/>
  <c r="G35" i="7"/>
  <c r="E35" i="7"/>
  <c r="F33" i="7"/>
  <c r="G33" i="7"/>
  <c r="E33" i="7"/>
  <c r="C25" i="7" l="1"/>
  <c r="K25" i="7" s="1"/>
  <c r="C18" i="7"/>
  <c r="B47" i="16"/>
  <c r="C45" i="7"/>
  <c r="C17" i="7"/>
  <c r="J47" i="7"/>
  <c r="I47" i="7"/>
  <c r="J35" i="7"/>
  <c r="I35" i="7"/>
  <c r="I33" i="7"/>
  <c r="J33" i="7"/>
  <c r="K46" i="16"/>
  <c r="B52" i="16"/>
  <c r="C50" i="7" s="1"/>
  <c r="J46" i="16"/>
  <c r="H46" i="16"/>
  <c r="I46" i="16"/>
  <c r="F31" i="7"/>
  <c r="F38" i="7" s="1"/>
  <c r="E31" i="7"/>
  <c r="E38" i="7" s="1"/>
  <c r="G31" i="7"/>
  <c r="G38" i="7" s="1"/>
  <c r="D23" i="10"/>
  <c r="E15" i="11"/>
  <c r="J50" i="7" l="1"/>
  <c r="I50" i="7"/>
  <c r="I17" i="7"/>
  <c r="J17" i="7"/>
  <c r="J31" i="7"/>
  <c r="I31" i="7"/>
  <c r="I22" i="7"/>
  <c r="J52" i="16"/>
  <c r="B59" i="16"/>
  <c r="H52" i="16"/>
  <c r="I52" i="16"/>
  <c r="D3" i="11"/>
  <c r="D4" i="11"/>
  <c r="C16" i="11"/>
  <c r="D15" i="11" s="1"/>
  <c r="D14" i="11" l="1"/>
  <c r="J25" i="7"/>
  <c r="I25" i="7"/>
  <c r="I18" i="7"/>
  <c r="J18" i="7"/>
  <c r="J21" i="7"/>
  <c r="I21" i="7"/>
  <c r="E8" i="10"/>
  <c r="D8" i="10"/>
  <c r="D5" i="11"/>
  <c r="D16" i="11"/>
  <c r="E16" i="11"/>
  <c r="C16" i="10" s="1"/>
  <c r="E19" i="10" l="1"/>
  <c r="E21" i="10" s="1"/>
  <c r="E23" i="10" s="1"/>
  <c r="E24" i="10" s="1"/>
  <c r="E25" i="10" s="1"/>
  <c r="F19" i="10"/>
  <c r="F21" i="10" s="1"/>
  <c r="F23" i="10" s="1"/>
  <c r="F24" i="10" s="1"/>
  <c r="F25" i="10" s="1"/>
  <c r="I37" i="10"/>
  <c r="J23" i="7"/>
  <c r="I23" i="7"/>
  <c r="E12" i="10"/>
  <c r="E28" i="10" l="1"/>
  <c r="E29" i="10" s="1"/>
  <c r="F28" i="10"/>
  <c r="D37" i="10"/>
  <c r="J24" i="7"/>
  <c r="I24" i="7"/>
  <c r="D25" i="10"/>
  <c r="D52" i="10" l="1"/>
  <c r="F29" i="10"/>
  <c r="I26" i="7"/>
  <c r="J26" i="7"/>
  <c r="G22" i="10" l="1"/>
  <c r="G27" i="10" s="1"/>
  <c r="G28" i="10"/>
  <c r="G29" i="10" s="1"/>
  <c r="G20" i="10"/>
  <c r="G19" i="10"/>
  <c r="E26" i="10"/>
  <c r="E30" i="10" s="1"/>
  <c r="F26" i="10"/>
  <c r="G21" i="10" l="1"/>
  <c r="G23" i="10" s="1"/>
  <c r="G24" i="10" s="1"/>
  <c r="H22" i="10"/>
  <c r="H27" i="10" s="1"/>
  <c r="H28" i="10"/>
  <c r="H29" i="10" s="1"/>
  <c r="H20" i="10"/>
  <c r="H19" i="10"/>
  <c r="F30" i="10"/>
  <c r="H21" i="10" l="1"/>
  <c r="H23" i="10" s="1"/>
  <c r="H24" i="10" s="1"/>
  <c r="H25" i="10" s="1"/>
  <c r="G25" i="10"/>
  <c r="I22" i="10"/>
  <c r="I27" i="10" s="1"/>
  <c r="I28" i="10"/>
  <c r="I29" i="10" s="1"/>
  <c r="I20" i="10"/>
  <c r="I19" i="10"/>
  <c r="I21" i="10" l="1"/>
  <c r="I23" i="10" s="1"/>
  <c r="I24" i="10" s="1"/>
  <c r="I25" i="10" s="1"/>
  <c r="J22" i="10"/>
  <c r="J27" i="10" s="1"/>
  <c r="J28" i="10"/>
  <c r="J29" i="10" s="1"/>
  <c r="J20" i="10"/>
  <c r="J19" i="10"/>
  <c r="G26" i="10"/>
  <c r="G30" i="10" s="1"/>
  <c r="J21" i="10" l="1"/>
  <c r="J23" i="10" s="1"/>
  <c r="J24" i="10" s="1"/>
  <c r="J25" i="10" s="1"/>
  <c r="H26" i="10"/>
  <c r="H30" i="10" s="1"/>
  <c r="I26" i="10" l="1"/>
  <c r="I30" i="10" s="1"/>
  <c r="D41" i="10"/>
  <c r="D42" i="10" s="1"/>
  <c r="J26" i="10" l="1"/>
  <c r="J30" i="10" s="1"/>
  <c r="K30" i="10" s="1"/>
  <c r="D38" i="10" l="1"/>
  <c r="D53" i="10" s="1"/>
  <c r="D56" i="10"/>
  <c r="D57" i="10" s="1"/>
  <c r="I41" i="10"/>
  <c r="I42" i="10" s="1"/>
  <c r="D59" i="10" l="1"/>
  <c r="D62" i="10" s="1"/>
  <c r="D63" i="10" s="1"/>
  <c r="D44" i="10"/>
  <c r="D47" i="10" s="1"/>
  <c r="I38" i="10"/>
  <c r="I44" i="10" s="1"/>
  <c r="I47" i="10" s="1"/>
  <c r="I48" i="10" s="1"/>
  <c r="D48" i="10" l="1"/>
  <c r="B70" i="10" s="1"/>
  <c r="D65" i="10" l="1"/>
  <c r="B79" i="10" s="1"/>
</calcChain>
</file>

<file path=xl/sharedStrings.xml><?xml version="1.0" encoding="utf-8"?>
<sst xmlns="http://schemas.openxmlformats.org/spreadsheetml/2006/main" count="660" uniqueCount="442">
  <si>
    <t xml:space="preserve">Exchange rate used is that of the Year End reported date </t>
  </si>
  <si>
    <t>Report Date</t>
  </si>
  <si>
    <t>Currency</t>
  </si>
  <si>
    <t>USD</t>
  </si>
  <si>
    <t>EBITDA</t>
  </si>
  <si>
    <t>Depreciation &amp; amortization</t>
  </si>
  <si>
    <t>-</t>
  </si>
  <si>
    <t>Interest expense</t>
  </si>
  <si>
    <t>Year end shares outstanding</t>
  </si>
  <si>
    <t>Net earnings (loss) per share - basic</t>
  </si>
  <si>
    <t>Net earnings (loss) per share - diluted</t>
  </si>
  <si>
    <t>Total number of employees</t>
  </si>
  <si>
    <t>Number of common stockholders</t>
  </si>
  <si>
    <t>Foreign currency translation adjustments</t>
  </si>
  <si>
    <t>Cash &amp; cash equivalents</t>
  </si>
  <si>
    <t>Accounts receivable</t>
  </si>
  <si>
    <t>Allowance for doubtful accounts</t>
  </si>
  <si>
    <t>Inventories</t>
  </si>
  <si>
    <t>Total current assets</t>
  </si>
  <si>
    <t>Leasehold improvements</t>
  </si>
  <si>
    <t>Accumulated depreciation</t>
  </si>
  <si>
    <t>Land</t>
  </si>
  <si>
    <t>Goodwill</t>
  </si>
  <si>
    <t>Total assets</t>
  </si>
  <si>
    <t>Accounts payable</t>
  </si>
  <si>
    <t>Total current liabilities</t>
  </si>
  <si>
    <t>Other long-term liabilities</t>
  </si>
  <si>
    <t>Common stock</t>
  </si>
  <si>
    <t>Retained earnings (accumulated deficit)</t>
  </si>
  <si>
    <t>Accumulated other comprehensive income (loss)</t>
  </si>
  <si>
    <t>Noncontrolling interests</t>
  </si>
  <si>
    <t>Total equity</t>
  </si>
  <si>
    <t>Assets</t>
  </si>
  <si>
    <t xml:space="preserve">Annual Balance Sheet </t>
  </si>
  <si>
    <t xml:space="preserve">Annual Income Statement </t>
  </si>
  <si>
    <t>Payout ratio - basic</t>
  </si>
  <si>
    <t>Payout ratio - diluted</t>
  </si>
  <si>
    <t>CAGR</t>
  </si>
  <si>
    <t>Current ratio</t>
  </si>
  <si>
    <t>Quick ratio</t>
  </si>
  <si>
    <t>Cash ratio</t>
  </si>
  <si>
    <t>PROFITABILITY</t>
  </si>
  <si>
    <t>MARGINS</t>
  </si>
  <si>
    <t>Days payables</t>
  </si>
  <si>
    <t>GROWTH</t>
  </si>
  <si>
    <t>LEVERAGE</t>
  </si>
  <si>
    <t>Interest Coverage ratio</t>
  </si>
  <si>
    <t>Ratio Analysis</t>
  </si>
  <si>
    <t>LIQUIDITY RATIOS</t>
  </si>
  <si>
    <t>Invested Capital (Stockholders' Equity+Total Debt and Leases)</t>
  </si>
  <si>
    <t>NOPAT</t>
  </si>
  <si>
    <t>ROA, %</t>
  </si>
  <si>
    <t>Gross margin, %</t>
  </si>
  <si>
    <t>EBITDA margin, %</t>
  </si>
  <si>
    <t>Net profit margin, %</t>
  </si>
  <si>
    <t>EBIT margin,%</t>
  </si>
  <si>
    <t>NOPAT margin, %</t>
  </si>
  <si>
    <t>ASSET MANAGEMENT</t>
  </si>
  <si>
    <t>Total Assets turnover</t>
  </si>
  <si>
    <t>Days' sales in receivables</t>
  </si>
  <si>
    <t>Days' sales in inventory</t>
  </si>
  <si>
    <t>Receivables turnover</t>
  </si>
  <si>
    <t>Inventory turnover</t>
  </si>
  <si>
    <t>Accounts payable turnover (COGS/AP)</t>
  </si>
  <si>
    <t>Total Revenues growth</t>
  </si>
  <si>
    <t>Gross profit growth</t>
  </si>
  <si>
    <t>EBITDA growth</t>
  </si>
  <si>
    <t>EBIT growth</t>
  </si>
  <si>
    <t>Net income growth</t>
  </si>
  <si>
    <t>Debt ratio</t>
  </si>
  <si>
    <t>Employees</t>
  </si>
  <si>
    <t>Sales per employee ( in $)</t>
  </si>
  <si>
    <t>Cash and equivalents as % of total assets</t>
  </si>
  <si>
    <t>Working capital (CA-NIBCL)</t>
  </si>
  <si>
    <t>PP&amp;E turnover</t>
  </si>
  <si>
    <t>Average</t>
  </si>
  <si>
    <t>Disney</t>
  </si>
  <si>
    <t>Comcast</t>
  </si>
  <si>
    <t>AT&amp;T</t>
  </si>
  <si>
    <t>Annual Growth of Total Revenues</t>
  </si>
  <si>
    <t>Market share in the industry</t>
  </si>
  <si>
    <t>EPS Diluted</t>
  </si>
  <si>
    <t>EV/EBITDA</t>
  </si>
  <si>
    <t>Industry's average</t>
  </si>
  <si>
    <t>EV/Sales</t>
  </si>
  <si>
    <t>Revenue from primary industry, $ mil</t>
  </si>
  <si>
    <t>% change of revenue</t>
  </si>
  <si>
    <t>Net Income from primary industry</t>
  </si>
  <si>
    <t>ROA</t>
  </si>
  <si>
    <t>ROE</t>
  </si>
  <si>
    <t>Total asset turnover</t>
  </si>
  <si>
    <t>Long-term debt-to-equity</t>
  </si>
  <si>
    <t>15x</t>
  </si>
  <si>
    <t>15.9x</t>
  </si>
  <si>
    <t>16.2x</t>
  </si>
  <si>
    <t>12.6x</t>
  </si>
  <si>
    <t>2.5x</t>
  </si>
  <si>
    <t>7.7x</t>
  </si>
  <si>
    <t>3.1x</t>
  </si>
  <si>
    <t>9.8x</t>
  </si>
  <si>
    <t>19x</t>
  </si>
  <si>
    <t>5.3x</t>
  </si>
  <si>
    <t>Global</t>
  </si>
  <si>
    <t>Net Profit Margin</t>
  </si>
  <si>
    <t>Gross Margin</t>
  </si>
  <si>
    <t>Shares outstanding, million</t>
  </si>
  <si>
    <t>Total Revenues, $ million</t>
  </si>
  <si>
    <t>Net Income, $ million</t>
  </si>
  <si>
    <t>EBITDA Margin</t>
  </si>
  <si>
    <t>Debt-to-Capital ratio</t>
  </si>
  <si>
    <t>latest P/E ratio</t>
  </si>
  <si>
    <t>latest EV/EBITDA</t>
  </si>
  <si>
    <t>P/Sales ratio</t>
  </si>
  <si>
    <t>Geographic location</t>
  </si>
  <si>
    <t>Profitability</t>
  </si>
  <si>
    <t>General Information</t>
  </si>
  <si>
    <t>Liquidity</t>
  </si>
  <si>
    <t>Asset Management</t>
  </si>
  <si>
    <t>Days' Sales in Receivables</t>
  </si>
  <si>
    <t>Days' Sales in Inventory</t>
  </si>
  <si>
    <t>N/A</t>
  </si>
  <si>
    <t>EBIT Margin</t>
  </si>
  <si>
    <t>Cash Conversion Cycle</t>
  </si>
  <si>
    <t>Leverage</t>
  </si>
  <si>
    <t>Industrial Specific Information</t>
  </si>
  <si>
    <t>EBITDA, $ million</t>
  </si>
  <si>
    <t>Low</t>
  </si>
  <si>
    <t>Value per Share, $</t>
  </si>
  <si>
    <t>latest P/E Ratio</t>
  </si>
  <si>
    <t>EPS diluted</t>
  </si>
  <si>
    <t>latest P/EBITDA Ratio</t>
  </si>
  <si>
    <t>latest EV/Sales</t>
  </si>
  <si>
    <t>Using P/E ratio</t>
  </si>
  <si>
    <t>Usiing EV/EBITDA Ratio</t>
  </si>
  <si>
    <t>Using P/EBITDA Ratio</t>
  </si>
  <si>
    <t>Using EV/Revenues Ratio</t>
  </si>
  <si>
    <t>Mean price per share</t>
  </si>
  <si>
    <t>Subscribers, in million</t>
  </si>
  <si>
    <t xml:space="preserve">      Fiscal year</t>
  </si>
  <si>
    <t>ASSUMPTIONS</t>
  </si>
  <si>
    <t>Gross margin</t>
  </si>
  <si>
    <t>Depreciation/Sales</t>
  </si>
  <si>
    <t>Income tax rate</t>
  </si>
  <si>
    <t>P&amp;E Turnover</t>
  </si>
  <si>
    <t>Net sales</t>
  </si>
  <si>
    <t>Cost of sales</t>
  </si>
  <si>
    <t xml:space="preserve">  EBIT</t>
  </si>
  <si>
    <t xml:space="preserve">  NOPAT</t>
  </si>
  <si>
    <t>Total revenues growth</t>
  </si>
  <si>
    <t>Marginal Income Tax Rate</t>
  </si>
  <si>
    <t>S,G &amp; A</t>
  </si>
  <si>
    <t>FCFF</t>
  </si>
  <si>
    <t>CAPEX</t>
  </si>
  <si>
    <t>OCF</t>
  </si>
  <si>
    <t>Cost of Sales/Sales</t>
  </si>
  <si>
    <t>Terminal Value</t>
  </si>
  <si>
    <t>Capital Structure</t>
  </si>
  <si>
    <t>Debt</t>
  </si>
  <si>
    <t>Market Value</t>
  </si>
  <si>
    <t>Total:</t>
  </si>
  <si>
    <t>Cost</t>
  </si>
  <si>
    <t>CAPM</t>
  </si>
  <si>
    <t>Rf</t>
  </si>
  <si>
    <t>Beta</t>
  </si>
  <si>
    <t>MRP</t>
  </si>
  <si>
    <t>WACC</t>
  </si>
  <si>
    <t>Enterprise value</t>
  </si>
  <si>
    <t>Equity Value</t>
  </si>
  <si>
    <t>Value per share</t>
  </si>
  <si>
    <t>FORECAST, in '000</t>
  </si>
  <si>
    <t>NWC</t>
  </si>
  <si>
    <t>Change in NWC</t>
  </si>
  <si>
    <t>Working Capital as % of Sales</t>
  </si>
  <si>
    <t>Net working capital/Sales</t>
  </si>
  <si>
    <t>%</t>
  </si>
  <si>
    <t>Shares outstanding</t>
  </si>
  <si>
    <t>Cost of Equity</t>
  </si>
  <si>
    <t>Perpetual growth rate</t>
  </si>
  <si>
    <t>USA</t>
  </si>
  <si>
    <t>Growth</t>
  </si>
  <si>
    <t>World</t>
  </si>
  <si>
    <t>in billion US$</t>
  </si>
  <si>
    <t>% Change</t>
  </si>
  <si>
    <t>Depreciation/P,P&amp;E</t>
  </si>
  <si>
    <t>2019A</t>
  </si>
  <si>
    <t>2020A</t>
  </si>
  <si>
    <t>Source: worldbank.org, statista.com</t>
  </si>
  <si>
    <t>Average % 2023-2026</t>
  </si>
  <si>
    <t>Real GDP Growth in the USA from 2014 to 2026</t>
  </si>
  <si>
    <t>We can use this rate as a long-term growth rate for the valuation.</t>
  </si>
  <si>
    <t>Powered by Clearbit</t>
  </si>
  <si>
    <t>Starbucks Corp.   (NMS: SBUX)</t>
  </si>
  <si>
    <t>09/27/2020</t>
  </si>
  <si>
    <t>09/29/2019</t>
  </si>
  <si>
    <t>09/30/2018</t>
  </si>
  <si>
    <t>10/01/2017</t>
  </si>
  <si>
    <t>10/02/2016</t>
  </si>
  <si>
    <t>Short-term investments - available-for-sale securities</t>
  </si>
  <si>
    <t>Short-term investments - trading securities</t>
  </si>
  <si>
    <t>Short-term investments</t>
  </si>
  <si>
    <t>Accounts receivable, gross</t>
  </si>
  <si>
    <t>Accounts receivable, net</t>
  </si>
  <si>
    <t>Coffee - unroasted</t>
  </si>
  <si>
    <t>Coffee - roasted</t>
  </si>
  <si>
    <t>Other merchandise held for sale</t>
  </si>
  <si>
    <t>Packaging &amp; other supplies</t>
  </si>
  <si>
    <t>Prepaid expenses &amp; other current assets</t>
  </si>
  <si>
    <t>Long-term investments</t>
  </si>
  <si>
    <t xml:space="preserve">Equity method investments </t>
  </si>
  <si>
    <t>Cost method investments</t>
  </si>
  <si>
    <t>Equity &amp; cost investments</t>
  </si>
  <si>
    <t>Buildings</t>
  </si>
  <si>
    <t>Store equipment</t>
  </si>
  <si>
    <t>Roasting equipment</t>
  </si>
  <si>
    <t>Furniture, fixtures &amp; other property, plant &amp; equipment</t>
  </si>
  <si>
    <t>Work in progress</t>
  </si>
  <si>
    <t>Property, plant &amp; equipment, gross</t>
  </si>
  <si>
    <t>Property, plant &amp; equipment, net</t>
  </si>
  <si>
    <t>Operating lease, right-of-use asset</t>
  </si>
  <si>
    <t>Deferred income taxes, net</t>
  </si>
  <si>
    <t>Other long-term assets</t>
  </si>
  <si>
    <t>Other intangible assets</t>
  </si>
  <si>
    <t>Accrued compensation &amp; related costs</t>
  </si>
  <si>
    <t>Accrued occupancy costs</t>
  </si>
  <si>
    <t>Accrued taxes</t>
  </si>
  <si>
    <t>Accrued dividend payable</t>
  </si>
  <si>
    <t>Accrued capital &amp; other operating expenditures</t>
  </si>
  <si>
    <t>Self insurance reserves</t>
  </si>
  <si>
    <t>Accrued business taxes</t>
  </si>
  <si>
    <t>Accrued liabilities</t>
  </si>
  <si>
    <t>Accrued payroll &amp; benefits</t>
  </si>
  <si>
    <t>Insurance reserves</t>
  </si>
  <si>
    <t>Stored value card liability</t>
  </si>
  <si>
    <t>Income taxes payable</t>
  </si>
  <si>
    <t>Current portion of operating lease liability</t>
  </si>
  <si>
    <t>Deferred revenue</t>
  </si>
  <si>
    <t>Current portion of long-term debt</t>
  </si>
  <si>
    <t>Short-term debt</t>
  </si>
  <si>
    <t>Senior notes</t>
  </si>
  <si>
    <t>Aggregate unamortized premium (discount)</t>
  </si>
  <si>
    <t>Hedge accounting fair value adjustment</t>
  </si>
  <si>
    <t>Less: current portion of long-term debt</t>
  </si>
  <si>
    <t>Long-term debt</t>
  </si>
  <si>
    <t>Operating lease liability</t>
  </si>
  <si>
    <t>Total liabilities</t>
  </si>
  <si>
    <t>Additional paid-in capital</t>
  </si>
  <si>
    <t>Available-for-sale securities</t>
  </si>
  <si>
    <t>Cash flow hedges</t>
  </si>
  <si>
    <t>Net investment hedges</t>
  </si>
  <si>
    <t>Translation adjustment &amp; other accumulated comprehensive income</t>
  </si>
  <si>
    <t>Total shareholders' equity</t>
  </si>
  <si>
    <t>Company-operated stores revenues</t>
  </si>
  <si>
    <t>Licensed stores revenues</t>
  </si>
  <si>
    <t>Total net revenues</t>
  </si>
  <si>
    <t>Product &amp; distribution costs</t>
  </si>
  <si>
    <t>Store operating expenses</t>
  </si>
  <si>
    <t>Other operating expenses</t>
  </si>
  <si>
    <t>Depreciation &amp; amortization expenses</t>
  </si>
  <si>
    <t>General &amp; administrative expenses</t>
  </si>
  <si>
    <t>Restructuring &amp; impairments</t>
  </si>
  <si>
    <t>Total operating expenses</t>
  </si>
  <si>
    <t>Income from equity investees</t>
  </si>
  <si>
    <t>Operating income (loss)</t>
  </si>
  <si>
    <t>Gain resulting from acquisition of joint venture</t>
  </si>
  <si>
    <t>Net gain resulting from divestiture of certain operations</t>
  </si>
  <si>
    <t>Interest income &amp; other income, net</t>
  </si>
  <si>
    <t>Earnings (loss) before income taxes - United States</t>
  </si>
  <si>
    <t>Earnings (loss) before income taxes - foreign</t>
  </si>
  <si>
    <t>Earnings (loss) before income taxes</t>
  </si>
  <si>
    <t>Current United States federal income taxes expense (benefit)</t>
  </si>
  <si>
    <t>Current United States state &amp; local income taxes sxpense (benefit)</t>
  </si>
  <si>
    <t>Current foreign income taxes expense (benefit)</t>
  </si>
  <si>
    <t>Total current income taxes expense (benefit)</t>
  </si>
  <si>
    <t>Deferred United States federal income taxes expense (benefit)</t>
  </si>
  <si>
    <t>Deferred foreign income taxes expense (benefit)</t>
  </si>
  <si>
    <t>Total deferred income taxes expense (benefit)</t>
  </si>
  <si>
    <t>Income tax expense (benefit)</t>
  </si>
  <si>
    <t>Net earnings (loss) including noncontrolling interests</t>
  </si>
  <si>
    <t>Net earnings (loss) attributable to noncontrolling interests</t>
  </si>
  <si>
    <t>Net earnings attributable to Starbucks Corporation</t>
  </si>
  <si>
    <t>Weighted average shares outstanding - basic</t>
  </si>
  <si>
    <t>Weighted average shares outstanding - diluted</t>
  </si>
  <si>
    <t>Cash dividends declared per share</t>
  </si>
  <si>
    <t>Income earned from equity method investees</t>
  </si>
  <si>
    <t>Distributions received from equity method investees</t>
  </si>
  <si>
    <t>Loss (gain) resulting from acquisition/sale of equity in joint ventures &amp; certain retail operations</t>
  </si>
  <si>
    <t>Net loss (gain) resulting from divestiture of certain retail operations</t>
  </si>
  <si>
    <t>Stock-based compensation</t>
  </si>
  <si>
    <t>Excess tax benefit on share-based awards</t>
  </si>
  <si>
    <t>Goodwill impairments</t>
  </si>
  <si>
    <t>Non-cash lease cost</t>
  </si>
  <si>
    <t>Loss on retirement &amp; impairment of assets</t>
  </si>
  <si>
    <t>Other adjustments</t>
  </si>
  <si>
    <t>Other operating assets &amp; liabilities</t>
  </si>
  <si>
    <t>Net cash flows from operating activities</t>
  </si>
  <si>
    <t>Purchase of investments</t>
  </si>
  <si>
    <t>Sales of investments</t>
  </si>
  <si>
    <t>Maturities &amp; calls of investments</t>
  </si>
  <si>
    <t>Acquisitions, net of cash acquired</t>
  </si>
  <si>
    <t>Additions to property, plant &amp; equipment</t>
  </si>
  <si>
    <t>Net proceeds from sale of equity in joint ventures &amp; certain retail operations</t>
  </si>
  <si>
    <t>Other investing activities</t>
  </si>
  <si>
    <t>Net cash flows from investing activities</t>
  </si>
  <si>
    <t>Proceeds from issuance of long-term debt</t>
  </si>
  <si>
    <t>Repayments of long-term debt</t>
  </si>
  <si>
    <t>Proceeds from issuance of short-term debt</t>
  </si>
  <si>
    <t>Repayments of short-term debt</t>
  </si>
  <si>
    <t>Proceeds from issuance of common stock</t>
  </si>
  <si>
    <t>Excess tax benefit from share-based awards</t>
  </si>
  <si>
    <t>Cash dividends paid</t>
  </si>
  <si>
    <t>Repurchase of common stock</t>
  </si>
  <si>
    <t>Minimum tax withholdings on share-based awards</t>
  </si>
  <si>
    <t>Other financing activities</t>
  </si>
  <si>
    <t>Net cash flows from financing activities</t>
  </si>
  <si>
    <t>Effect of exchange rate changes on cash &amp; cash equivalents</t>
  </si>
  <si>
    <t>Net increase (decrease) in cash &amp; cash equivalents</t>
  </si>
  <si>
    <t>Cash &amp; cash equivalents, beginning of period</t>
  </si>
  <si>
    <t>Cash &amp; cash equivalents, end of period</t>
  </si>
  <si>
    <t>Cash paid during the period for interest, net of capitalized interest</t>
  </si>
  <si>
    <t>Cash paid during the period for income taxes, net of refunds</t>
  </si>
  <si>
    <t>Valuation Model</t>
  </si>
  <si>
    <t>MSF, MBA, ICVS-A
Ph.D. Student, Business Administration - Finance
Florida Atlantic University</t>
  </si>
  <si>
    <t>by Uliana Filatova,</t>
  </si>
  <si>
    <t>Liabilities and Equity</t>
  </si>
  <si>
    <t>Total Liabilitites and Equity</t>
  </si>
  <si>
    <t>Control</t>
  </si>
  <si>
    <t>in '000'</t>
  </si>
  <si>
    <t xml:space="preserve">Annual Statement of Cash Flow </t>
  </si>
  <si>
    <t>Deferred United States state &amp; local income taxes expense (benefit)</t>
  </si>
  <si>
    <t>Global consumer products group (CPG), food service &amp; other revenues</t>
  </si>
  <si>
    <t>% Change 2016-2021</t>
  </si>
  <si>
    <t>% Change 2016 - 2021</t>
  </si>
  <si>
    <t>% Change 2020-2021</t>
  </si>
  <si>
    <t>% of Total Assets</t>
  </si>
  <si>
    <t>% of Current Assets</t>
  </si>
  <si>
    <t>% of Long-Term Debt in Total Liabilities</t>
  </si>
  <si>
    <t>Total Assets</t>
  </si>
  <si>
    <t>% Change 2019-2021</t>
  </si>
  <si>
    <t>Net Revenue growth</t>
  </si>
  <si>
    <t>Operating income growth</t>
  </si>
  <si>
    <t>ROI, %</t>
  </si>
  <si>
    <t>Financial Forecast for Starbucks</t>
  </si>
  <si>
    <t>Net property and equipment, in '000</t>
  </si>
  <si>
    <t>Maturity</t>
  </si>
  <si>
    <t>Ranking</t>
  </si>
  <si>
    <t>Issued</t>
  </si>
  <si>
    <t>Price</t>
  </si>
  <si>
    <t>Starbucks Corp</t>
  </si>
  <si>
    <t>BBB</t>
  </si>
  <si>
    <t>CALLABLE</t>
  </si>
  <si>
    <t>BMRK</t>
  </si>
  <si>
    <t>AT MATURITY</t>
  </si>
  <si>
    <t>JPY</t>
  </si>
  <si>
    <t>BVAL</t>
  </si>
  <si>
    <t>Price quote</t>
  </si>
  <si>
    <t>Principal</t>
  </si>
  <si>
    <t>Coupon, %</t>
  </si>
  <si>
    <t>Years to maturity</t>
  </si>
  <si>
    <t>YTM</t>
  </si>
  <si>
    <t>Total</t>
  </si>
  <si>
    <t>Weight</t>
  </si>
  <si>
    <t>Market value of debt:</t>
  </si>
  <si>
    <t>Market Value of Debt</t>
  </si>
  <si>
    <t>Exit Multiple</t>
  </si>
  <si>
    <t>PV of Terminal Value</t>
  </si>
  <si>
    <t>Perpetuity Growth Method</t>
  </si>
  <si>
    <t>Cash and short-term investments turnover</t>
  </si>
  <si>
    <t>PV of FCFF</t>
  </si>
  <si>
    <t>Terminal Value in 2027</t>
  </si>
  <si>
    <t>Less Debt</t>
  </si>
  <si>
    <t>Operating exp. (excl. Depr) margin, %</t>
  </si>
  <si>
    <t>Plus Short-Term Investments</t>
  </si>
  <si>
    <t>Cash and short-term investments to Sales</t>
  </si>
  <si>
    <t>Cash conversion cycle</t>
  </si>
  <si>
    <t>diluted EPS</t>
  </si>
  <si>
    <t>Closing Price on 11/26/2021</t>
  </si>
  <si>
    <t>Weighted average Rd (pretax):</t>
  </si>
  <si>
    <t>Starbucks</t>
  </si>
  <si>
    <t>Average growth over 2015 - 2020</t>
  </si>
  <si>
    <t>Starbucks' Valuation</t>
  </si>
  <si>
    <t>EBITDA Multiple Valuation (Starbucks' multiple)</t>
  </si>
  <si>
    <t>Price/Earnings Multiple Valuation (Starbucks' multiple)</t>
  </si>
  <si>
    <t>EBITDA, $ billion</t>
  </si>
  <si>
    <t>19.44x</t>
  </si>
  <si>
    <t>Starbucks Valuation Using the EV/EBITDA Ratio</t>
  </si>
  <si>
    <t>EV of Starbucks, $ billion</t>
  </si>
  <si>
    <t>Shares Outstanding, billion</t>
  </si>
  <si>
    <t>Shares outstanding, billion</t>
  </si>
  <si>
    <t>Closing price on 11/26/2021</t>
  </si>
  <si>
    <t>25.77x</t>
  </si>
  <si>
    <t>Starbucks' Valuation Using P/EBITDA Ratio</t>
  </si>
  <si>
    <t xml:space="preserve">Value of Starbucks' stock, $ </t>
  </si>
  <si>
    <t>McDonald's</t>
  </si>
  <si>
    <t>Total Revenues, $ billion</t>
  </si>
  <si>
    <t>Starbucks'  Valuation Using EV/Revenues Ratio</t>
  </si>
  <si>
    <t>EV of Stabucks', $ billion</t>
  </si>
  <si>
    <t xml:space="preserve"> - Debt, $ billion</t>
  </si>
  <si>
    <t>PERMNO</t>
  </si>
  <si>
    <t>Date of Observation</t>
  </si>
  <si>
    <t>Number of Observations used to compute Beta</t>
  </si>
  <si>
    <t>Returns</t>
  </si>
  <si>
    <t>alpha</t>
  </si>
  <si>
    <t>b_mkt</t>
  </si>
  <si>
    <t>b_smb</t>
  </si>
  <si>
    <t>b_hml</t>
  </si>
  <si>
    <t>Idiosyncratic Risk</t>
  </si>
  <si>
    <t>Total Volatility</t>
  </si>
  <si>
    <t>R-Squared</t>
  </si>
  <si>
    <t>Excess Return from Risk Model</t>
  </si>
  <si>
    <t>Calculating Beta using monthly returns on Starbucks' stock and S&amp;P 500 Composite Index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</si>
  <si>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</si>
  <si>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</si>
  <si>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</si>
  <si>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</si>
  <si>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</si>
  <si>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</si>
  <si>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</si>
  <si>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</si>
  <si>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</si>
  <si>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</si>
  <si>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</si>
  <si>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</si>
  <si>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</si>
  <si>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</si>
  <si>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</si>
  <si>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</si>
  <si>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</si>
  <si>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</si>
  <si>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</si>
  <si>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</si>
  <si>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</si>
  <si>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</si>
  <si>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S&amp;P 500</t>
  </si>
  <si>
    <t>Average price</t>
  </si>
  <si>
    <t>Share Price Sensitivity</t>
  </si>
  <si>
    <t>Revenue Growth</t>
  </si>
  <si>
    <t>Operating expenses (exp. D&amp;A)/Sales</t>
  </si>
  <si>
    <t>Changing Revenue growth rate and the EV/EBITDA ratio</t>
  </si>
  <si>
    <t>Changing the WACC and perptual growth rate</t>
  </si>
  <si>
    <t>Starbucks' Valuation Using P/E Ratio</t>
  </si>
  <si>
    <t>Taxes</t>
  </si>
  <si>
    <t>Annual decline in the revenue growth rate, starting from 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</si>
</sst>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0.0%"/>
    <numFmt numFmtId="167" formatCode="_(* #,##0.0_);_(* \(#,##0.0\);_(* &quot;-&quot;??_);_(@_)"/>
    <numFmt numFmtId="168" formatCode="0.0"/>
    <numFmt numFmtId="169" formatCode="#,##0.0"/>
    <numFmt numFmtId="170" formatCode="0.00&quot;x&quot;"/>
    <numFmt numFmtId="171" formatCode="0&quot;A&quot;"/>
    <numFmt numFmtId="172" formatCode="0&quot;E&quot;"/>
    <numFmt numFmtId="173" formatCode="_(* #,##0.000_);_(* \(#,##0.000\);_(* &quot;-&quot;??_);_(@_)"/>
    <numFmt numFmtId="174" formatCode="#,##0.0000_);\(#,##0.0000\)"/>
    <numFmt numFmtId="175" formatCode="[$-409]mmmm\ d\,\ yyyy;@"/>
    <numFmt numFmtId="176" formatCode="_(&quot;$&quot;* #,##0_);_(&quot;$&quot;* \(#,##0\);_(&quot;$&quot;* &quot;-&quot;??_);_(@_)"/>
    <numFmt numFmtId="177" formatCode="0.000"/>
    <numFmt numFmtId="178" formatCode="0.0\x"/>
    <numFmt numFmtId="179" formatCode="_(* #,##0.0000_);_(* \(#,##0.0000\);_(* &quot;-&quot;??_);_(@_)"/>
  </numFmts>
  <fonts count="6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u/>
      <sz val="10"/>
      <name val="Arial"/>
      <family val="2"/>
    </font>
    <font>
      <b/>
      <sz val="11"/>
      <color theme="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11"/>
      <name val="Arial"/>
      <family val="2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sz val="11"/>
      <name val="Calibri"/>
      <family val="2"/>
      <scheme val="minor"/>
    </font>
    <font>
      <sz val="10"/>
      <color theme="0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sz val="1"/>
      <color indexed="9"/>
      <name val="Symbol"/>
      <family val="1"/>
      <charset val="2"/>
    </font>
    <font>
      <sz val="8"/>
      <name val="Arial"/>
      <family val="2"/>
    </font>
    <font>
      <b/>
      <sz val="10"/>
      <color theme="0"/>
      <name val="Times New Roman"/>
      <family val="1"/>
    </font>
    <font>
      <b/>
      <sz val="12"/>
      <color theme="0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indexed="43"/>
      <name val="Calibri"/>
      <family val="2"/>
    </font>
    <font>
      <sz val="8"/>
      <color indexed="43"/>
      <name val="Century"/>
      <family val="1"/>
    </font>
    <font>
      <sz val="13"/>
      <color indexed="43"/>
      <name val="Calibri"/>
      <family val="2"/>
    </font>
    <font>
      <u/>
      <sz val="9.1999999999999993"/>
      <color theme="10"/>
      <name val="Calibri"/>
      <family val="2"/>
    </font>
    <font>
      <sz val="13"/>
      <color indexed="43"/>
      <name val="Century"/>
      <family val="1"/>
    </font>
    <font>
      <u/>
      <sz val="10"/>
      <color indexed="12"/>
      <name val="Arial"/>
      <family val="2"/>
    </font>
    <font>
      <sz val="12"/>
      <color indexed="43"/>
      <name val="Century"/>
      <family val="1"/>
    </font>
    <font>
      <i/>
      <sz val="18"/>
      <color rgb="FF00B050"/>
      <name val="Century"/>
      <family val="1"/>
    </font>
    <font>
      <sz val="14"/>
      <name val="Times New Roman"/>
      <family val="1"/>
    </font>
    <font>
      <sz val="8"/>
      <color theme="1"/>
      <name val="Times New Roman"/>
      <family val="1"/>
    </font>
    <font>
      <b/>
      <sz val="20"/>
      <color rgb="FF00B050"/>
      <name val="Times New Roman"/>
      <family val="1"/>
    </font>
    <font>
      <b/>
      <sz val="28"/>
      <color rgb="FF00B050"/>
      <name val="Times New Roman"/>
      <family val="1"/>
    </font>
    <font>
      <sz val="28"/>
      <color rgb="FF00B050"/>
      <name val="Times New Roman"/>
      <family val="1"/>
    </font>
    <font>
      <sz val="16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8"/>
      <color indexed="8"/>
      <name val="Calibri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4C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709C58"/>
      </bottom>
      <diagonal/>
    </border>
    <border>
      <left/>
      <right/>
      <top style="thin">
        <color rgb="FF709C58"/>
      </top>
      <bottom/>
      <diagonal/>
    </border>
    <border>
      <left style="thin">
        <color rgb="FF709C58"/>
      </left>
      <right/>
      <top/>
      <bottom/>
      <diagonal/>
    </border>
    <border>
      <left/>
      <right style="thin">
        <color rgb="FF709C58"/>
      </right>
      <top style="thin">
        <color rgb="FF709C58"/>
      </top>
      <bottom/>
      <diagonal/>
    </border>
    <border>
      <left/>
      <right style="thin">
        <color rgb="FF709C58"/>
      </right>
      <top/>
      <bottom/>
      <diagonal/>
    </border>
    <border>
      <left/>
      <right style="thin">
        <color rgb="FF709C58"/>
      </right>
      <top/>
      <bottom style="thin">
        <color rgb="FF709C58"/>
      </bottom>
      <diagonal/>
    </border>
    <border>
      <left style="thin">
        <color rgb="FF709C58"/>
      </left>
      <right/>
      <top style="thin">
        <color rgb="FF709C58"/>
      </top>
      <bottom/>
      <diagonal/>
    </border>
    <border>
      <left style="thin">
        <color rgb="FF709C58"/>
      </left>
      <right/>
      <top/>
      <bottom style="thin">
        <color rgb="FF709C58"/>
      </bottom>
      <diagonal/>
    </border>
    <border>
      <left/>
      <right/>
      <top style="thin">
        <color rgb="FF709C58"/>
      </top>
      <bottom style="medium">
        <color rgb="FF709C58"/>
      </bottom>
      <diagonal/>
    </border>
    <border>
      <left/>
      <right/>
      <top style="medium">
        <color rgb="FF709C58"/>
      </top>
      <bottom/>
      <diagonal/>
    </border>
    <border>
      <left/>
      <right/>
      <top style="thin">
        <color rgb="FF709C58"/>
      </top>
      <bottom style="thin">
        <color rgb="FF709C5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6" fillId="0" borderId="0" applyFill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1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0" fillId="0" borderId="0"/>
    <xf numFmtId="0" fontId="31" fillId="0" borderId="0" applyAlignment="0"/>
    <xf numFmtId="0" fontId="36" fillId="0" borderId="0"/>
    <xf numFmtId="0" fontId="40" fillId="0" borderId="0"/>
    <xf numFmtId="0" fontId="44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9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32" fillId="0" borderId="0"/>
  </cellStyleXfs>
  <cellXfs count="454">
    <xf numFmtId="0" fontId="0" fillId="0" borderId="0" xfId="0"/>
    <xf numFmtId="0" fontId="6" fillId="0" borderId="0" xfId="1" applyFill="1"/>
    <xf numFmtId="0" fontId="7" fillId="0" borderId="0" xfId="1" applyFont="1" applyFill="1" applyAlignment="1">
      <alignment horizontal="left" vertical="top"/>
    </xf>
    <xf numFmtId="10" fontId="6" fillId="0" borderId="0" xfId="3" applyNumberFormat="1" applyFont="1" applyFill="1"/>
    <xf numFmtId="10" fontId="0" fillId="0" borderId="0" xfId="3" applyNumberFormat="1" applyFont="1"/>
    <xf numFmtId="10" fontId="0" fillId="0" borderId="1" xfId="3" applyNumberFormat="1" applyFont="1" applyBorder="1"/>
    <xf numFmtId="0" fontId="6" fillId="0" borderId="0" xfId="5" applyFont="1"/>
    <xf numFmtId="0" fontId="7" fillId="0" borderId="0" xfId="5" applyFont="1"/>
    <xf numFmtId="165" fontId="6" fillId="0" borderId="0" xfId="6" applyNumberFormat="1" applyFont="1"/>
    <xf numFmtId="166" fontId="6" fillId="0" borderId="0" xfId="7" applyNumberFormat="1" applyFont="1"/>
    <xf numFmtId="10" fontId="6" fillId="0" borderId="0" xfId="7" applyNumberFormat="1" applyFont="1"/>
    <xf numFmtId="3" fontId="6" fillId="0" borderId="0" xfId="5" applyNumberFormat="1" applyFont="1"/>
    <xf numFmtId="167" fontId="6" fillId="0" borderId="0" xfId="6" applyNumberFormat="1" applyFont="1"/>
    <xf numFmtId="9" fontId="7" fillId="0" borderId="0" xfId="5" applyNumberFormat="1" applyFont="1"/>
    <xf numFmtId="165" fontId="6" fillId="0" borderId="0" xfId="6" applyNumberFormat="1" applyFont="1" applyFill="1"/>
    <xf numFmtId="166" fontId="6" fillId="0" borderId="0" xfId="7" applyNumberFormat="1" applyFont="1" applyFill="1"/>
    <xf numFmtId="0" fontId="6" fillId="0" borderId="0" xfId="1" applyFill="1" applyAlignment="1">
      <alignment wrapText="1"/>
    </xf>
    <xf numFmtId="0" fontId="15" fillId="0" borderId="0" xfId="5" applyFont="1"/>
    <xf numFmtId="167" fontId="6" fillId="0" borderId="5" xfId="4" applyNumberFormat="1" applyFont="1" applyFill="1" applyBorder="1" applyAlignment="1">
      <alignment horizontal="right" vertical="center" wrapText="1"/>
    </xf>
    <xf numFmtId="165" fontId="6" fillId="0" borderId="5" xfId="4" applyNumberFormat="1" applyFont="1" applyFill="1" applyBorder="1" applyAlignment="1">
      <alignment horizontal="right" vertical="top" wrapText="1"/>
    </xf>
    <xf numFmtId="0" fontId="6" fillId="0" borderId="5" xfId="5" applyFont="1" applyBorder="1"/>
    <xf numFmtId="43" fontId="6" fillId="0" borderId="5" xfId="6" applyFont="1" applyFill="1" applyBorder="1"/>
    <xf numFmtId="166" fontId="6" fillId="0" borderId="5" xfId="7" applyNumberFormat="1" applyFont="1" applyBorder="1"/>
    <xf numFmtId="166" fontId="6" fillId="0" borderId="5" xfId="7" applyNumberFormat="1" applyFont="1" applyFill="1" applyBorder="1"/>
    <xf numFmtId="2" fontId="6" fillId="0" borderId="5" xfId="5" applyNumberFormat="1" applyFont="1" applyBorder="1"/>
    <xf numFmtId="168" fontId="6" fillId="0" borderId="5" xfId="5" applyNumberFormat="1" applyFont="1" applyBorder="1"/>
    <xf numFmtId="43" fontId="6" fillId="0" borderId="5" xfId="4" applyFont="1" applyFill="1" applyBorder="1"/>
    <xf numFmtId="43" fontId="6" fillId="0" borderId="5" xfId="6" applyFont="1" applyBorder="1"/>
    <xf numFmtId="43" fontId="6" fillId="0" borderId="0" xfId="4" applyFont="1"/>
    <xf numFmtId="166" fontId="6" fillId="0" borderId="0" xfId="7" applyNumberFormat="1" applyFont="1" applyAlignment="1">
      <alignment horizontal="left"/>
    </xf>
    <xf numFmtId="166" fontId="6" fillId="0" borderId="0" xfId="7" applyNumberFormat="1" applyFont="1" applyBorder="1" applyAlignment="1">
      <alignment horizontal="left"/>
    </xf>
    <xf numFmtId="0" fontId="19" fillId="0" borderId="0" xfId="0" applyFont="1"/>
    <xf numFmtId="0" fontId="4" fillId="0" borderId="1" xfId="0" applyFont="1" applyBorder="1"/>
    <xf numFmtId="0" fontId="2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1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7" fontId="4" fillId="0" borderId="1" xfId="4" applyNumberFormat="1" applyFont="1" applyFill="1" applyBorder="1" applyAlignment="1">
      <alignment horizontal="center"/>
    </xf>
    <xf numFmtId="10" fontId="4" fillId="0" borderId="1" xfId="3" applyNumberFormat="1" applyFont="1" applyFill="1" applyBorder="1" applyAlignment="1">
      <alignment horizontal="center"/>
    </xf>
    <xf numFmtId="43" fontId="4" fillId="0" borderId="1" xfId="4" applyFont="1" applyFill="1" applyBorder="1" applyAlignment="1">
      <alignment horizontal="center"/>
    </xf>
    <xf numFmtId="167" fontId="3" fillId="0" borderId="1" xfId="4" applyNumberFormat="1" applyFont="1" applyFill="1" applyBorder="1" applyAlignment="1">
      <alignment horizontal="center"/>
    </xf>
    <xf numFmtId="167" fontId="20" fillId="0" borderId="1" xfId="4" applyNumberFormat="1" applyFont="1" applyFill="1" applyBorder="1" applyAlignment="1">
      <alignment horizontal="center"/>
    </xf>
    <xf numFmtId="3" fontId="20" fillId="0" borderId="1" xfId="0" applyNumberFormat="1" applyFont="1" applyBorder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2" fillId="3" borderId="8" xfId="0" applyFont="1" applyFill="1" applyBorder="1" applyAlignment="1">
      <alignment vertical="center"/>
    </xf>
    <xf numFmtId="0" fontId="22" fillId="3" borderId="4" xfId="0" applyFont="1" applyFill="1" applyBorder="1" applyAlignment="1">
      <alignment vertical="center"/>
    </xf>
    <xf numFmtId="0" fontId="22" fillId="3" borderId="7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10" fontId="4" fillId="0" borderId="1" xfId="3" applyNumberFormat="1" applyFont="1" applyFill="1" applyBorder="1" applyAlignment="1">
      <alignment horizontal="right"/>
    </xf>
    <xf numFmtId="167" fontId="20" fillId="0" borderId="1" xfId="4" applyNumberFormat="1" applyFont="1" applyFill="1" applyBorder="1" applyAlignment="1">
      <alignment horizontal="right"/>
    </xf>
    <xf numFmtId="167" fontId="3" fillId="0" borderId="1" xfId="4" applyNumberFormat="1" applyFont="1" applyFill="1" applyBorder="1" applyAlignment="1">
      <alignment horizontal="right"/>
    </xf>
    <xf numFmtId="167" fontId="4" fillId="0" borderId="1" xfId="4" applyNumberFormat="1" applyFont="1" applyFill="1" applyBorder="1" applyAlignment="1">
      <alignment horizontal="right"/>
    </xf>
    <xf numFmtId="0" fontId="20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6" fontId="20" fillId="0" borderId="1" xfId="3" applyNumberFormat="1" applyFont="1" applyFill="1" applyBorder="1" applyAlignment="1">
      <alignment horizontal="right"/>
    </xf>
    <xf numFmtId="166" fontId="3" fillId="0" borderId="1" xfId="3" applyNumberFormat="1" applyFont="1" applyFill="1" applyBorder="1" applyAlignment="1">
      <alignment horizontal="right"/>
    </xf>
    <xf numFmtId="166" fontId="20" fillId="0" borderId="1" xfId="0" applyNumberFormat="1" applyFont="1" applyBorder="1"/>
    <xf numFmtId="166" fontId="3" fillId="0" borderId="1" xfId="0" applyNumberFormat="1" applyFont="1" applyBorder="1"/>
    <xf numFmtId="168" fontId="16" fillId="0" borderId="1" xfId="0" applyNumberFormat="1" applyFont="1" applyBorder="1" applyAlignment="1">
      <alignment horizontal="right" vertical="center"/>
    </xf>
    <xf numFmtId="168" fontId="17" fillId="0" borderId="1" xfId="0" applyNumberFormat="1" applyFont="1" applyBorder="1" applyAlignment="1">
      <alignment horizontal="right" vertical="center"/>
    </xf>
    <xf numFmtId="168" fontId="20" fillId="0" borderId="1" xfId="0" applyNumberFormat="1" applyFont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8" fontId="20" fillId="0" borderId="1" xfId="0" applyNumberFormat="1" applyFont="1" applyBorder="1"/>
    <xf numFmtId="168" fontId="3" fillId="0" borderId="1" xfId="0" applyNumberFormat="1" applyFont="1" applyBorder="1"/>
    <xf numFmtId="166" fontId="20" fillId="0" borderId="1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9" fontId="3" fillId="0" borderId="1" xfId="3" applyFont="1" applyFill="1" applyBorder="1" applyAlignment="1">
      <alignment horizontal="left"/>
    </xf>
    <xf numFmtId="9" fontId="20" fillId="0" borderId="1" xfId="3" applyFont="1" applyFill="1" applyBorder="1" applyAlignment="1">
      <alignment horizontal="right"/>
    </xf>
    <xf numFmtId="9" fontId="3" fillId="0" borderId="1" xfId="3" applyFont="1" applyFill="1" applyBorder="1" applyAlignment="1">
      <alignment horizontal="right"/>
    </xf>
    <xf numFmtId="9" fontId="4" fillId="0" borderId="1" xfId="3" applyFont="1" applyFill="1" applyBorder="1" applyAlignment="1">
      <alignment horizontal="right"/>
    </xf>
    <xf numFmtId="9" fontId="19" fillId="0" borderId="0" xfId="3" applyFont="1"/>
    <xf numFmtId="0" fontId="2" fillId="0" borderId="1" xfId="0" applyFont="1" applyBorder="1"/>
    <xf numFmtId="169" fontId="20" fillId="0" borderId="1" xfId="0" applyNumberFormat="1" applyFont="1" applyBorder="1" applyAlignment="1">
      <alignment horizontal="right"/>
    </xf>
    <xf numFmtId="169" fontId="3" fillId="0" borderId="1" xfId="0" applyNumberFormat="1" applyFont="1" applyBorder="1" applyAlignment="1">
      <alignment horizontal="right"/>
    </xf>
    <xf numFmtId="3" fontId="20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2" fillId="0" borderId="0" xfId="0" applyFont="1"/>
    <xf numFmtId="0" fontId="11" fillId="0" borderId="0" xfId="5"/>
    <xf numFmtId="0" fontId="12" fillId="0" borderId="0" xfId="5" applyFont="1" applyAlignment="1">
      <alignment horizontal="left"/>
    </xf>
    <xf numFmtId="0" fontId="12" fillId="0" borderId="0" xfId="5" applyFont="1" applyAlignment="1">
      <alignment horizontal="centerContinuous"/>
    </xf>
    <xf numFmtId="0" fontId="23" fillId="0" borderId="0" xfId="5" applyFont="1" applyAlignment="1">
      <alignment horizontal="centerContinuous"/>
    </xf>
    <xf numFmtId="0" fontId="12" fillId="0" borderId="0" xfId="5" applyFont="1"/>
    <xf numFmtId="1" fontId="12" fillId="0" borderId="0" xfId="5" applyNumberFormat="1" applyFont="1" applyAlignment="1">
      <alignment horizontal="right"/>
    </xf>
    <xf numFmtId="166" fontId="12" fillId="0" borderId="0" xfId="7" applyNumberFormat="1"/>
    <xf numFmtId="166" fontId="24" fillId="0" borderId="0" xfId="7" applyNumberFormat="1" applyFont="1" applyAlignment="1">
      <alignment horizontal="right"/>
    </xf>
    <xf numFmtId="166" fontId="12" fillId="0" borderId="0" xfId="7" applyNumberFormat="1" applyAlignment="1">
      <alignment horizontal="right"/>
    </xf>
    <xf numFmtId="166" fontId="12" fillId="0" borderId="0" xfId="7" applyNumberFormat="1" applyAlignment="1">
      <alignment horizontal="left"/>
    </xf>
    <xf numFmtId="3" fontId="12" fillId="0" borderId="0" xfId="5" applyNumberFormat="1" applyFont="1"/>
    <xf numFmtId="3" fontId="24" fillId="0" borderId="0" xfId="5" applyNumberFormat="1" applyFont="1"/>
    <xf numFmtId="3" fontId="12" fillId="0" borderId="2" xfId="5" applyNumberFormat="1" applyFont="1" applyBorder="1"/>
    <xf numFmtId="3" fontId="24" fillId="0" borderId="2" xfId="5" applyNumberFormat="1" applyFont="1" applyBorder="1"/>
    <xf numFmtId="10" fontId="6" fillId="0" borderId="5" xfId="3" applyNumberFormat="1" applyFont="1" applyFill="1" applyBorder="1"/>
    <xf numFmtId="166" fontId="12" fillId="0" borderId="0" xfId="7" applyNumberFormat="1" applyBorder="1"/>
    <xf numFmtId="166" fontId="24" fillId="0" borderId="0" xfId="7" applyNumberFormat="1" applyFont="1" applyBorder="1"/>
    <xf numFmtId="3" fontId="23" fillId="0" borderId="2" xfId="5" applyNumberFormat="1" applyFont="1" applyBorder="1"/>
    <xf numFmtId="3" fontId="23" fillId="0" borderId="0" xfId="5" applyNumberFormat="1" applyFont="1"/>
    <xf numFmtId="10" fontId="6" fillId="0" borderId="0" xfId="3" applyNumberFormat="1" applyFont="1"/>
    <xf numFmtId="3" fontId="25" fillId="0" borderId="2" xfId="5" applyNumberFormat="1" applyFont="1" applyBorder="1"/>
    <xf numFmtId="2" fontId="0" fillId="0" borderId="0" xfId="0" applyNumberFormat="1"/>
    <xf numFmtId="2" fontId="10" fillId="0" borderId="0" xfId="0" applyNumberFormat="1" applyFont="1"/>
    <xf numFmtId="3" fontId="25" fillId="0" borderId="0" xfId="5" applyNumberFormat="1" applyFont="1"/>
    <xf numFmtId="10" fontId="24" fillId="0" borderId="0" xfId="7" applyNumberFormat="1" applyFont="1" applyAlignment="1">
      <alignment horizontal="right"/>
    </xf>
    <xf numFmtId="10" fontId="12" fillId="0" borderId="0" xfId="7" applyNumberFormat="1" applyAlignment="1">
      <alignment horizontal="right"/>
    </xf>
    <xf numFmtId="10" fontId="12" fillId="0" borderId="0" xfId="5" applyNumberFormat="1" applyFont="1"/>
    <xf numFmtId="43" fontId="12" fillId="0" borderId="0" xfId="6" applyFont="1" applyAlignment="1">
      <alignment horizontal="right"/>
    </xf>
    <xf numFmtId="10" fontId="12" fillId="0" borderId="0" xfId="7" applyNumberFormat="1" applyFont="1" applyAlignment="1">
      <alignment horizontal="right"/>
    </xf>
    <xf numFmtId="0" fontId="10" fillId="0" borderId="0" xfId="0" applyFont="1"/>
    <xf numFmtId="0" fontId="17" fillId="0" borderId="1" xfId="1" applyFont="1" applyFill="1" applyBorder="1" applyAlignment="1">
      <alignment horizontal="left" indent="1"/>
    </xf>
    <xf numFmtId="165" fontId="6" fillId="0" borderId="1" xfId="4" applyNumberFormat="1" applyFont="1" applyFill="1" applyBorder="1" applyAlignment="1">
      <alignment horizontal="right"/>
    </xf>
    <xf numFmtId="165" fontId="27" fillId="0" borderId="1" xfId="4" applyNumberFormat="1" applyFont="1" applyBorder="1" applyAlignment="1">
      <alignment horizontal="right"/>
    </xf>
    <xf numFmtId="0" fontId="5" fillId="4" borderId="0" xfId="0" applyFont="1" applyFill="1" applyAlignment="1">
      <alignment horizontal="center"/>
    </xf>
    <xf numFmtId="0" fontId="0" fillId="0" borderId="1" xfId="0" applyBorder="1"/>
    <xf numFmtId="3" fontId="26" fillId="0" borderId="0" xfId="5" applyNumberFormat="1" applyFont="1"/>
    <xf numFmtId="3" fontId="28" fillId="0" borderId="0" xfId="5" applyNumberFormat="1" applyFont="1"/>
    <xf numFmtId="166" fontId="28" fillId="0" borderId="0" xfId="7" applyNumberFormat="1" applyFont="1" applyBorder="1"/>
    <xf numFmtId="0" fontId="28" fillId="0" borderId="0" xfId="5" applyFont="1"/>
    <xf numFmtId="173" fontId="0" fillId="0" borderId="1" xfId="4" applyNumberFormat="1" applyFont="1" applyBorder="1"/>
    <xf numFmtId="10" fontId="12" fillId="0" borderId="0" xfId="3" applyNumberFormat="1" applyFont="1"/>
    <xf numFmtId="165" fontId="12" fillId="0" borderId="0" xfId="6" applyNumberFormat="1" applyFont="1" applyBorder="1"/>
    <xf numFmtId="166" fontId="12" fillId="0" borderId="0" xfId="7" applyNumberFormat="1" applyFont="1" applyBorder="1"/>
    <xf numFmtId="10" fontId="12" fillId="0" borderId="0" xfId="3" applyNumberFormat="1" applyFont="1" applyAlignment="1">
      <alignment horizontal="right"/>
    </xf>
    <xf numFmtId="171" fontId="5" fillId="4" borderId="0" xfId="0" applyNumberFormat="1" applyFont="1" applyFill="1" applyAlignment="1">
      <alignment horizontal="center"/>
    </xf>
    <xf numFmtId="172" fontId="5" fillId="4" borderId="0" xfId="0" applyNumberFormat="1" applyFont="1" applyFill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0" fontId="0" fillId="0" borderId="1" xfId="3" applyNumberFormat="1" applyFont="1" applyBorder="1" applyAlignment="1">
      <alignment horizontal="center" vertical="center"/>
    </xf>
    <xf numFmtId="10" fontId="0" fillId="0" borderId="1" xfId="3" applyNumberFormat="1" applyFont="1" applyFill="1" applyBorder="1"/>
    <xf numFmtId="0" fontId="5" fillId="0" borderId="0" xfId="0" applyFont="1" applyAlignment="1">
      <alignment horizontal="center"/>
    </xf>
    <xf numFmtId="10" fontId="6" fillId="0" borderId="5" xfId="7" applyNumberFormat="1" applyFont="1" applyBorder="1"/>
    <xf numFmtId="166" fontId="6" fillId="0" borderId="6" xfId="7" applyNumberFormat="1" applyFont="1" applyBorder="1" applyAlignment="1">
      <alignment vertical="center"/>
    </xf>
    <xf numFmtId="10" fontId="0" fillId="0" borderId="0" xfId="0" applyNumberFormat="1"/>
    <xf numFmtId="1" fontId="0" fillId="0" borderId="1" xfId="0" applyNumberFormat="1" applyBorder="1" applyAlignment="1">
      <alignment horizontal="center" vertical="center"/>
    </xf>
    <xf numFmtId="0" fontId="27" fillId="0" borderId="0" xfId="0" applyFont="1" applyAlignment="1">
      <alignment horizontal="left"/>
    </xf>
    <xf numFmtId="0" fontId="35" fillId="0" borderId="0" xfId="0" applyFont="1"/>
    <xf numFmtId="10" fontId="10" fillId="5" borderId="1" xfId="0" applyNumberFormat="1" applyFont="1" applyFill="1" applyBorder="1"/>
    <xf numFmtId="2" fontId="0" fillId="0" borderId="0" xfId="0" applyNumberFormat="1" applyAlignment="1">
      <alignment horizontal="center" vertical="center"/>
    </xf>
    <xf numFmtId="10" fontId="0" fillId="0" borderId="0" xfId="3" applyNumberFormat="1" applyFont="1" applyBorder="1" applyAlignment="1">
      <alignment horizontal="center" vertical="center"/>
    </xf>
    <xf numFmtId="10" fontId="10" fillId="5" borderId="0" xfId="0" applyNumberFormat="1" applyFont="1" applyFill="1"/>
    <xf numFmtId="0" fontId="36" fillId="0" borderId="0" xfId="10"/>
    <xf numFmtId="0" fontId="37" fillId="0" borderId="0" xfId="10" applyFont="1" applyAlignment="1">
      <alignment horizontal="left"/>
    </xf>
    <xf numFmtId="0" fontId="38" fillId="0" borderId="0" xfId="10" applyFont="1" applyAlignment="1">
      <alignment horizontal="left"/>
    </xf>
    <xf numFmtId="0" fontId="36" fillId="0" borderId="0" xfId="10" applyAlignment="1">
      <alignment horizontal="left" vertical="top" wrapText="1"/>
    </xf>
    <xf numFmtId="0" fontId="39" fillId="0" borderId="0" xfId="10" applyFont="1" applyAlignment="1">
      <alignment horizontal="left" vertical="top"/>
    </xf>
    <xf numFmtId="0" fontId="39" fillId="0" borderId="0" xfId="10" applyFont="1" applyAlignment="1">
      <alignment horizontal="right" vertical="top" wrapText="1"/>
    </xf>
    <xf numFmtId="0" fontId="36" fillId="0" borderId="0" xfId="10" applyAlignment="1">
      <alignment horizontal="left"/>
    </xf>
    <xf numFmtId="0" fontId="41" fillId="2" borderId="0" xfId="11" applyFont="1" applyFill="1"/>
    <xf numFmtId="0" fontId="40" fillId="2" borderId="0" xfId="11" applyFill="1"/>
    <xf numFmtId="0" fontId="42" fillId="2" borderId="0" xfId="11" applyFont="1" applyFill="1"/>
    <xf numFmtId="0" fontId="43" fillId="2" borderId="0" xfId="11" applyFont="1" applyFill="1"/>
    <xf numFmtId="0" fontId="45" fillId="2" borderId="0" xfId="11" applyFont="1" applyFill="1" applyAlignment="1">
      <alignment vertical="center"/>
    </xf>
    <xf numFmtId="0" fontId="49" fillId="2" borderId="0" xfId="11" applyFont="1" applyFill="1"/>
    <xf numFmtId="0" fontId="50" fillId="2" borderId="0" xfId="11" applyFont="1" applyFill="1"/>
    <xf numFmtId="22" fontId="54" fillId="2" borderId="0" xfId="11" applyNumberFormat="1" applyFont="1" applyFill="1"/>
    <xf numFmtId="176" fontId="36" fillId="0" borderId="0" xfId="2" applyNumberFormat="1" applyFont="1"/>
    <xf numFmtId="176" fontId="36" fillId="0" borderId="0" xfId="2" applyNumberFormat="1" applyFont="1" applyAlignment="1">
      <alignment horizontal="right"/>
    </xf>
    <xf numFmtId="0" fontId="36" fillId="0" borderId="12" xfId="10" applyBorder="1" applyAlignment="1">
      <alignment horizontal="left"/>
    </xf>
    <xf numFmtId="176" fontId="36" fillId="0" borderId="0" xfId="10" applyNumberFormat="1"/>
    <xf numFmtId="0" fontId="55" fillId="0" borderId="12" xfId="10" applyFont="1" applyBorder="1" applyAlignment="1">
      <alignment horizontal="left"/>
    </xf>
    <xf numFmtId="0" fontId="55" fillId="0" borderId="0" xfId="10" applyFont="1" applyAlignment="1">
      <alignment horizontal="left"/>
    </xf>
    <xf numFmtId="176" fontId="55" fillId="0" borderId="0" xfId="2" applyNumberFormat="1" applyFont="1"/>
    <xf numFmtId="176" fontId="55" fillId="0" borderId="12" xfId="2" applyNumberFormat="1" applyFont="1" applyBorder="1"/>
    <xf numFmtId="176" fontId="55" fillId="0" borderId="0" xfId="2" applyNumberFormat="1" applyFont="1" applyBorder="1"/>
    <xf numFmtId="0" fontId="36" fillId="0" borderId="0" xfId="10" applyAlignment="1">
      <alignment horizontal="left" indent="1"/>
    </xf>
    <xf numFmtId="0" fontId="55" fillId="0" borderId="19" xfId="10" applyFont="1" applyBorder="1" applyAlignment="1">
      <alignment horizontal="left"/>
    </xf>
    <xf numFmtId="176" fontId="55" fillId="0" borderId="19" xfId="2" applyNumberFormat="1" applyFont="1" applyBorder="1"/>
    <xf numFmtId="165" fontId="36" fillId="0" borderId="0" xfId="4" applyNumberFormat="1" applyFont="1"/>
    <xf numFmtId="165" fontId="36" fillId="0" borderId="0" xfId="4" applyNumberFormat="1" applyFont="1" applyAlignment="1">
      <alignment horizontal="right"/>
    </xf>
    <xf numFmtId="0" fontId="55" fillId="0" borderId="21" xfId="10" applyFont="1" applyBorder="1" applyAlignment="1">
      <alignment horizontal="left"/>
    </xf>
    <xf numFmtId="176" fontId="55" fillId="0" borderId="21" xfId="2" applyNumberFormat="1" applyFont="1" applyBorder="1"/>
    <xf numFmtId="0" fontId="56" fillId="0" borderId="0" xfId="10" applyFont="1"/>
    <xf numFmtId="0" fontId="55" fillId="0" borderId="19" xfId="10" applyFont="1" applyBorder="1"/>
    <xf numFmtId="176" fontId="55" fillId="0" borderId="19" xfId="10" applyNumberFormat="1" applyFont="1" applyBorder="1"/>
    <xf numFmtId="0" fontId="57" fillId="0" borderId="0" xfId="10" applyFont="1" applyAlignment="1">
      <alignment horizontal="right"/>
    </xf>
    <xf numFmtId="0" fontId="55" fillId="0" borderId="0" xfId="10" applyFont="1" applyAlignment="1">
      <alignment vertical="top" wrapText="1"/>
    </xf>
    <xf numFmtId="176" fontId="55" fillId="0" borderId="0" xfId="2" applyNumberFormat="1" applyFont="1" applyAlignment="1">
      <alignment horizontal="right"/>
    </xf>
    <xf numFmtId="44" fontId="55" fillId="0" borderId="0" xfId="2" applyFont="1"/>
    <xf numFmtId="44" fontId="55" fillId="0" borderId="0" xfId="2" applyFont="1" applyAlignment="1">
      <alignment horizontal="right"/>
    </xf>
    <xf numFmtId="165" fontId="36" fillId="0" borderId="0" xfId="10" applyNumberFormat="1"/>
    <xf numFmtId="0" fontId="56" fillId="0" borderId="0" xfId="10" applyFont="1" applyAlignment="1">
      <alignment horizontal="left" indent="1"/>
    </xf>
    <xf numFmtId="165" fontId="36" fillId="0" borderId="0" xfId="4" applyNumberFormat="1" applyFont="1" applyFill="1"/>
    <xf numFmtId="165" fontId="36" fillId="0" borderId="0" xfId="4" applyNumberFormat="1" applyFont="1" applyFill="1" applyAlignment="1">
      <alignment horizontal="right"/>
    </xf>
    <xf numFmtId="176" fontId="36" fillId="0" borderId="0" xfId="10" applyNumberFormat="1" applyAlignment="1">
      <alignment horizontal="left"/>
    </xf>
    <xf numFmtId="0" fontId="56" fillId="0" borderId="0" xfId="10" applyFont="1" applyAlignment="1">
      <alignment horizontal="left"/>
    </xf>
    <xf numFmtId="10" fontId="55" fillId="0" borderId="0" xfId="3" applyNumberFormat="1" applyFont="1" applyAlignment="1">
      <alignment horizontal="right"/>
    </xf>
    <xf numFmtId="10" fontId="36" fillId="0" borderId="0" xfId="3" applyNumberFormat="1" applyFont="1" applyAlignment="1">
      <alignment horizontal="left"/>
    </xf>
    <xf numFmtId="10" fontId="36" fillId="0" borderId="0" xfId="3" applyNumberFormat="1" applyFont="1" applyAlignment="1">
      <alignment horizontal="right"/>
    </xf>
    <xf numFmtId="10" fontId="36" fillId="0" borderId="0" xfId="3" applyNumberFormat="1" applyFont="1"/>
    <xf numFmtId="0" fontId="55" fillId="0" borderId="0" xfId="10" applyFont="1" applyAlignment="1">
      <alignment horizontal="left" vertical="center"/>
    </xf>
    <xf numFmtId="0" fontId="55" fillId="0" borderId="0" xfId="10" applyFont="1" applyAlignment="1">
      <alignment vertical="center" wrapText="1"/>
    </xf>
    <xf numFmtId="14" fontId="39" fillId="0" borderId="0" xfId="10" applyNumberFormat="1" applyFont="1" applyAlignment="1">
      <alignment horizontal="left" vertical="top"/>
    </xf>
    <xf numFmtId="43" fontId="36" fillId="0" borderId="0" xfId="4" applyFont="1"/>
    <xf numFmtId="165" fontId="36" fillId="0" borderId="0" xfId="4" applyNumberFormat="1" applyFont="1" applyAlignment="1">
      <alignment horizontal="left"/>
    </xf>
    <xf numFmtId="165" fontId="56" fillId="0" borderId="0" xfId="4" applyNumberFormat="1" applyFont="1" applyAlignment="1">
      <alignment horizontal="left"/>
    </xf>
    <xf numFmtId="165" fontId="55" fillId="0" borderId="12" xfId="4" applyNumberFormat="1" applyFont="1" applyBorder="1" applyAlignment="1">
      <alignment horizontal="left"/>
    </xf>
    <xf numFmtId="165" fontId="36" fillId="0" borderId="0" xfId="4" applyNumberFormat="1" applyFont="1" applyAlignment="1">
      <alignment horizontal="left" indent="1"/>
    </xf>
    <xf numFmtId="165" fontId="55" fillId="0" borderId="0" xfId="4" applyNumberFormat="1" applyFont="1" applyAlignment="1">
      <alignment horizontal="left"/>
    </xf>
    <xf numFmtId="165" fontId="56" fillId="0" borderId="0" xfId="4" applyNumberFormat="1" applyFont="1" applyAlignment="1">
      <alignment horizontal="left" indent="1"/>
    </xf>
    <xf numFmtId="176" fontId="55" fillId="0" borderId="12" xfId="2" applyNumberFormat="1" applyFont="1" applyBorder="1" applyAlignment="1">
      <alignment horizontal="left"/>
    </xf>
    <xf numFmtId="44" fontId="55" fillId="0" borderId="0" xfId="2" applyFont="1" applyAlignment="1">
      <alignment horizontal="left"/>
    </xf>
    <xf numFmtId="14" fontId="39" fillId="0" borderId="0" xfId="10" applyNumberFormat="1" applyFont="1" applyAlignment="1">
      <alignment horizontal="right" vertical="top"/>
    </xf>
    <xf numFmtId="176" fontId="55" fillId="0" borderId="0" xfId="2" applyNumberFormat="1" applyFont="1" applyAlignment="1">
      <alignment horizontal="left"/>
    </xf>
    <xf numFmtId="176" fontId="36" fillId="0" borderId="0" xfId="2" applyNumberFormat="1" applyFont="1" applyAlignment="1">
      <alignment horizontal="left"/>
    </xf>
    <xf numFmtId="176" fontId="36" fillId="0" borderId="0" xfId="2" applyNumberFormat="1" applyFont="1" applyAlignment="1">
      <alignment horizontal="left" indent="1"/>
    </xf>
    <xf numFmtId="0" fontId="55" fillId="0" borderId="0" xfId="10" applyFont="1" applyAlignment="1">
      <alignment wrapText="1"/>
    </xf>
    <xf numFmtId="10" fontId="36" fillId="0" borderId="2" xfId="3" applyNumberFormat="1" applyFont="1" applyBorder="1" applyAlignment="1">
      <alignment horizontal="left"/>
    </xf>
    <xf numFmtId="10" fontId="36" fillId="0" borderId="2" xfId="3" applyNumberFormat="1" applyFont="1" applyBorder="1"/>
    <xf numFmtId="10" fontId="55" fillId="0" borderId="2" xfId="3" applyNumberFormat="1" applyFont="1" applyBorder="1"/>
    <xf numFmtId="0" fontId="36" fillId="0" borderId="2" xfId="10" applyBorder="1"/>
    <xf numFmtId="10" fontId="36" fillId="0" borderId="2" xfId="3" applyNumberFormat="1" applyFont="1" applyBorder="1" applyAlignment="1">
      <alignment horizontal="right"/>
    </xf>
    <xf numFmtId="10" fontId="55" fillId="0" borderId="2" xfId="3" applyNumberFormat="1" applyFont="1" applyBorder="1" applyAlignment="1">
      <alignment horizontal="right"/>
    </xf>
    <xf numFmtId="0" fontId="36" fillId="0" borderId="0" xfId="4" applyNumberFormat="1" applyFont="1"/>
    <xf numFmtId="10" fontId="36" fillId="0" borderId="22" xfId="3" applyNumberFormat="1" applyFont="1" applyBorder="1" applyAlignment="1">
      <alignment horizontal="left"/>
    </xf>
    <xf numFmtId="10" fontId="36" fillId="0" borderId="22" xfId="3" applyNumberFormat="1" applyFont="1" applyBorder="1"/>
    <xf numFmtId="176" fontId="55" fillId="0" borderId="12" xfId="2" applyNumberFormat="1" applyFont="1" applyFill="1" applyBorder="1"/>
    <xf numFmtId="10" fontId="55" fillId="0" borderId="0" xfId="3" applyNumberFormat="1" applyFont="1" applyBorder="1" applyAlignment="1">
      <alignment horizontal="right"/>
    </xf>
    <xf numFmtId="10" fontId="55" fillId="0" borderId="0" xfId="3" applyNumberFormat="1" applyFont="1" applyBorder="1"/>
    <xf numFmtId="166" fontId="55" fillId="0" borderId="0" xfId="3" applyNumberFormat="1" applyFont="1" applyBorder="1"/>
    <xf numFmtId="176" fontId="6" fillId="0" borderId="0" xfId="2" applyNumberFormat="1" applyFont="1" applyFill="1"/>
    <xf numFmtId="10" fontId="36" fillId="0" borderId="0" xfId="3" applyNumberFormat="1" applyFont="1" applyBorder="1" applyAlignment="1">
      <alignment horizontal="right"/>
    </xf>
    <xf numFmtId="10" fontId="36" fillId="0" borderId="0" xfId="3" applyNumberFormat="1" applyFont="1" applyBorder="1"/>
    <xf numFmtId="43" fontId="6" fillId="0" borderId="0" xfId="4" applyFont="1" applyFill="1" applyBorder="1"/>
    <xf numFmtId="10" fontId="6" fillId="0" borderId="0" xfId="3" applyNumberFormat="1" applyFont="1" applyFill="1" applyBorder="1"/>
    <xf numFmtId="43" fontId="6" fillId="0" borderId="0" xfId="4" applyFont="1" applyBorder="1"/>
    <xf numFmtId="0" fontId="7" fillId="0" borderId="23" xfId="5" applyFont="1" applyBorder="1" applyAlignment="1">
      <alignment horizontal="left"/>
    </xf>
    <xf numFmtId="3" fontId="6" fillId="0" borderId="23" xfId="5" applyNumberFormat="1" applyFont="1" applyBorder="1"/>
    <xf numFmtId="166" fontId="6" fillId="0" borderId="25" xfId="7" applyNumberFormat="1" applyFont="1" applyBorder="1" applyAlignment="1">
      <alignment vertical="center"/>
    </xf>
    <xf numFmtId="43" fontId="6" fillId="0" borderId="0" xfId="4" applyFont="1" applyBorder="1" applyAlignment="1">
      <alignment horizontal="right"/>
    </xf>
    <xf numFmtId="43" fontId="6" fillId="0" borderId="0" xfId="4" applyFont="1" applyFill="1" applyBorder="1" applyAlignment="1">
      <alignment horizontal="right"/>
    </xf>
    <xf numFmtId="166" fontId="6" fillId="0" borderId="0" xfId="7" applyNumberFormat="1" applyFont="1" applyBorder="1" applyAlignment="1">
      <alignment horizontal="right"/>
    </xf>
    <xf numFmtId="166" fontId="7" fillId="0" borderId="23" xfId="7" applyNumberFormat="1" applyFont="1" applyBorder="1"/>
    <xf numFmtId="166" fontId="6" fillId="0" borderId="23" xfId="7" applyNumberFormat="1" applyFont="1" applyBorder="1"/>
    <xf numFmtId="166" fontId="6" fillId="0" borderId="24" xfId="7" applyNumberFormat="1" applyFont="1" applyBorder="1"/>
    <xf numFmtId="166" fontId="6" fillId="0" borderId="0" xfId="7" applyNumberFormat="1" applyFont="1" applyBorder="1"/>
    <xf numFmtId="43" fontId="6" fillId="0" borderId="5" xfId="4" applyFont="1" applyFill="1" applyBorder="1" applyAlignment="1">
      <alignment horizontal="right" vertical="top" wrapText="1"/>
    </xf>
    <xf numFmtId="3" fontId="13" fillId="0" borderId="24" xfId="5" applyNumberFormat="1" applyFont="1" applyBorder="1"/>
    <xf numFmtId="10" fontId="8" fillId="0" borderId="5" xfId="7" applyNumberFormat="1" applyFont="1" applyBorder="1"/>
    <xf numFmtId="166" fontId="8" fillId="0" borderId="5" xfId="7" applyNumberFormat="1" applyFont="1" applyBorder="1"/>
    <xf numFmtId="165" fontId="6" fillId="0" borderId="0" xfId="4" applyNumberFormat="1" applyFont="1" applyBorder="1"/>
    <xf numFmtId="10" fontId="6" fillId="0" borderId="0" xfId="3" applyNumberFormat="1" applyFont="1" applyBorder="1"/>
    <xf numFmtId="176" fontId="6" fillId="0" borderId="0" xfId="2" applyNumberFormat="1" applyFont="1" applyFill="1" applyBorder="1" applyAlignment="1">
      <alignment wrapText="1"/>
    </xf>
    <xf numFmtId="176" fontId="6" fillId="0" borderId="0" xfId="2" applyNumberFormat="1" applyFont="1" applyFill="1" applyBorder="1"/>
    <xf numFmtId="165" fontId="6" fillId="0" borderId="0" xfId="4" applyNumberFormat="1" applyFont="1" applyFill="1" applyBorder="1" applyAlignment="1">
      <alignment horizontal="right" vertical="top" wrapText="1"/>
    </xf>
    <xf numFmtId="166" fontId="6" fillId="0" borderId="0" xfId="7" applyNumberFormat="1" applyFont="1" applyFill="1" applyBorder="1"/>
    <xf numFmtId="165" fontId="6" fillId="0" borderId="0" xfId="6" applyNumberFormat="1" applyFont="1" applyBorder="1"/>
    <xf numFmtId="43" fontId="6" fillId="0" borderId="0" xfId="6" applyFont="1" applyBorder="1"/>
    <xf numFmtId="165" fontId="6" fillId="0" borderId="0" xfId="6" applyNumberFormat="1" applyFont="1" applyFill="1" applyBorder="1"/>
    <xf numFmtId="0" fontId="6" fillId="0" borderId="23" xfId="5" applyFont="1" applyBorder="1"/>
    <xf numFmtId="43" fontId="6" fillId="0" borderId="23" xfId="4" applyFont="1" applyBorder="1"/>
    <xf numFmtId="0" fontId="6" fillId="0" borderId="24" xfId="5" applyFont="1" applyBorder="1"/>
    <xf numFmtId="164" fontId="6" fillId="0" borderId="23" xfId="5" applyNumberFormat="1" applyFont="1" applyBorder="1" applyAlignment="1">
      <alignment horizontal="center"/>
    </xf>
    <xf numFmtId="164" fontId="6" fillId="0" borderId="24" xfId="5" applyNumberFormat="1" applyFont="1" applyBorder="1" applyAlignment="1">
      <alignment horizontal="center"/>
    </xf>
    <xf numFmtId="166" fontId="7" fillId="0" borderId="23" xfId="7" applyNumberFormat="1" applyFont="1" applyFill="1" applyBorder="1"/>
    <xf numFmtId="166" fontId="6" fillId="0" borderId="23" xfId="7" applyNumberFormat="1" applyFont="1" applyFill="1" applyBorder="1"/>
    <xf numFmtId="166" fontId="6" fillId="0" borderId="24" xfId="7" applyNumberFormat="1" applyFont="1" applyFill="1" applyBorder="1"/>
    <xf numFmtId="0" fontId="7" fillId="0" borderId="23" xfId="1" applyFont="1" applyFill="1" applyBorder="1" applyAlignment="1">
      <alignment horizontal="left" vertical="top"/>
    </xf>
    <xf numFmtId="0" fontId="6" fillId="0" borderId="23" xfId="1" applyFill="1" applyBorder="1"/>
    <xf numFmtId="14" fontId="7" fillId="0" borderId="23" xfId="1" applyNumberFormat="1" applyFont="1" applyFill="1" applyBorder="1" applyAlignment="1">
      <alignment horizontal="right"/>
    </xf>
    <xf numFmtId="0" fontId="7" fillId="0" borderId="24" xfId="1" applyFont="1" applyFill="1" applyBorder="1" applyAlignment="1">
      <alignment horizontal="center" vertical="top"/>
    </xf>
    <xf numFmtId="165" fontId="6" fillId="0" borderId="0" xfId="6" applyNumberFormat="1" applyFont="1" applyAlignment="1">
      <alignment horizontal="left"/>
    </xf>
    <xf numFmtId="167" fontId="6" fillId="0" borderId="26" xfId="6" applyNumberFormat="1" applyFont="1" applyBorder="1"/>
    <xf numFmtId="166" fontId="6" fillId="0" borderId="27" xfId="7" applyNumberFormat="1" applyFont="1" applyBorder="1" applyAlignment="1">
      <alignment vertical="center"/>
    </xf>
    <xf numFmtId="10" fontId="24" fillId="0" borderId="0" xfId="3" applyNumberFormat="1" applyFont="1" applyAlignment="1">
      <alignment horizontal="right"/>
    </xf>
    <xf numFmtId="10" fontId="6" fillId="0" borderId="0" xfId="1" applyNumberFormat="1" applyFill="1"/>
    <xf numFmtId="43" fontId="6" fillId="0" borderId="0" xfId="5" applyNumberFormat="1" applyFont="1"/>
    <xf numFmtId="165" fontId="6" fillId="0" borderId="0" xfId="4" applyNumberFormat="1" applyFont="1" applyFill="1" applyBorder="1"/>
    <xf numFmtId="3" fontId="11" fillId="0" borderId="0" xfId="5" applyNumberForma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14" fontId="8" fillId="0" borderId="0" xfId="0" applyNumberFormat="1" applyFont="1" applyAlignment="1">
      <alignment vertical="center"/>
    </xf>
    <xf numFmtId="44" fontId="8" fillId="0" borderId="0" xfId="2" applyFont="1" applyAlignment="1">
      <alignment horizontal="right" vertical="center"/>
    </xf>
    <xf numFmtId="43" fontId="0" fillId="0" borderId="0" xfId="4" applyFont="1"/>
    <xf numFmtId="176" fontId="8" fillId="0" borderId="0" xfId="2" applyNumberFormat="1" applyFont="1" applyAlignment="1">
      <alignment horizontal="right" vertical="center"/>
    </xf>
    <xf numFmtId="10" fontId="8" fillId="0" borderId="0" xfId="3" applyNumberFormat="1" applyFont="1" applyAlignment="1">
      <alignment horizontal="right" vertical="center"/>
    </xf>
    <xf numFmtId="176" fontId="10" fillId="0" borderId="0" xfId="0" applyNumberFormat="1" applyFont="1"/>
    <xf numFmtId="10" fontId="59" fillId="0" borderId="0" xfId="3" applyNumberFormat="1" applyFont="1" applyAlignment="1">
      <alignment horizontal="right" vertical="center"/>
    </xf>
    <xf numFmtId="0" fontId="59" fillId="0" borderId="0" xfId="0" applyFont="1" applyAlignment="1">
      <alignment vertical="center"/>
    </xf>
    <xf numFmtId="37" fontId="29" fillId="0" borderId="0" xfId="1" applyNumberFormat="1" applyFont="1" applyFill="1" applyAlignment="1">
      <alignment horizontal="right"/>
    </xf>
    <xf numFmtId="177" fontId="0" fillId="0" borderId="1" xfId="0" applyNumberFormat="1" applyBorder="1"/>
    <xf numFmtId="166" fontId="12" fillId="0" borderId="0" xfId="3" applyNumberFormat="1" applyFont="1" applyAlignment="1">
      <alignment horizontal="right"/>
    </xf>
    <xf numFmtId="44" fontId="12" fillId="0" borderId="0" xfId="2" applyFont="1" applyAlignment="1">
      <alignment horizontal="right"/>
    </xf>
    <xf numFmtId="44" fontId="12" fillId="0" borderId="0" xfId="2" applyFont="1"/>
    <xf numFmtId="0" fontId="60" fillId="0" borderId="0" xfId="11" applyFont="1"/>
    <xf numFmtId="0" fontId="61" fillId="0" borderId="9" xfId="11" applyFont="1" applyBorder="1"/>
    <xf numFmtId="0" fontId="62" fillId="0" borderId="9" xfId="11" applyFont="1" applyBorder="1"/>
    <xf numFmtId="0" fontId="62" fillId="0" borderId="0" xfId="11" applyFont="1"/>
    <xf numFmtId="10" fontId="63" fillId="0" borderId="0" xfId="14" applyNumberFormat="1" applyFont="1"/>
    <xf numFmtId="167" fontId="62" fillId="0" borderId="0" xfId="11" applyNumberFormat="1" applyFont="1"/>
    <xf numFmtId="178" fontId="63" fillId="0" borderId="0" xfId="11" applyNumberFormat="1" applyFont="1"/>
    <xf numFmtId="0" fontId="61" fillId="0" borderId="0" xfId="11" applyFont="1"/>
    <xf numFmtId="166" fontId="11" fillId="0" borderId="0" xfId="14" applyNumberFormat="1" applyFont="1" applyFill="1" applyBorder="1"/>
    <xf numFmtId="0" fontId="11" fillId="0" borderId="0" xfId="16" applyFont="1" applyAlignment="1">
      <alignment horizontal="left"/>
    </xf>
    <xf numFmtId="166" fontId="63" fillId="0" borderId="0" xfId="14" applyNumberFormat="1" applyFont="1" applyFill="1" applyBorder="1"/>
    <xf numFmtId="0" fontId="11" fillId="0" borderId="0" xfId="11" applyFont="1"/>
    <xf numFmtId="43" fontId="62" fillId="0" borderId="0" xfId="15" applyFont="1" applyFill="1" applyBorder="1"/>
    <xf numFmtId="166" fontId="63" fillId="0" borderId="0" xfId="14" applyNumberFormat="1" applyFont="1"/>
    <xf numFmtId="44" fontId="23" fillId="0" borderId="0" xfId="2" applyFont="1" applyFill="1" applyAlignment="1">
      <alignment horizontal="right"/>
    </xf>
    <xf numFmtId="166" fontId="11" fillId="0" borderId="0" xfId="7" applyNumberFormat="1" applyFont="1"/>
    <xf numFmtId="0" fontId="60" fillId="0" borderId="0" xfId="11" quotePrefix="1" applyFont="1"/>
    <xf numFmtId="0" fontId="7" fillId="0" borderId="0" xfId="1" applyFont="1" applyFill="1"/>
    <xf numFmtId="0" fontId="7" fillId="0" borderId="25" xfId="1" applyFont="1" applyFill="1" applyBorder="1" applyAlignment="1">
      <alignment horizontal="center" vertical="top"/>
    </xf>
    <xf numFmtId="44" fontId="6" fillId="0" borderId="0" xfId="5" applyNumberFormat="1" applyFont="1"/>
    <xf numFmtId="0" fontId="0" fillId="0" borderId="0" xfId="0" applyAlignment="1">
      <alignment horizontal="right"/>
    </xf>
    <xf numFmtId="43" fontId="20" fillId="0" borderId="0" xfId="0" applyNumberFormat="1" applyFont="1" applyAlignment="1">
      <alignment vertical="center" wrapText="1"/>
    </xf>
    <xf numFmtId="167" fontId="2" fillId="0" borderId="0" xfId="4" applyNumberFormat="1" applyFont="1" applyFill="1" applyBorder="1" applyAlignment="1">
      <alignment horizontal="center"/>
    </xf>
    <xf numFmtId="167" fontId="2" fillId="0" borderId="0" xfId="4" applyNumberFormat="1" applyFont="1" applyFill="1" applyBorder="1" applyAlignment="1">
      <alignment horizontal="right"/>
    </xf>
    <xf numFmtId="170" fontId="2" fillId="0" borderId="0" xfId="4" applyNumberFormat="1" applyFont="1" applyFill="1" applyBorder="1" applyAlignment="1">
      <alignment horizontal="right"/>
    </xf>
    <xf numFmtId="9" fontId="20" fillId="0" borderId="0" xfId="3" applyFont="1" applyFill="1" applyBorder="1" applyAlignment="1">
      <alignment horizontal="right"/>
    </xf>
    <xf numFmtId="170" fontId="2" fillId="0" borderId="0" xfId="0" applyNumberFormat="1" applyFont="1"/>
    <xf numFmtId="0" fontId="14" fillId="0" borderId="0" xfId="0" applyFont="1" applyAlignment="1">
      <alignment horizontal="center" vertical="center"/>
    </xf>
    <xf numFmtId="44" fontId="2" fillId="0" borderId="0" xfId="2" applyFont="1" applyFill="1" applyBorder="1" applyAlignment="1">
      <alignment horizontal="right"/>
    </xf>
    <xf numFmtId="9" fontId="1" fillId="0" borderId="0" xfId="3" applyFont="1" applyFill="1" applyBorder="1" applyAlignment="1">
      <alignment horizontal="right"/>
    </xf>
    <xf numFmtId="9" fontId="20" fillId="0" borderId="0" xfId="3" applyFont="1" applyFill="1" applyBorder="1" applyAlignment="1">
      <alignment horizontal="center"/>
    </xf>
    <xf numFmtId="43" fontId="2" fillId="0" borderId="0" xfId="0" applyNumberFormat="1" applyFont="1" applyAlignment="1">
      <alignment vertical="center" wrapText="1"/>
    </xf>
    <xf numFmtId="9" fontId="14" fillId="0" borderId="0" xfId="3" applyFont="1" applyFill="1" applyBorder="1" applyAlignment="1"/>
    <xf numFmtId="43" fontId="2" fillId="0" borderId="0" xfId="0" applyNumberFormat="1" applyFont="1"/>
    <xf numFmtId="0" fontId="2" fillId="0" borderId="0" xfId="0" applyFont="1" applyAlignment="1">
      <alignment horizontal="left"/>
    </xf>
    <xf numFmtId="2" fontId="20" fillId="0" borderId="0" xfId="0" applyNumberFormat="1" applyFont="1"/>
    <xf numFmtId="0" fontId="1" fillId="0" borderId="3" xfId="0" applyFont="1" applyBorder="1" applyAlignment="1">
      <alignment horizontal="left"/>
    </xf>
    <xf numFmtId="44" fontId="2" fillId="0" borderId="5" xfId="2" applyFont="1" applyFill="1" applyBorder="1" applyAlignment="1">
      <alignment horizontal="right"/>
    </xf>
    <xf numFmtId="9" fontId="2" fillId="0" borderId="3" xfId="3" applyFont="1" applyFill="1" applyBorder="1" applyAlignment="1">
      <alignment horizontal="left"/>
    </xf>
    <xf numFmtId="9" fontId="1" fillId="0" borderId="5" xfId="3" applyFont="1" applyFill="1" applyBorder="1" applyAlignment="1">
      <alignment horizontal="right"/>
    </xf>
    <xf numFmtId="0" fontId="1" fillId="0" borderId="3" xfId="0" applyFont="1" applyBorder="1" applyAlignment="1">
      <alignment vertical="center" wrapText="1"/>
    </xf>
    <xf numFmtId="0" fontId="2" fillId="0" borderId="3" xfId="0" quotePrefix="1" applyFont="1" applyBorder="1" applyAlignment="1">
      <alignment wrapText="1"/>
    </xf>
    <xf numFmtId="0" fontId="2" fillId="0" borderId="5" xfId="0" applyFont="1" applyBorder="1"/>
    <xf numFmtId="0" fontId="2" fillId="0" borderId="10" xfId="0" applyFont="1" applyBorder="1"/>
    <xf numFmtId="2" fontId="20" fillId="0" borderId="9" xfId="0" applyNumberFormat="1" applyFont="1" applyBorder="1"/>
    <xf numFmtId="0" fontId="1" fillId="0" borderId="3" xfId="0" quotePrefix="1" applyFont="1" applyBorder="1" applyAlignment="1">
      <alignment wrapText="1"/>
    </xf>
    <xf numFmtId="43" fontId="2" fillId="0" borderId="0" xfId="0" applyNumberFormat="1" applyFont="1" applyAlignment="1">
      <alignment horizontal="center"/>
    </xf>
    <xf numFmtId="43" fontId="2" fillId="0" borderId="5" xfId="0" applyNumberFormat="1" applyFont="1" applyBorder="1" applyAlignment="1">
      <alignment horizontal="center"/>
    </xf>
    <xf numFmtId="0" fontId="1" fillId="0" borderId="3" xfId="0" applyFont="1" applyBorder="1"/>
    <xf numFmtId="179" fontId="2" fillId="0" borderId="0" xfId="4" applyNumberFormat="1" applyFont="1" applyFill="1" applyBorder="1" applyAlignment="1">
      <alignment horizontal="right"/>
    </xf>
    <xf numFmtId="167" fontId="2" fillId="0" borderId="5" xfId="4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left" vertical="center"/>
    </xf>
    <xf numFmtId="170" fontId="2" fillId="0" borderId="5" xfId="4" applyNumberFormat="1" applyFont="1" applyFill="1" applyBorder="1" applyAlignment="1">
      <alignment horizontal="right"/>
    </xf>
    <xf numFmtId="43" fontId="20" fillId="0" borderId="9" xfId="0" applyNumberFormat="1" applyFont="1" applyBorder="1" applyAlignment="1">
      <alignment vertical="center" wrapText="1"/>
    </xf>
    <xf numFmtId="0" fontId="21" fillId="6" borderId="28" xfId="0" applyFont="1" applyFill="1" applyBorder="1" applyAlignment="1">
      <alignment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44" fontId="20" fillId="7" borderId="30" xfId="2" applyFont="1" applyFill="1" applyBorder="1"/>
    <xf numFmtId="44" fontId="20" fillId="7" borderId="30" xfId="2" applyFont="1" applyFill="1" applyBorder="1" applyAlignment="1">
      <alignment vertical="center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167" fontId="1" fillId="0" borderId="5" xfId="4" applyNumberFormat="1" applyFont="1" applyFill="1" applyBorder="1" applyAlignment="1">
      <alignment horizontal="right"/>
    </xf>
    <xf numFmtId="0" fontId="1" fillId="0" borderId="10" xfId="0" applyFont="1" applyBorder="1"/>
    <xf numFmtId="0" fontId="1" fillId="0" borderId="10" xfId="0" applyFont="1" applyBorder="1" applyAlignment="1">
      <alignment vertical="center" wrapText="1"/>
    </xf>
    <xf numFmtId="170" fontId="1" fillId="0" borderId="5" xfId="3" applyNumberFormat="1" applyFont="1" applyFill="1" applyBorder="1" applyAlignment="1">
      <alignment horizontal="right"/>
    </xf>
    <xf numFmtId="44" fontId="2" fillId="0" borderId="5" xfId="2" applyFont="1" applyBorder="1" applyAlignment="1">
      <alignment vertical="center" wrapText="1"/>
    </xf>
    <xf numFmtId="44" fontId="2" fillId="0" borderId="5" xfId="2" applyFont="1" applyBorder="1"/>
    <xf numFmtId="43" fontId="2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right"/>
    </xf>
    <xf numFmtId="43" fontId="20" fillId="0" borderId="0" xfId="0" applyNumberFormat="1" applyFont="1"/>
    <xf numFmtId="0" fontId="2" fillId="0" borderId="9" xfId="0" applyFont="1" applyBorder="1" applyAlignment="1">
      <alignment horizontal="right"/>
    </xf>
    <xf numFmtId="44" fontId="2" fillId="0" borderId="5" xfId="2" applyFont="1" applyBorder="1" applyAlignment="1"/>
    <xf numFmtId="10" fontId="10" fillId="7" borderId="0" xfId="0" applyNumberFormat="1" applyFont="1" applyFill="1"/>
    <xf numFmtId="0" fontId="0" fillId="0" borderId="23" xfId="0" applyBorder="1"/>
    <xf numFmtId="0" fontId="10" fillId="0" borderId="23" xfId="0" applyFont="1" applyBorder="1" applyAlignment="1">
      <alignment horizontal="center"/>
    </xf>
    <xf numFmtId="176" fontId="10" fillId="7" borderId="0" xfId="0" applyNumberFormat="1" applyFont="1" applyFill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4" fontId="0" fillId="0" borderId="0" xfId="0" applyNumberFormat="1"/>
    <xf numFmtId="4" fontId="0" fillId="0" borderId="0" xfId="0" applyNumberFormat="1"/>
    <xf numFmtId="4" fontId="10" fillId="7" borderId="0" xfId="0" applyNumberFormat="1" applyFont="1" applyFill="1"/>
    <xf numFmtId="0" fontId="10" fillId="0" borderId="0" xfId="0" applyFont="1" applyAlignment="1">
      <alignment horizontal="right"/>
    </xf>
    <xf numFmtId="0" fontId="35" fillId="0" borderId="31" xfId="0" applyFont="1" applyBorder="1" applyAlignment="1">
      <alignment horizontal="centerContinuous"/>
    </xf>
    <xf numFmtId="0" fontId="35" fillId="0" borderId="31" xfId="0" applyFont="1" applyBorder="1" applyAlignment="1">
      <alignment horizontal="center"/>
    </xf>
    <xf numFmtId="0" fontId="10" fillId="7" borderId="23" xfId="0" applyFont="1" applyFill="1" applyBorder="1"/>
    <xf numFmtId="0" fontId="34" fillId="0" borderId="0" xfId="5" applyFont="1" applyAlignment="1">
      <alignment horizontal="center"/>
    </xf>
    <xf numFmtId="172" fontId="33" fillId="0" borderId="0" xfId="5" applyNumberFormat="1" applyFont="1" applyAlignment="1">
      <alignment horizontal="left"/>
    </xf>
    <xf numFmtId="10" fontId="24" fillId="0" borderId="0" xfId="7" applyNumberFormat="1" applyFont="1" applyFill="1" applyAlignment="1">
      <alignment horizontal="right"/>
    </xf>
    <xf numFmtId="10" fontId="12" fillId="0" borderId="0" xfId="7" applyNumberFormat="1" applyFill="1" applyAlignment="1">
      <alignment horizontal="right"/>
    </xf>
    <xf numFmtId="166" fontId="12" fillId="0" borderId="0" xfId="7" applyNumberFormat="1" applyFill="1" applyAlignment="1">
      <alignment horizontal="right"/>
    </xf>
    <xf numFmtId="10" fontId="12" fillId="0" borderId="0" xfId="7" applyNumberFormat="1" applyFont="1" applyFill="1" applyAlignment="1">
      <alignment horizontal="right"/>
    </xf>
    <xf numFmtId="43" fontId="12" fillId="0" borderId="0" xfId="6" applyFont="1" applyFill="1" applyAlignment="1">
      <alignment horizontal="right"/>
    </xf>
    <xf numFmtId="0" fontId="33" fillId="0" borderId="0" xfId="5" applyFont="1"/>
    <xf numFmtId="44" fontId="23" fillId="0" borderId="0" xfId="2" applyFont="1" applyBorder="1"/>
    <xf numFmtId="44" fontId="12" fillId="0" borderId="0" xfId="5" applyNumberFormat="1" applyFont="1"/>
    <xf numFmtId="9" fontId="11" fillId="0" borderId="9" xfId="3" applyFont="1" applyBorder="1"/>
    <xf numFmtId="166" fontId="11" fillId="0" borderId="9" xfId="3" applyNumberFormat="1" applyFont="1" applyBorder="1"/>
    <xf numFmtId="167" fontId="12" fillId="0" borderId="5" xfId="4" applyNumberFormat="1" applyFont="1" applyBorder="1"/>
    <xf numFmtId="44" fontId="23" fillId="0" borderId="0" xfId="5" applyNumberFormat="1" applyFont="1"/>
    <xf numFmtId="178" fontId="63" fillId="7" borderId="0" xfId="11" applyNumberFormat="1" applyFont="1" applyFill="1"/>
    <xf numFmtId="44" fontId="12" fillId="7" borderId="0" xfId="2" applyFont="1" applyFill="1"/>
    <xf numFmtId="9" fontId="12" fillId="7" borderId="0" xfId="3" applyFont="1" applyFill="1" applyAlignment="1">
      <alignment horizontal="right"/>
    </xf>
    <xf numFmtId="10" fontId="12" fillId="0" borderId="5" xfId="3" applyNumberFormat="1" applyFont="1" applyBorder="1"/>
    <xf numFmtId="0" fontId="14" fillId="6" borderId="28" xfId="0" applyFont="1" applyFill="1" applyBorder="1" applyAlignment="1">
      <alignment horizontal="center" vertical="center" wrapText="1"/>
    </xf>
    <xf numFmtId="9" fontId="14" fillId="6" borderId="2" xfId="3" applyFont="1" applyFill="1" applyBorder="1" applyAlignment="1">
      <alignment horizontal="center" vertical="center"/>
    </xf>
    <xf numFmtId="9" fontId="14" fillId="6" borderId="29" xfId="3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4" fillId="6" borderId="1" xfId="1" applyFont="1" applyFill="1" applyBorder="1" applyAlignment="1">
      <alignment horizontal="left" indent="1"/>
    </xf>
    <xf numFmtId="37" fontId="5" fillId="6" borderId="1" xfId="0" applyNumberFormat="1" applyFont="1" applyFill="1" applyBorder="1"/>
    <xf numFmtId="9" fontId="5" fillId="6" borderId="1" xfId="3" applyFont="1" applyFill="1" applyBorder="1"/>
    <xf numFmtId="0" fontId="5" fillId="6" borderId="0" xfId="0" applyFont="1" applyFill="1" applyAlignment="1">
      <alignment horizontal="center"/>
    </xf>
    <xf numFmtId="174" fontId="5" fillId="6" borderId="1" xfId="0" applyNumberFormat="1" applyFont="1" applyFill="1" applyBorder="1"/>
    <xf numFmtId="10" fontId="5" fillId="6" borderId="1" xfId="4" applyNumberFormat="1" applyFont="1" applyFill="1" applyBorder="1"/>
    <xf numFmtId="0" fontId="48" fillId="2" borderId="0" xfId="11" applyFont="1" applyFill="1" applyAlignment="1">
      <alignment horizontal="center"/>
    </xf>
    <xf numFmtId="0" fontId="51" fillId="2" borderId="0" xfId="11" applyFont="1" applyFill="1" applyAlignment="1">
      <alignment horizontal="center" vertical="center"/>
    </xf>
    <xf numFmtId="0" fontId="52" fillId="2" borderId="17" xfId="11" applyFont="1" applyFill="1" applyBorder="1" applyAlignment="1">
      <alignment horizontal="center" vertical="center"/>
    </xf>
    <xf numFmtId="0" fontId="53" fillId="2" borderId="12" xfId="11" applyFont="1" applyFill="1" applyBorder="1" applyAlignment="1">
      <alignment horizontal="center" vertical="center"/>
    </xf>
    <xf numFmtId="0" fontId="53" fillId="2" borderId="14" xfId="11" applyFont="1" applyFill="1" applyBorder="1" applyAlignment="1">
      <alignment horizontal="center" vertical="center"/>
    </xf>
    <xf numFmtId="0" fontId="53" fillId="2" borderId="13" xfId="11" applyFont="1" applyFill="1" applyBorder="1" applyAlignment="1">
      <alignment horizontal="center" vertical="center"/>
    </xf>
    <xf numFmtId="0" fontId="53" fillId="2" borderId="0" xfId="11" applyFont="1" applyFill="1" applyAlignment="1">
      <alignment horizontal="center" vertical="center"/>
    </xf>
    <xf numFmtId="0" fontId="53" fillId="2" borderId="15" xfId="11" applyFont="1" applyFill="1" applyBorder="1" applyAlignment="1">
      <alignment horizontal="center" vertical="center"/>
    </xf>
    <xf numFmtId="0" fontId="53" fillId="2" borderId="18" xfId="11" applyFont="1" applyFill="1" applyBorder="1" applyAlignment="1">
      <alignment horizontal="center" vertical="center"/>
    </xf>
    <xf numFmtId="0" fontId="53" fillId="2" borderId="11" xfId="11" applyFont="1" applyFill="1" applyBorder="1" applyAlignment="1">
      <alignment horizontal="center" vertical="center"/>
    </xf>
    <xf numFmtId="0" fontId="53" fillId="2" borderId="16" xfId="11" applyFont="1" applyFill="1" applyBorder="1" applyAlignment="1">
      <alignment horizontal="center" vertical="center"/>
    </xf>
    <xf numFmtId="0" fontId="45" fillId="2" borderId="0" xfId="12" applyFont="1" applyFill="1" applyAlignment="1" applyProtection="1">
      <alignment horizontal="left" vertical="center"/>
    </xf>
    <xf numFmtId="0" fontId="47" fillId="2" borderId="0" xfId="13" applyFont="1" applyFill="1" applyAlignment="1" applyProtection="1">
      <alignment horizontal="center" vertical="center"/>
    </xf>
    <xf numFmtId="175" fontId="45" fillId="2" borderId="0" xfId="11" applyNumberFormat="1" applyFont="1" applyFill="1" applyAlignment="1">
      <alignment horizontal="right" vertical="center"/>
    </xf>
    <xf numFmtId="0" fontId="49" fillId="2" borderId="0" xfId="11" applyFont="1" applyFill="1" applyAlignment="1">
      <alignment horizontal="left" wrapText="1"/>
    </xf>
    <xf numFmtId="0" fontId="55" fillId="0" borderId="0" xfId="10" applyFont="1" applyAlignment="1">
      <alignment horizontal="center" vertical="center"/>
    </xf>
    <xf numFmtId="0" fontId="55" fillId="0" borderId="20" xfId="10" applyFont="1" applyBorder="1" applyAlignment="1">
      <alignment horizontal="center" vertical="center"/>
    </xf>
    <xf numFmtId="0" fontId="55" fillId="0" borderId="0" xfId="10" applyFont="1" applyAlignment="1">
      <alignment horizontal="center" vertical="center" wrapText="1"/>
    </xf>
    <xf numFmtId="9" fontId="14" fillId="6" borderId="3" xfId="3" applyFont="1" applyFill="1" applyBorder="1" applyAlignment="1">
      <alignment horizontal="center"/>
    </xf>
    <xf numFmtId="9" fontId="14" fillId="6" borderId="0" xfId="3" applyFont="1" applyFill="1" applyBorder="1" applyAlignment="1">
      <alignment horizontal="center"/>
    </xf>
    <xf numFmtId="9" fontId="14" fillId="6" borderId="5" xfId="3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4" fontId="20" fillId="7" borderId="5" xfId="2" applyFont="1" applyFill="1" applyBorder="1" applyAlignment="1">
      <alignment horizontal="center" vertical="center"/>
    </xf>
    <xf numFmtId="44" fontId="20" fillId="7" borderId="30" xfId="2" applyFont="1" applyFill="1" applyBorder="1" applyAlignment="1">
      <alignment horizontal="center" vertical="center"/>
    </xf>
    <xf numFmtId="44" fontId="2" fillId="0" borderId="0" xfId="2" applyFont="1" applyBorder="1" applyAlignment="1">
      <alignment horizontal="center" vertical="center" wrapText="1"/>
    </xf>
    <xf numFmtId="44" fontId="2" fillId="0" borderId="5" xfId="2" applyFont="1" applyBorder="1" applyAlignment="1">
      <alignment horizontal="center" vertical="center" wrapText="1"/>
    </xf>
    <xf numFmtId="44" fontId="2" fillId="0" borderId="0" xfId="2" applyFont="1" applyBorder="1" applyAlignment="1">
      <alignment horizontal="center"/>
    </xf>
    <xf numFmtId="44" fontId="2" fillId="0" borderId="5" xfId="2" applyFont="1" applyBorder="1" applyAlignment="1">
      <alignment horizontal="center"/>
    </xf>
    <xf numFmtId="0" fontId="14" fillId="6" borderId="0" xfId="1" applyFont="1" applyFill="1" applyAlignment="1">
      <alignment horizontal="center" vertical="center"/>
    </xf>
    <xf numFmtId="37" fontId="23" fillId="0" borderId="0" xfId="5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37" fontId="24" fillId="0" borderId="0" xfId="5" applyNumberFormat="1" applyFont="1"/>
    <xf numFmtId="3" fontId="23" fillId="0" borderId="0" xfId="5" applyNumberFormat="1" applyFont="1" applyBorder="1"/>
    <xf numFmtId="3" fontId="23" fillId="0" borderId="4" xfId="5" applyNumberFormat="1" applyFont="1" applyBorder="1"/>
    <xf numFmtId="3" fontId="12" fillId="0" borderId="4" xfId="5" applyNumberFormat="1" applyFont="1" applyBorder="1"/>
    <xf numFmtId="3" fontId="25" fillId="0" borderId="4" xfId="5" applyNumberFormat="1" applyFont="1" applyBorder="1"/>
    <xf numFmtId="0" fontId="34" fillId="8" borderId="0" xfId="5" applyFont="1" applyFill="1" applyAlignment="1">
      <alignment horizontal="center"/>
    </xf>
    <xf numFmtId="1" fontId="33" fillId="8" borderId="0" xfId="5" applyNumberFormat="1" applyFont="1" applyFill="1" applyAlignment="1">
      <alignment horizontal="left"/>
    </xf>
    <xf numFmtId="1" fontId="28" fillId="8" borderId="0" xfId="5" applyNumberFormat="1" applyFont="1" applyFill="1" applyAlignment="1">
      <alignment horizontal="right"/>
    </xf>
    <xf numFmtId="171" fontId="33" fillId="8" borderId="0" xfId="5" applyNumberFormat="1" applyFont="1" applyFill="1" applyAlignment="1">
      <alignment horizontal="right"/>
    </xf>
    <xf numFmtId="172" fontId="33" fillId="8" borderId="0" xfId="5" applyNumberFormat="1" applyFont="1" applyFill="1" applyAlignment="1">
      <alignment horizontal="right"/>
    </xf>
    <xf numFmtId="0" fontId="33" fillId="8" borderId="0" xfId="5" applyFont="1" applyFill="1" applyAlignment="1">
      <alignment horizontal="left"/>
    </xf>
    <xf numFmtId="0" fontId="33" fillId="8" borderId="0" xfId="5" applyFont="1" applyFill="1"/>
    <xf numFmtId="164" fontId="33" fillId="8" borderId="0" xfId="5" applyNumberFormat="1" applyFont="1" applyFill="1" applyAlignment="1">
      <alignment horizontal="center"/>
    </xf>
    <xf numFmtId="0" fontId="34" fillId="8" borderId="0" xfId="5" applyFont="1" applyFill="1" applyAlignment="1">
      <alignment horizontal="center"/>
    </xf>
    <xf numFmtId="0" fontId="33" fillId="8" borderId="8" xfId="11" applyFont="1" applyFill="1" applyBorder="1"/>
    <xf numFmtId="0" fontId="33" fillId="8" borderId="4" xfId="11" applyFont="1" applyFill="1" applyBorder="1"/>
    <xf numFmtId="44" fontId="33" fillId="8" borderId="7" xfId="2" applyFont="1" applyFill="1" applyBorder="1"/>
    <xf numFmtId="166" fontId="12" fillId="7" borderId="0" xfId="3" applyNumberFormat="1" applyFont="1" applyFill="1" applyAlignment="1">
      <alignment horizontal="right"/>
    </xf>
    <xf numFmtId="37" fontId="23" fillId="0" borderId="0" xfId="5" applyNumberFormat="1" applyFont="1" applyAlignment="1"/>
    <xf numFmtId="0" fontId="33" fillId="8" borderId="0" xfId="5" applyFont="1" applyFill="1" applyAlignment="1">
      <alignment horizontal="right"/>
    </xf>
  </cellXfs>
  <cellStyles count="17">
    <cellStyle name="Comma" xfId="4" builtinId="3"/>
    <cellStyle name="Comma 2" xfId="6" xr:uid="{00000000-0005-0000-0000-000001000000}"/>
    <cellStyle name="Comma 3" xfId="15" xr:uid="{00000000-0005-0000-0000-000002000000}"/>
    <cellStyle name="Currency" xfId="2" builtinId="4"/>
    <cellStyle name="Hyperlink 2" xfId="12" xr:uid="{00000000-0005-0000-0000-000004000000}"/>
    <cellStyle name="Hyperlink 3" xfId="13" xr:uid="{00000000-0005-0000-0000-000005000000}"/>
    <cellStyle name="Invisible" xfId="9" xr:uid="{00000000-0005-0000-0000-000006000000}"/>
    <cellStyle name="Normal" xfId="0" builtinId="0"/>
    <cellStyle name="Normal 2" xfId="1" xr:uid="{00000000-0005-0000-0000-000008000000}"/>
    <cellStyle name="Normal 2 2" xfId="11" xr:uid="{00000000-0005-0000-0000-000009000000}"/>
    <cellStyle name="Normal 3" xfId="5" xr:uid="{00000000-0005-0000-0000-00000A000000}"/>
    <cellStyle name="Normal 4" xfId="8" xr:uid="{00000000-0005-0000-0000-00000B000000}"/>
    <cellStyle name="Normal 5" xfId="10" xr:uid="{00000000-0005-0000-0000-00000C000000}"/>
    <cellStyle name="Normal_ADCF" xfId="16" xr:uid="{00000000-0005-0000-0000-00000D000000}"/>
    <cellStyle name="Percent" xfId="3" builtinId="5"/>
    <cellStyle name="Percent 2" xfId="7" xr:uid="{00000000-0005-0000-0000-000011000000}"/>
    <cellStyle name="Percent 3" xfId="14" xr:uid="{00000000-0005-0000-0000-000012000000}"/>
  </cellStyles>
  <dxfs count="0"/>
  <tableStyles count="0" defaultTableStyle="TableStyleMedium2" defaultPivotStyle="PivotStyleLight16"/>
  <colors>
    <mruColors>
      <color rgb="FF004C22"/>
      <color rgb="FF709C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of </a:t>
            </a:r>
            <a:r>
              <a:rPr lang="en-US"/>
              <a:t>Long-Term</a:t>
            </a:r>
            <a:r>
              <a:rPr lang="en-US" baseline="0"/>
              <a:t> Debt, Total LIabilities and Total Assets in 2016 - 2021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SBUX_BS!$A$95</c:f>
              <c:strCache>
                <c:ptCount val="1"/>
                <c:pt idx="0">
                  <c:v>Long-term debt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SBUX_BS!$B$94:$G$94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SBUX_BS!$B$95:$G$95</c:f>
              <c:numCache>
                <c:formatCode>_("$"* #,##0_);_("$"* \(#,##0\);_("$"* "-"??_);_(@_)</c:formatCode>
                <c:ptCount val="6"/>
                <c:pt idx="0">
                  <c:v>3602200</c:v>
                </c:pt>
                <c:pt idx="1">
                  <c:v>3932600</c:v>
                </c:pt>
                <c:pt idx="2">
                  <c:v>9090200</c:v>
                </c:pt>
                <c:pt idx="3">
                  <c:v>11167000</c:v>
                </c:pt>
                <c:pt idx="4">
                  <c:v>14659600</c:v>
                </c:pt>
                <c:pt idx="5">
                  <c:v>13616900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B-4A79-9FDB-79124D0BEADA}"/>
            </c:ext>
          </c:extLst>
        </c:ser>
        <c:ser>
          <c:idx val="1"/>
          <c:order val="1"/>
          <c:tx>
            <c:strRef>
              <c:f>SBUX_BS!$A$96</c:f>
              <c:strCache>
                <c:ptCount val="1"/>
                <c:pt idx="0">
                  <c:v>Total liabilities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SBUX_BS!$B$94:$G$94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SBUX_BS!$B$96:$G$96</c:f>
              <c:numCache>
                <c:formatCode>_("$"* #,##0_);_("$"* \(#,##0\);_("$"* "-"??_);_(@_)</c:formatCode>
                <c:ptCount val="6"/>
                <c:pt idx="0">
                  <c:v>8438800</c:v>
                </c:pt>
                <c:pt idx="1">
                  <c:v>8908600</c:v>
                </c:pt>
                <c:pt idx="2">
                  <c:v>22980600</c:v>
                </c:pt>
                <c:pt idx="3">
                  <c:v>25450600</c:v>
                </c:pt>
                <c:pt idx="4">
                  <c:v>37173900</c:v>
                </c:pt>
                <c:pt idx="5">
                  <c:v>36707100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B-4A79-9FDB-79124D0BEADA}"/>
            </c:ext>
          </c:extLst>
        </c:ser>
        <c:ser>
          <c:idx val="2"/>
          <c:order val="2"/>
          <c:tx>
            <c:strRef>
              <c:f>SBUX_BS!$A$97</c:f>
              <c:strCache>
                <c:ptCount val="1"/>
                <c:pt idx="0">
                  <c:v>Total Assets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SBUX_BS!$B$94:$G$94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SBUX_BS!$B$97:$G$97</c:f>
              <c:numCache>
                <c:formatCode>_("$"* #,##0_);_("$"* \(#,##0\);_("$"* "-"??_);_(@_)</c:formatCode>
                <c:ptCount val="6"/>
                <c:pt idx="0">
                  <c:v>14329500</c:v>
                </c:pt>
                <c:pt idx="1">
                  <c:v>14365600</c:v>
                </c:pt>
                <c:pt idx="2">
                  <c:v>24156400</c:v>
                </c:pt>
                <c:pt idx="3">
                  <c:v>19219600</c:v>
                </c:pt>
                <c:pt idx="4">
                  <c:v>29374500</c:v>
                </c:pt>
                <c:pt idx="5">
                  <c:v>31392600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B-4A79-9FDB-79124D0BE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2284591"/>
        <c:axId val="1782274191"/>
      </c:barChart>
      <c:catAx>
        <c:axId val="178228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274191"/>
        <c:crosses val="autoZero"/>
        <c:auto val="1"/>
        <c:lblAlgn val="ctr"/>
        <c:lblOffset val="100"/>
        <c:noMultiLvlLbl val="0"/>
      </c:catAx>
      <c:valAx>
        <c:axId val="178227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28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Change in 2016 - 2021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'SBUX_Income Statement'!$A$63</c:f>
              <c:strCache>
                <c:ptCount val="1"/>
                <c:pt idx="0">
                  <c:v>Company-operated stores revenues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'SBUX_Income Statement'!$B$62:$G$62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'SBUX_Income Statement'!$B$63:$G$63</c:f>
              <c:numCache>
                <c:formatCode>_(* #,##0_);_(* \(#,##0\);_(* "-"??_);_(@_)</c:formatCode>
                <c:ptCount val="6"/>
                <c:pt idx="0">
                  <c:v>16844100</c:v>
                </c:pt>
                <c:pt idx="1">
                  <c:v>17650700</c:v>
                </c:pt>
                <c:pt idx="2">
                  <c:v>19690300</c:v>
                </c:pt>
                <c:pt idx="3">
                  <c:v>21544400</c:v>
                </c:pt>
                <c:pt idx="4">
                  <c:v>19164600</c:v>
                </c:pt>
                <c:pt idx="5">
                  <c:v>24607000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1-45F2-8F18-C22CB1B917F9}"/>
            </c:ext>
          </c:extLst>
        </c:ser>
        <c:ser>
          <c:idx val="1"/>
          <c:order val="1"/>
          <c:tx>
            <c:strRef>
              <c:f>'SBUX_Income Statement'!$A$64</c:f>
              <c:strCache>
                <c:ptCount val="1"/>
                <c:pt idx="0">
                  <c:v>Licensed stores revenues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'SBUX_Income Statement'!$B$62:$G$62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'SBUX_Income Statement'!$B$64:$G$64</c:f>
              <c:numCache>
                <c:formatCode>_(* #,##0_);_(* \(#,##0\);_(* "-"??_);_(@_)</c:formatCode>
                <c:ptCount val="6"/>
                <c:pt idx="0">
                  <c:v>2154200</c:v>
                </c:pt>
                <c:pt idx="1">
                  <c:v>2355000</c:v>
                </c:pt>
                <c:pt idx="2">
                  <c:v>2652200</c:v>
                </c:pt>
                <c:pt idx="3">
                  <c:v>2875000</c:v>
                </c:pt>
                <c:pt idx="4">
                  <c:v>2327100</c:v>
                </c:pt>
                <c:pt idx="5">
                  <c:v>2683600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41-45F2-8F18-C22CB1B917F9}"/>
            </c:ext>
          </c:extLst>
        </c:ser>
        <c:ser>
          <c:idx val="2"/>
          <c:order val="2"/>
          <c:tx>
            <c:strRef>
              <c:f>'SBUX_Income Statement'!$A$65</c:f>
              <c:strCache>
                <c:ptCount val="1"/>
                <c:pt idx="0">
                  <c:v>Global consumer products group (CPG), food service &amp; other revenues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'SBUX_Income Statement'!$B$62:$G$62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'SBUX_Income Statement'!$B$65:$G$65</c:f>
              <c:numCache>
                <c:formatCode>_(* #,##0_);_(* \(#,##0\);_(* "-"??_);_(@_)</c:formatCode>
                <c:ptCount val="6"/>
                <c:pt idx="0">
                  <c:v>2317600</c:v>
                </c:pt>
                <c:pt idx="1">
                  <c:v>2381100</c:v>
                </c:pt>
                <c:pt idx="2">
                  <c:v>2377000</c:v>
                </c:pt>
                <c:pt idx="3">
                  <c:v>2089200</c:v>
                </c:pt>
                <c:pt idx="4">
                  <c:v>2026300</c:v>
                </c:pt>
                <c:pt idx="5">
                  <c:v>1770000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41-45F2-8F18-C22CB1B91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941039"/>
        <c:axId val="1807939791"/>
      </c:areaChart>
      <c:catAx>
        <c:axId val="1807941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939791"/>
        <c:crosses val="autoZero"/>
        <c:auto val="1"/>
        <c:lblAlgn val="ctr"/>
        <c:lblOffset val="100"/>
        <c:noMultiLvlLbl val="0"/>
      </c:catAx>
      <c:valAx>
        <c:axId val="180793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94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GDP!$C$3:$H$3</c:f>
              <c:strCache>
                <c:ptCount val="6"/>
                <c:pt idx="0">
                  <c:v>2015A</c:v>
                </c:pt>
                <c:pt idx="1">
                  <c:v>2016A</c:v>
                </c:pt>
                <c:pt idx="2">
                  <c:v>2017A</c:v>
                </c:pt>
                <c:pt idx="3">
                  <c:v>2018A</c:v>
                </c:pt>
                <c:pt idx="4">
                  <c:v>2019A</c:v>
                </c:pt>
                <c:pt idx="5">
                  <c:v>2020A</c:v>
                </c:pt>
              </c:strCache>
            </c:strRef>
          </c:cat>
          <c:val>
            <c:numRef>
              <c:f>GDP!$C$5:$H$5</c:f>
              <c:numCache>
                <c:formatCode>0.00%</c:formatCode>
                <c:ptCount val="6"/>
                <c:pt idx="0">
                  <c:v>4.0565983910538027E-2</c:v>
                </c:pt>
                <c:pt idx="1">
                  <c:v>2.7799100778594144E-2</c:v>
                </c:pt>
                <c:pt idx="2">
                  <c:v>4.2571352360629498E-2</c:v>
                </c:pt>
                <c:pt idx="3">
                  <c:v>5.4699892544645141E-2</c:v>
                </c:pt>
                <c:pt idx="4">
                  <c:v>3.9831166310886859E-2</c:v>
                </c:pt>
                <c:pt idx="5">
                  <c:v>-2.3001912937992815E-2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1-4DFD-8A44-B8F6F8DA8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12832"/>
        <c:axId val="117312000"/>
      </c:barChart>
      <c:catAx>
        <c:axId val="11731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2000"/>
        <c:crosses val="autoZero"/>
        <c:auto val="1"/>
        <c:lblAlgn val="ctr"/>
        <c:lblOffset val="100"/>
        <c:noMultiLvlLbl val="0"/>
      </c:catAx>
      <c:valAx>
        <c:axId val="1173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254001</xdr:colOff>
      <xdr:row>0</xdr:row>
      <xdr:rowOff>107950</xdr:rowOff>
    </xdr:from>
    <xdr:to>
      <xdr:col>10</xdr:col>
      <xdr:colOff>280393</xdr:colOff>
      <xdr:row>11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3EB62C-B150-4254-B188-7FF7D3520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7751" y="107950"/>
          <a:ext cx="1455142" cy="147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32D8A06D-A737-49DA-9C20-DC0189BFB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  <xdr:twoCellAnchor>
    <xdr:from>
      <xdr:col>3</xdr:col>
      <xdr:colOff>730250</xdr:colOff>
      <xdr:row>102</xdr:row>
      <xdr:rowOff>76994</xdr:rowOff>
    </xdr:from>
    <xdr:to>
      <xdr:col>10</xdr:col>
      <xdr:colOff>281781</xdr:colOff>
      <xdr:row>122</xdr:row>
      <xdr:rowOff>55562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07A64E-C8D1-4F99-B807-7BE1C3F39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86A4C37D-DE94-423F-80CD-AFF017791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  <xdr:twoCellAnchor>
    <xdr:from>
      <xdr:col>7</xdr:col>
      <xdr:colOff>226218</xdr:colOff>
      <xdr:row>55</xdr:row>
      <xdr:rowOff>29368</xdr:rowOff>
    </xdr:from>
    <xdr:to>
      <xdr:col>12</xdr:col>
      <xdr:colOff>591343</xdr:colOff>
      <xdr:row>72</xdr:row>
      <xdr:rowOff>57943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C2D69F-EC20-49E0-91FF-9CAE328C8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79C60C2E-2DBC-4F47-BF2F-CB54BDD59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9</xdr:row>
      <xdr:rowOff>57150</xdr:rowOff>
    </xdr:from>
    <xdr:to>
      <xdr:col>5</xdr:col>
      <xdr:colOff>711200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B08728-16FE-FB69-45C5-5809FB283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mail.smarsh.com/Users/Arty1mp/AppData/Local/Microsoft/Windows/Temporary%20Internet%20Files/Content.Outlook/40XAGRCH/All%20Docs/Hooke%20Associates/Hooke%20Associates%20Valuation%20Model%20%2011-2009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Admin"/>
      <sheetName val="Assumptions"/>
      <sheetName val="Timeline"/>
      <sheetName val="Summary"/>
      <sheetName val="Income (P&amp;L)"/>
      <sheetName val="Balance Sheet"/>
      <sheetName val="Cash Flow"/>
      <sheetName val="Key Figures"/>
      <sheetName val="Valuation"/>
      <sheetName val="Sales"/>
      <sheetName val="Debtors"/>
      <sheetName val="Creditors"/>
      <sheetName val="Stock"/>
      <sheetName val="Tax"/>
      <sheetName val="Expenses"/>
      <sheetName val="Loans"/>
      <sheetName val="Assets-Depreciation"/>
      <sheetName val="HistoricalFinancials"/>
      <sheetName val="MainFinancials"/>
    </sheetNames>
    <sheetDataSet>
      <sheetData sheetId="0" refreshError="1"/>
      <sheetData sheetId="1">
        <row r="5">
          <cell r="B5" t="str">
            <v>Private Manufacturing Enterprise Inc.  Base Case Financial Model (Transaction Period: 6 Years)</v>
          </cell>
        </row>
        <row r="13">
          <cell r="B13" t="str">
            <v>Base Case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2:Q47"/>
  <sheetViews>
    <sheetView topLeftCell="A17" workbookViewId="0">
      <selection activeCell="H39" sqref="H39"/>
    </sheetView>
  </sheetViews>
  <sheetFormatPr defaultColWidth="6.81640625" defaultRowHeight="10.5" x14ac:dyDescent="0.25"/>
  <cols>
    <col min="1" max="1" width="6.81640625" style="150"/>
    <col min="2" max="2" width="10.81640625" style="150" customWidth="1"/>
    <col min="3" max="3" width="11.453125" style="150" customWidth="1"/>
    <col min="4" max="4" width="9.54296875" style="150" customWidth="1"/>
    <col min="5" max="5" width="9.26953125" style="150" customWidth="1"/>
    <col min="6" max="6" width="9.453125" style="150" customWidth="1"/>
    <col min="7" max="12" width="6.81640625" style="150"/>
    <col min="13" max="13" width="24.453125" style="150" bestFit="1" customWidth="1"/>
    <col min="14" max="18" width="6.81640625" style="150"/>
    <col min="19" max="19" width="7.7265625" style="150" customWidth="1"/>
    <col min="20" max="23" width="6.81640625" style="150"/>
    <col min="24" max="24" width="7.54296875" style="150" customWidth="1"/>
    <col min="25" max="274" width="6.81640625" style="150"/>
    <col min="275" max="275" width="7.7265625" style="150" customWidth="1"/>
    <col min="276" max="279" width="6.81640625" style="150"/>
    <col min="280" max="280" width="7.54296875" style="150" customWidth="1"/>
    <col min="281" max="530" width="6.81640625" style="150"/>
    <col min="531" max="531" width="7.7265625" style="150" customWidth="1"/>
    <col min="532" max="535" width="6.81640625" style="150"/>
    <col min="536" max="536" width="7.54296875" style="150" customWidth="1"/>
    <col min="537" max="786" width="6.81640625" style="150"/>
    <col min="787" max="787" width="7.7265625" style="150" customWidth="1"/>
    <col min="788" max="791" width="6.81640625" style="150"/>
    <col min="792" max="792" width="7.54296875" style="150" customWidth="1"/>
    <col min="793" max="1042" width="6.81640625" style="150"/>
    <col min="1043" max="1043" width="7.7265625" style="150" customWidth="1"/>
    <col min="1044" max="1047" width="6.81640625" style="150"/>
    <col min="1048" max="1048" width="7.54296875" style="150" customWidth="1"/>
    <col min="1049" max="1298" width="6.81640625" style="150"/>
    <col min="1299" max="1299" width="7.7265625" style="150" customWidth="1"/>
    <col min="1300" max="1303" width="6.81640625" style="150"/>
    <col min="1304" max="1304" width="7.54296875" style="150" customWidth="1"/>
    <col min="1305" max="1554" width="6.81640625" style="150"/>
    <col min="1555" max="1555" width="7.7265625" style="150" customWidth="1"/>
    <col min="1556" max="1559" width="6.81640625" style="150"/>
    <col min="1560" max="1560" width="7.54296875" style="150" customWidth="1"/>
    <col min="1561" max="1810" width="6.81640625" style="150"/>
    <col min="1811" max="1811" width="7.7265625" style="150" customWidth="1"/>
    <col min="1812" max="1815" width="6.81640625" style="150"/>
    <col min="1816" max="1816" width="7.54296875" style="150" customWidth="1"/>
    <col min="1817" max="2066" width="6.81640625" style="150"/>
    <col min="2067" max="2067" width="7.7265625" style="150" customWidth="1"/>
    <col min="2068" max="2071" width="6.81640625" style="150"/>
    <col min="2072" max="2072" width="7.54296875" style="150" customWidth="1"/>
    <col min="2073" max="2322" width="6.81640625" style="150"/>
    <col min="2323" max="2323" width="7.7265625" style="150" customWidth="1"/>
    <col min="2324" max="2327" width="6.81640625" style="150"/>
    <col min="2328" max="2328" width="7.54296875" style="150" customWidth="1"/>
    <col min="2329" max="2578" width="6.81640625" style="150"/>
    <col min="2579" max="2579" width="7.7265625" style="150" customWidth="1"/>
    <col min="2580" max="2583" width="6.81640625" style="150"/>
    <col min="2584" max="2584" width="7.54296875" style="150" customWidth="1"/>
    <col min="2585" max="2834" width="6.81640625" style="150"/>
    <col min="2835" max="2835" width="7.7265625" style="150" customWidth="1"/>
    <col min="2836" max="2839" width="6.81640625" style="150"/>
    <col min="2840" max="2840" width="7.54296875" style="150" customWidth="1"/>
    <col min="2841" max="3090" width="6.81640625" style="150"/>
    <col min="3091" max="3091" width="7.7265625" style="150" customWidth="1"/>
    <col min="3092" max="3095" width="6.81640625" style="150"/>
    <col min="3096" max="3096" width="7.54296875" style="150" customWidth="1"/>
    <col min="3097" max="3346" width="6.81640625" style="150"/>
    <col min="3347" max="3347" width="7.7265625" style="150" customWidth="1"/>
    <col min="3348" max="3351" width="6.81640625" style="150"/>
    <col min="3352" max="3352" width="7.54296875" style="150" customWidth="1"/>
    <col min="3353" max="3602" width="6.81640625" style="150"/>
    <col min="3603" max="3603" width="7.7265625" style="150" customWidth="1"/>
    <col min="3604" max="3607" width="6.81640625" style="150"/>
    <col min="3608" max="3608" width="7.54296875" style="150" customWidth="1"/>
    <col min="3609" max="3858" width="6.81640625" style="150"/>
    <col min="3859" max="3859" width="7.7265625" style="150" customWidth="1"/>
    <col min="3860" max="3863" width="6.81640625" style="150"/>
    <col min="3864" max="3864" width="7.54296875" style="150" customWidth="1"/>
    <col min="3865" max="4114" width="6.81640625" style="150"/>
    <col min="4115" max="4115" width="7.7265625" style="150" customWidth="1"/>
    <col min="4116" max="4119" width="6.81640625" style="150"/>
    <col min="4120" max="4120" width="7.54296875" style="150" customWidth="1"/>
    <col min="4121" max="4370" width="6.81640625" style="150"/>
    <col min="4371" max="4371" width="7.7265625" style="150" customWidth="1"/>
    <col min="4372" max="4375" width="6.81640625" style="150"/>
    <col min="4376" max="4376" width="7.54296875" style="150" customWidth="1"/>
    <col min="4377" max="4626" width="6.81640625" style="150"/>
    <col min="4627" max="4627" width="7.7265625" style="150" customWidth="1"/>
    <col min="4628" max="4631" width="6.81640625" style="150"/>
    <col min="4632" max="4632" width="7.54296875" style="150" customWidth="1"/>
    <col min="4633" max="4882" width="6.81640625" style="150"/>
    <col min="4883" max="4883" width="7.7265625" style="150" customWidth="1"/>
    <col min="4884" max="4887" width="6.81640625" style="150"/>
    <col min="4888" max="4888" width="7.54296875" style="150" customWidth="1"/>
    <col min="4889" max="5138" width="6.81640625" style="150"/>
    <col min="5139" max="5139" width="7.7265625" style="150" customWidth="1"/>
    <col min="5140" max="5143" width="6.81640625" style="150"/>
    <col min="5144" max="5144" width="7.54296875" style="150" customWidth="1"/>
    <col min="5145" max="5394" width="6.81640625" style="150"/>
    <col min="5395" max="5395" width="7.7265625" style="150" customWidth="1"/>
    <col min="5396" max="5399" width="6.81640625" style="150"/>
    <col min="5400" max="5400" width="7.54296875" style="150" customWidth="1"/>
    <col min="5401" max="5650" width="6.81640625" style="150"/>
    <col min="5651" max="5651" width="7.7265625" style="150" customWidth="1"/>
    <col min="5652" max="5655" width="6.81640625" style="150"/>
    <col min="5656" max="5656" width="7.54296875" style="150" customWidth="1"/>
    <col min="5657" max="5906" width="6.81640625" style="150"/>
    <col min="5907" max="5907" width="7.7265625" style="150" customWidth="1"/>
    <col min="5908" max="5911" width="6.81640625" style="150"/>
    <col min="5912" max="5912" width="7.54296875" style="150" customWidth="1"/>
    <col min="5913" max="6162" width="6.81640625" style="150"/>
    <col min="6163" max="6163" width="7.7265625" style="150" customWidth="1"/>
    <col min="6164" max="6167" width="6.81640625" style="150"/>
    <col min="6168" max="6168" width="7.54296875" style="150" customWidth="1"/>
    <col min="6169" max="6418" width="6.81640625" style="150"/>
    <col min="6419" max="6419" width="7.7265625" style="150" customWidth="1"/>
    <col min="6420" max="6423" width="6.81640625" style="150"/>
    <col min="6424" max="6424" width="7.54296875" style="150" customWidth="1"/>
    <col min="6425" max="6674" width="6.81640625" style="150"/>
    <col min="6675" max="6675" width="7.7265625" style="150" customWidth="1"/>
    <col min="6676" max="6679" width="6.81640625" style="150"/>
    <col min="6680" max="6680" width="7.54296875" style="150" customWidth="1"/>
    <col min="6681" max="6930" width="6.81640625" style="150"/>
    <col min="6931" max="6931" width="7.7265625" style="150" customWidth="1"/>
    <col min="6932" max="6935" width="6.81640625" style="150"/>
    <col min="6936" max="6936" width="7.54296875" style="150" customWidth="1"/>
    <col min="6937" max="7186" width="6.81640625" style="150"/>
    <col min="7187" max="7187" width="7.7265625" style="150" customWidth="1"/>
    <col min="7188" max="7191" width="6.81640625" style="150"/>
    <col min="7192" max="7192" width="7.54296875" style="150" customWidth="1"/>
    <col min="7193" max="7442" width="6.81640625" style="150"/>
    <col min="7443" max="7443" width="7.7265625" style="150" customWidth="1"/>
    <col min="7444" max="7447" width="6.81640625" style="150"/>
    <col min="7448" max="7448" width="7.54296875" style="150" customWidth="1"/>
    <col min="7449" max="7698" width="6.81640625" style="150"/>
    <col min="7699" max="7699" width="7.7265625" style="150" customWidth="1"/>
    <col min="7700" max="7703" width="6.81640625" style="150"/>
    <col min="7704" max="7704" width="7.54296875" style="150" customWidth="1"/>
    <col min="7705" max="7954" width="6.81640625" style="150"/>
    <col min="7955" max="7955" width="7.7265625" style="150" customWidth="1"/>
    <col min="7956" max="7959" width="6.81640625" style="150"/>
    <col min="7960" max="7960" width="7.54296875" style="150" customWidth="1"/>
    <col min="7961" max="8210" width="6.81640625" style="150"/>
    <col min="8211" max="8211" width="7.7265625" style="150" customWidth="1"/>
    <col min="8212" max="8215" width="6.81640625" style="150"/>
    <col min="8216" max="8216" width="7.54296875" style="150" customWidth="1"/>
    <col min="8217" max="8466" width="6.81640625" style="150"/>
    <col min="8467" max="8467" width="7.7265625" style="150" customWidth="1"/>
    <col min="8468" max="8471" width="6.81640625" style="150"/>
    <col min="8472" max="8472" width="7.54296875" style="150" customWidth="1"/>
    <col min="8473" max="8722" width="6.81640625" style="150"/>
    <col min="8723" max="8723" width="7.7265625" style="150" customWidth="1"/>
    <col min="8724" max="8727" width="6.81640625" style="150"/>
    <col min="8728" max="8728" width="7.54296875" style="150" customWidth="1"/>
    <col min="8729" max="8978" width="6.81640625" style="150"/>
    <col min="8979" max="8979" width="7.7265625" style="150" customWidth="1"/>
    <col min="8980" max="8983" width="6.81640625" style="150"/>
    <col min="8984" max="8984" width="7.54296875" style="150" customWidth="1"/>
    <col min="8985" max="9234" width="6.81640625" style="150"/>
    <col min="9235" max="9235" width="7.7265625" style="150" customWidth="1"/>
    <col min="9236" max="9239" width="6.81640625" style="150"/>
    <col min="9240" max="9240" width="7.54296875" style="150" customWidth="1"/>
    <col min="9241" max="9490" width="6.81640625" style="150"/>
    <col min="9491" max="9491" width="7.7265625" style="150" customWidth="1"/>
    <col min="9492" max="9495" width="6.81640625" style="150"/>
    <col min="9496" max="9496" width="7.54296875" style="150" customWidth="1"/>
    <col min="9497" max="9746" width="6.81640625" style="150"/>
    <col min="9747" max="9747" width="7.7265625" style="150" customWidth="1"/>
    <col min="9748" max="9751" width="6.81640625" style="150"/>
    <col min="9752" max="9752" width="7.54296875" style="150" customWidth="1"/>
    <col min="9753" max="10002" width="6.81640625" style="150"/>
    <col min="10003" max="10003" width="7.7265625" style="150" customWidth="1"/>
    <col min="10004" max="10007" width="6.81640625" style="150"/>
    <col min="10008" max="10008" width="7.54296875" style="150" customWidth="1"/>
    <col min="10009" max="10258" width="6.81640625" style="150"/>
    <col min="10259" max="10259" width="7.7265625" style="150" customWidth="1"/>
    <col min="10260" max="10263" width="6.81640625" style="150"/>
    <col min="10264" max="10264" width="7.54296875" style="150" customWidth="1"/>
    <col min="10265" max="10514" width="6.81640625" style="150"/>
    <col min="10515" max="10515" width="7.7265625" style="150" customWidth="1"/>
    <col min="10516" max="10519" width="6.81640625" style="150"/>
    <col min="10520" max="10520" width="7.54296875" style="150" customWidth="1"/>
    <col min="10521" max="10770" width="6.81640625" style="150"/>
    <col min="10771" max="10771" width="7.7265625" style="150" customWidth="1"/>
    <col min="10772" max="10775" width="6.81640625" style="150"/>
    <col min="10776" max="10776" width="7.54296875" style="150" customWidth="1"/>
    <col min="10777" max="11026" width="6.81640625" style="150"/>
    <col min="11027" max="11027" width="7.7265625" style="150" customWidth="1"/>
    <col min="11028" max="11031" width="6.81640625" style="150"/>
    <col min="11032" max="11032" width="7.54296875" style="150" customWidth="1"/>
    <col min="11033" max="11282" width="6.81640625" style="150"/>
    <col min="11283" max="11283" width="7.7265625" style="150" customWidth="1"/>
    <col min="11284" max="11287" width="6.81640625" style="150"/>
    <col min="11288" max="11288" width="7.54296875" style="150" customWidth="1"/>
    <col min="11289" max="11538" width="6.81640625" style="150"/>
    <col min="11539" max="11539" width="7.7265625" style="150" customWidth="1"/>
    <col min="11540" max="11543" width="6.81640625" style="150"/>
    <col min="11544" max="11544" width="7.54296875" style="150" customWidth="1"/>
    <col min="11545" max="11794" width="6.81640625" style="150"/>
    <col min="11795" max="11795" width="7.7265625" style="150" customWidth="1"/>
    <col min="11796" max="11799" width="6.81640625" style="150"/>
    <col min="11800" max="11800" width="7.54296875" style="150" customWidth="1"/>
    <col min="11801" max="12050" width="6.81640625" style="150"/>
    <col min="12051" max="12051" width="7.7265625" style="150" customWidth="1"/>
    <col min="12052" max="12055" width="6.81640625" style="150"/>
    <col min="12056" max="12056" width="7.54296875" style="150" customWidth="1"/>
    <col min="12057" max="12306" width="6.81640625" style="150"/>
    <col min="12307" max="12307" width="7.7265625" style="150" customWidth="1"/>
    <col min="12308" max="12311" width="6.81640625" style="150"/>
    <col min="12312" max="12312" width="7.54296875" style="150" customWidth="1"/>
    <col min="12313" max="12562" width="6.81640625" style="150"/>
    <col min="12563" max="12563" width="7.7265625" style="150" customWidth="1"/>
    <col min="12564" max="12567" width="6.81640625" style="150"/>
    <col min="12568" max="12568" width="7.54296875" style="150" customWidth="1"/>
    <col min="12569" max="12818" width="6.81640625" style="150"/>
    <col min="12819" max="12819" width="7.7265625" style="150" customWidth="1"/>
    <col min="12820" max="12823" width="6.81640625" style="150"/>
    <col min="12824" max="12824" width="7.54296875" style="150" customWidth="1"/>
    <col min="12825" max="13074" width="6.81640625" style="150"/>
    <col min="13075" max="13075" width="7.7265625" style="150" customWidth="1"/>
    <col min="13076" max="13079" width="6.81640625" style="150"/>
    <col min="13080" max="13080" width="7.54296875" style="150" customWidth="1"/>
    <col min="13081" max="13330" width="6.81640625" style="150"/>
    <col min="13331" max="13331" width="7.7265625" style="150" customWidth="1"/>
    <col min="13332" max="13335" width="6.81640625" style="150"/>
    <col min="13336" max="13336" width="7.54296875" style="150" customWidth="1"/>
    <col min="13337" max="13586" width="6.81640625" style="150"/>
    <col min="13587" max="13587" width="7.7265625" style="150" customWidth="1"/>
    <col min="13588" max="13591" width="6.81640625" style="150"/>
    <col min="13592" max="13592" width="7.54296875" style="150" customWidth="1"/>
    <col min="13593" max="13842" width="6.81640625" style="150"/>
    <col min="13843" max="13843" width="7.7265625" style="150" customWidth="1"/>
    <col min="13844" max="13847" width="6.81640625" style="150"/>
    <col min="13848" max="13848" width="7.54296875" style="150" customWidth="1"/>
    <col min="13849" max="14098" width="6.81640625" style="150"/>
    <col min="14099" max="14099" width="7.7265625" style="150" customWidth="1"/>
    <col min="14100" max="14103" width="6.81640625" style="150"/>
    <col min="14104" max="14104" width="7.54296875" style="150" customWidth="1"/>
    <col min="14105" max="14354" width="6.81640625" style="150"/>
    <col min="14355" max="14355" width="7.7265625" style="150" customWidth="1"/>
    <col min="14356" max="14359" width="6.81640625" style="150"/>
    <col min="14360" max="14360" width="7.54296875" style="150" customWidth="1"/>
    <col min="14361" max="14610" width="6.81640625" style="150"/>
    <col min="14611" max="14611" width="7.7265625" style="150" customWidth="1"/>
    <col min="14612" max="14615" width="6.81640625" style="150"/>
    <col min="14616" max="14616" width="7.54296875" style="150" customWidth="1"/>
    <col min="14617" max="14866" width="6.81640625" style="150"/>
    <col min="14867" max="14867" width="7.7265625" style="150" customWidth="1"/>
    <col min="14868" max="14871" width="6.81640625" style="150"/>
    <col min="14872" max="14872" width="7.54296875" style="150" customWidth="1"/>
    <col min="14873" max="15122" width="6.81640625" style="150"/>
    <col min="15123" max="15123" width="7.7265625" style="150" customWidth="1"/>
    <col min="15124" max="15127" width="6.81640625" style="150"/>
    <col min="15128" max="15128" width="7.54296875" style="150" customWidth="1"/>
    <col min="15129" max="15378" width="6.81640625" style="150"/>
    <col min="15379" max="15379" width="7.7265625" style="150" customWidth="1"/>
    <col min="15380" max="15383" width="6.81640625" style="150"/>
    <col min="15384" max="15384" width="7.54296875" style="150" customWidth="1"/>
    <col min="15385" max="15634" width="6.81640625" style="150"/>
    <col min="15635" max="15635" width="7.7265625" style="150" customWidth="1"/>
    <col min="15636" max="15639" width="6.81640625" style="150"/>
    <col min="15640" max="15640" width="7.54296875" style="150" customWidth="1"/>
    <col min="15641" max="15890" width="6.81640625" style="150"/>
    <col min="15891" max="15891" width="7.7265625" style="150" customWidth="1"/>
    <col min="15892" max="15895" width="6.81640625" style="150"/>
    <col min="15896" max="15896" width="7.54296875" style="150" customWidth="1"/>
    <col min="15897" max="16146" width="6.81640625" style="150"/>
    <col min="16147" max="16147" width="7.7265625" style="150" customWidth="1"/>
    <col min="16148" max="16151" width="6.81640625" style="150"/>
    <col min="16152" max="16152" width="7.54296875" style="150" customWidth="1"/>
    <col min="16153" max="16384" width="6.81640625" style="150"/>
  </cols>
  <sheetData>
    <row r="12" spans="2:17" ht="11.25" customHeight="1" x14ac:dyDescent="0.25">
      <c r="B12" s="149"/>
      <c r="C12" s="149"/>
      <c r="D12" s="149"/>
      <c r="E12" s="149"/>
      <c r="F12" s="149"/>
      <c r="M12" s="149"/>
      <c r="N12" s="149"/>
      <c r="O12" s="149"/>
      <c r="P12" s="149"/>
      <c r="Q12" s="149"/>
    </row>
    <row r="13" spans="2:17" ht="11.25" customHeight="1" x14ac:dyDescent="0.25">
      <c r="B13" s="149"/>
      <c r="C13" s="149"/>
      <c r="D13" s="149"/>
      <c r="E13" s="149"/>
      <c r="F13" s="149"/>
      <c r="G13" s="399"/>
      <c r="H13" s="399"/>
      <c r="I13" s="399"/>
      <c r="J13" s="399"/>
      <c r="K13" s="399"/>
      <c r="L13" s="399"/>
      <c r="M13" s="149"/>
      <c r="N13" s="149"/>
      <c r="O13" s="149"/>
      <c r="P13" s="149"/>
      <c r="Q13" s="149"/>
    </row>
    <row r="14" spans="2:17" x14ac:dyDescent="0.25">
      <c r="B14" s="149"/>
      <c r="C14" s="149"/>
      <c r="D14" s="149"/>
      <c r="E14" s="149"/>
      <c r="F14" s="149"/>
      <c r="G14" s="399"/>
      <c r="H14" s="399"/>
      <c r="I14" s="399"/>
      <c r="J14" s="399"/>
      <c r="K14" s="399"/>
      <c r="L14" s="399"/>
      <c r="M14" s="149"/>
      <c r="N14" s="149"/>
      <c r="O14" s="149"/>
      <c r="P14" s="149"/>
      <c r="Q14" s="149"/>
    </row>
    <row r="15" spans="2:17" x14ac:dyDescent="0.25">
      <c r="B15" s="149"/>
      <c r="C15" s="149"/>
      <c r="D15" s="149"/>
      <c r="E15" s="149"/>
      <c r="F15" s="149"/>
      <c r="M15" s="149"/>
      <c r="N15" s="149"/>
      <c r="O15" s="149"/>
      <c r="P15" s="149"/>
      <c r="Q15" s="149"/>
    </row>
    <row r="16" spans="2:17" ht="11.25" customHeight="1" x14ac:dyDescent="0.25">
      <c r="B16" s="149"/>
      <c r="C16" s="149"/>
      <c r="D16" s="149"/>
      <c r="E16" s="149"/>
      <c r="F16" s="149"/>
      <c r="M16" s="149"/>
      <c r="N16" s="149"/>
      <c r="O16" s="149"/>
      <c r="P16" s="149"/>
      <c r="Q16" s="149"/>
    </row>
    <row r="17" spans="2:17" ht="11.25" customHeight="1" x14ac:dyDescent="0.25">
      <c r="B17" s="149"/>
      <c r="C17" s="149"/>
      <c r="D17" s="149"/>
      <c r="E17" s="149"/>
      <c r="F17" s="149"/>
      <c r="G17" s="400" t="s">
        <v>320</v>
      </c>
      <c r="H17" s="400"/>
      <c r="I17" s="400"/>
      <c r="J17" s="400"/>
      <c r="K17" s="400"/>
      <c r="L17" s="400"/>
      <c r="M17" s="149"/>
      <c r="N17" s="149"/>
      <c r="O17" s="149"/>
      <c r="P17" s="149"/>
      <c r="Q17" s="149"/>
    </row>
    <row r="18" spans="2:17" ht="11.25" customHeight="1" x14ac:dyDescent="0.25">
      <c r="B18" s="149"/>
      <c r="C18" s="149"/>
      <c r="D18" s="149"/>
      <c r="E18" s="149"/>
      <c r="F18" s="149"/>
      <c r="G18" s="400"/>
      <c r="H18" s="400"/>
      <c r="I18" s="400"/>
      <c r="J18" s="400"/>
      <c r="K18" s="400"/>
      <c r="L18" s="400"/>
      <c r="M18" s="149"/>
      <c r="N18" s="149"/>
      <c r="O18" s="149"/>
      <c r="P18" s="149"/>
      <c r="Q18" s="149"/>
    </row>
    <row r="19" spans="2:17" x14ac:dyDescent="0.25">
      <c r="B19" s="149"/>
      <c r="C19" s="149"/>
      <c r="D19" s="149"/>
      <c r="E19" s="149"/>
      <c r="F19" s="149"/>
      <c r="G19" s="400"/>
      <c r="H19" s="400"/>
      <c r="I19" s="400"/>
      <c r="J19" s="400"/>
      <c r="K19" s="400"/>
      <c r="L19" s="400"/>
      <c r="M19" s="149"/>
      <c r="N19" s="149"/>
      <c r="O19" s="149"/>
      <c r="P19" s="149"/>
      <c r="Q19" s="149"/>
    </row>
    <row r="20" spans="2:17" x14ac:dyDescent="0.25"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</row>
    <row r="21" spans="2:17" x14ac:dyDescent="0.25">
      <c r="B21" s="149"/>
      <c r="Q21" s="149"/>
    </row>
    <row r="22" spans="2:17" x14ac:dyDescent="0.25">
      <c r="B22" s="149"/>
      <c r="Q22" s="149"/>
    </row>
    <row r="23" spans="2:17" ht="12" customHeight="1" x14ac:dyDescent="0.25">
      <c r="B23" s="149"/>
      <c r="C23" s="401" t="str">
        <f>SBUX_BS!A5</f>
        <v>Starbucks Corp.   (NMS: SBUX)</v>
      </c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3"/>
      <c r="Q23" s="149"/>
    </row>
    <row r="24" spans="2:17" ht="11.25" customHeight="1" x14ac:dyDescent="0.25">
      <c r="B24" s="149"/>
      <c r="C24" s="404"/>
      <c r="D24" s="405"/>
      <c r="E24" s="405"/>
      <c r="F24" s="405"/>
      <c r="G24" s="405"/>
      <c r="H24" s="405"/>
      <c r="I24" s="405"/>
      <c r="J24" s="405"/>
      <c r="K24" s="405"/>
      <c r="L24" s="405"/>
      <c r="M24" s="405"/>
      <c r="N24" s="405"/>
      <c r="O24" s="405"/>
      <c r="P24" s="406"/>
      <c r="Q24" s="149"/>
    </row>
    <row r="25" spans="2:17" ht="11.25" customHeight="1" x14ac:dyDescent="0.25">
      <c r="B25" s="149"/>
      <c r="C25" s="404"/>
      <c r="D25" s="405"/>
      <c r="E25" s="405"/>
      <c r="F25" s="405"/>
      <c r="G25" s="405"/>
      <c r="H25" s="405"/>
      <c r="I25" s="405"/>
      <c r="J25" s="405"/>
      <c r="K25" s="405"/>
      <c r="L25" s="405"/>
      <c r="M25" s="405"/>
      <c r="N25" s="405"/>
      <c r="O25" s="405"/>
      <c r="P25" s="406"/>
      <c r="Q25" s="149"/>
    </row>
    <row r="26" spans="2:17" ht="11.25" customHeight="1" x14ac:dyDescent="0.25">
      <c r="B26" s="149"/>
      <c r="C26" s="404"/>
      <c r="D26" s="405"/>
      <c r="E26" s="405"/>
      <c r="F26" s="405"/>
      <c r="G26" s="405"/>
      <c r="H26" s="405"/>
      <c r="I26" s="405"/>
      <c r="J26" s="405"/>
      <c r="K26" s="405"/>
      <c r="L26" s="405"/>
      <c r="M26" s="405"/>
      <c r="N26" s="405"/>
      <c r="O26" s="405"/>
      <c r="P26" s="406"/>
      <c r="Q26" s="149"/>
    </row>
    <row r="27" spans="2:17" ht="11.25" customHeight="1" x14ac:dyDescent="0.25">
      <c r="B27" s="149"/>
      <c r="C27" s="404"/>
      <c r="D27" s="405"/>
      <c r="E27" s="405"/>
      <c r="F27" s="405"/>
      <c r="G27" s="405"/>
      <c r="H27" s="405"/>
      <c r="I27" s="405"/>
      <c r="J27" s="405"/>
      <c r="K27" s="405"/>
      <c r="L27" s="405"/>
      <c r="M27" s="405"/>
      <c r="N27" s="405"/>
      <c r="O27" s="405"/>
      <c r="P27" s="406"/>
      <c r="Q27" s="149"/>
    </row>
    <row r="28" spans="2:17" ht="11.25" customHeight="1" x14ac:dyDescent="0.25">
      <c r="B28" s="149"/>
      <c r="C28" s="404"/>
      <c r="D28" s="405"/>
      <c r="E28" s="405"/>
      <c r="F28" s="405"/>
      <c r="G28" s="405"/>
      <c r="H28" s="405"/>
      <c r="I28" s="405"/>
      <c r="J28" s="405"/>
      <c r="K28" s="405"/>
      <c r="L28" s="405"/>
      <c r="M28" s="405"/>
      <c r="N28" s="405"/>
      <c r="O28" s="405"/>
      <c r="P28" s="406"/>
      <c r="Q28" s="149"/>
    </row>
    <row r="29" spans="2:17" x14ac:dyDescent="0.25">
      <c r="B29" s="149"/>
      <c r="C29" s="407"/>
      <c r="D29" s="408"/>
      <c r="E29" s="408"/>
      <c r="F29" s="408"/>
      <c r="G29" s="408"/>
      <c r="H29" s="408"/>
      <c r="I29" s="408"/>
      <c r="J29" s="408"/>
      <c r="K29" s="408"/>
      <c r="L29" s="408"/>
      <c r="M29" s="408"/>
      <c r="N29" s="408"/>
      <c r="O29" s="408"/>
      <c r="P29" s="409"/>
      <c r="Q29" s="149"/>
    </row>
    <row r="30" spans="2:17" x14ac:dyDescent="0.25">
      <c r="B30" s="149"/>
      <c r="Q30" s="149"/>
    </row>
    <row r="31" spans="2:17" x14ac:dyDescent="0.25">
      <c r="B31" s="149"/>
      <c r="Q31" s="149"/>
    </row>
    <row r="32" spans="2:17" x14ac:dyDescent="0.25">
      <c r="B32" s="149"/>
      <c r="Q32" s="149"/>
    </row>
    <row r="33" spans="2:17" x14ac:dyDescent="0.25">
      <c r="B33" s="149"/>
      <c r="Q33" s="149"/>
    </row>
    <row r="34" spans="2:17" ht="20.5" x14ac:dyDescent="0.45">
      <c r="B34" s="154" t="s">
        <v>322</v>
      </c>
      <c r="C34" s="155"/>
      <c r="D34" s="155"/>
      <c r="E34" s="155"/>
      <c r="F34" s="155"/>
      <c r="M34" s="156">
        <f ca="1">NOW()</f>
        <v>44977.793660300929</v>
      </c>
      <c r="Q34" s="149"/>
    </row>
    <row r="35" spans="2:17" ht="74.150000000000006" customHeight="1" x14ac:dyDescent="0.4">
      <c r="B35" s="413" t="s">
        <v>321</v>
      </c>
      <c r="C35" s="413"/>
      <c r="D35" s="413"/>
      <c r="E35" s="413"/>
      <c r="F35" s="413"/>
      <c r="Q35" s="149"/>
    </row>
    <row r="36" spans="2:17" x14ac:dyDescent="0.25">
      <c r="B36" s="149"/>
      <c r="Q36" s="149"/>
    </row>
    <row r="37" spans="2:17" x14ac:dyDescent="0.25"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</row>
    <row r="38" spans="2:17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</row>
    <row r="39" spans="2:17" ht="11.25" customHeight="1" x14ac:dyDescent="0.25">
      <c r="B39" s="151"/>
      <c r="C39" s="151"/>
      <c r="D39" s="151"/>
      <c r="E39" s="151"/>
      <c r="F39" s="151"/>
      <c r="G39" s="151"/>
      <c r="H39" s="149"/>
      <c r="I39" s="149"/>
      <c r="J39" s="149"/>
      <c r="K39" s="149"/>
      <c r="L39" s="149"/>
      <c r="M39" s="149"/>
      <c r="N39" s="149"/>
      <c r="O39" s="149"/>
      <c r="P39" s="149"/>
      <c r="Q39" s="149"/>
    </row>
    <row r="40" spans="2:17" ht="11.25" customHeight="1" x14ac:dyDescent="0.4">
      <c r="H40" s="152"/>
      <c r="I40" s="149"/>
      <c r="J40" s="149"/>
      <c r="K40" s="149"/>
      <c r="L40" s="149"/>
      <c r="M40" s="149"/>
      <c r="N40" s="149"/>
    </row>
    <row r="41" spans="2:17" ht="11.25" customHeight="1" x14ac:dyDescent="0.4">
      <c r="H41" s="152"/>
      <c r="I41" s="149"/>
      <c r="J41" s="149"/>
      <c r="K41" s="149"/>
      <c r="L41" s="149"/>
      <c r="M41" s="149"/>
      <c r="N41" s="149"/>
    </row>
    <row r="42" spans="2:17" ht="11.25" customHeight="1" x14ac:dyDescent="0.25">
      <c r="B42" s="410"/>
      <c r="C42" s="410"/>
      <c r="D42" s="410"/>
      <c r="E42" s="410"/>
      <c r="F42" s="410"/>
      <c r="G42" s="410"/>
      <c r="H42" s="411"/>
      <c r="I42" s="411"/>
      <c r="J42" s="411"/>
      <c r="K42" s="411"/>
      <c r="L42" s="149"/>
      <c r="M42" s="149"/>
      <c r="N42" s="149"/>
      <c r="O42" s="412"/>
      <c r="P42" s="412"/>
      <c r="Q42" s="412"/>
    </row>
    <row r="43" spans="2:17" ht="11.25" customHeight="1" x14ac:dyDescent="0.25">
      <c r="B43" s="410"/>
      <c r="C43" s="410"/>
      <c r="D43" s="410"/>
      <c r="E43" s="410"/>
      <c r="F43" s="410"/>
      <c r="G43" s="410"/>
      <c r="H43" s="411"/>
      <c r="I43" s="411"/>
      <c r="J43" s="411"/>
      <c r="K43" s="411"/>
      <c r="L43" s="149"/>
      <c r="M43" s="149"/>
      <c r="N43" s="153"/>
      <c r="O43" s="412"/>
      <c r="P43" s="412"/>
      <c r="Q43" s="412"/>
    </row>
    <row r="44" spans="2:17" ht="11.25" customHeight="1" x14ac:dyDescent="0.25"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53"/>
    </row>
    <row r="45" spans="2:17" ht="11.25" customHeight="1" x14ac:dyDescent="0.25"/>
    <row r="46" spans="2:17" ht="11.25" customHeight="1" x14ac:dyDescent="0.25"/>
    <row r="47" spans="2:17" ht="11.25" customHeight="1" x14ac:dyDescent="0.25"/>
  </sheetData>
  <mergeCells count="7">
    <mergeCell ref="G13:L14"/>
    <mergeCell ref="G17:L19"/>
    <mergeCell ref="C23:P29"/>
    <mergeCell ref="B42:G43"/>
    <mergeCell ref="H42:K43"/>
    <mergeCell ref="O42:Q43"/>
    <mergeCell ref="B35:F35"/>
  </mergeCells>
  <pageMargins left="0.7" right="0.7" top="0.75" bottom="0.75" header="0.3" footer="0.3"/>
  <pageSetup scale="75" orientation="landscape" verticalDpi="0" r:id="rId1"/>
  <rowBreaks count="1" manualBreakCount="1">
    <brk id="47" max="21" man="1"/>
  </rowBreaks>
  <colBreaks count="1" manualBreakCount="1">
    <brk id="18" max="6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4C22"/>
  </sheetPr>
  <dimension ref="A1:V84"/>
  <sheetViews>
    <sheetView showGridLines="0" zoomScale="80" zoomScaleNormal="80" workbookViewId="0">
      <selection activeCell="M23" sqref="M23"/>
    </sheetView>
  </sheetViews>
  <sheetFormatPr defaultColWidth="8.453125" defaultRowHeight="12" customHeight="1" x14ac:dyDescent="0.3"/>
  <cols>
    <col min="1" max="1" width="9.81640625" style="86" customWidth="1"/>
    <col min="2" max="2" width="24.453125" style="86" customWidth="1"/>
    <col min="3" max="3" width="20.54296875" style="86" customWidth="1"/>
    <col min="4" max="4" width="14.81640625" style="86" bestFit="1" customWidth="1"/>
    <col min="5" max="5" width="12.453125" style="86" customWidth="1"/>
    <col min="6" max="8" width="10.1796875" style="86" customWidth="1"/>
    <col min="9" max="9" width="14.1796875" style="86" bestFit="1" customWidth="1"/>
    <col min="10" max="10" width="11.54296875" style="86" customWidth="1"/>
    <col min="11" max="11" width="17.90625" style="86" customWidth="1"/>
    <col min="12" max="12" width="15.26953125" style="86" customWidth="1"/>
    <col min="13" max="236" width="8.453125" style="86"/>
    <col min="237" max="237" width="3.81640625" style="86" customWidth="1"/>
    <col min="238" max="238" width="24.453125" style="86" customWidth="1"/>
    <col min="239" max="239" width="4.81640625" style="86" customWidth="1"/>
    <col min="240" max="244" width="10.1796875" style="86" customWidth="1"/>
    <col min="245" max="245" width="10" style="86" bestFit="1" customWidth="1"/>
    <col min="246" max="246" width="12.7265625" style="86" customWidth="1"/>
    <col min="247" max="252" width="10" style="86" bestFit="1" customWidth="1"/>
    <col min="253" max="253" width="12" style="86" customWidth="1"/>
    <col min="254" max="254" width="12.81640625" style="86" customWidth="1"/>
    <col min="255" max="256" width="11.54296875" style="86" customWidth="1"/>
    <col min="257" max="257" width="12.26953125" style="86" customWidth="1"/>
    <col min="258" max="258" width="11.54296875" style="86" customWidth="1"/>
    <col min="259" max="259" width="10" style="86" bestFit="1" customWidth="1"/>
    <col min="260" max="260" width="11.54296875" style="86" customWidth="1"/>
    <col min="261" max="261" width="10" style="86" bestFit="1" customWidth="1"/>
    <col min="262" max="262" width="10.81640625" style="86" customWidth="1"/>
    <col min="263" max="492" width="8.453125" style="86"/>
    <col min="493" max="493" width="3.81640625" style="86" customWidth="1"/>
    <col min="494" max="494" width="24.453125" style="86" customWidth="1"/>
    <col min="495" max="495" width="4.81640625" style="86" customWidth="1"/>
    <col min="496" max="500" width="10.1796875" style="86" customWidth="1"/>
    <col min="501" max="501" width="10" style="86" bestFit="1" customWidth="1"/>
    <col min="502" max="502" width="12.7265625" style="86" customWidth="1"/>
    <col min="503" max="508" width="10" style="86" bestFit="1" customWidth="1"/>
    <col min="509" max="509" width="12" style="86" customWidth="1"/>
    <col min="510" max="510" width="12.81640625" style="86" customWidth="1"/>
    <col min="511" max="512" width="11.54296875" style="86" customWidth="1"/>
    <col min="513" max="513" width="12.26953125" style="86" customWidth="1"/>
    <col min="514" max="514" width="11.54296875" style="86" customWidth="1"/>
    <col min="515" max="515" width="10" style="86" bestFit="1" customWidth="1"/>
    <col min="516" max="516" width="11.54296875" style="86" customWidth="1"/>
    <col min="517" max="517" width="10" style="86" bestFit="1" customWidth="1"/>
    <col min="518" max="518" width="10.81640625" style="86" customWidth="1"/>
    <col min="519" max="748" width="8.453125" style="86"/>
    <col min="749" max="749" width="3.81640625" style="86" customWidth="1"/>
    <col min="750" max="750" width="24.453125" style="86" customWidth="1"/>
    <col min="751" max="751" width="4.81640625" style="86" customWidth="1"/>
    <col min="752" max="756" width="10.1796875" style="86" customWidth="1"/>
    <col min="757" max="757" width="10" style="86" bestFit="1" customWidth="1"/>
    <col min="758" max="758" width="12.7265625" style="86" customWidth="1"/>
    <col min="759" max="764" width="10" style="86" bestFit="1" customWidth="1"/>
    <col min="765" max="765" width="12" style="86" customWidth="1"/>
    <col min="766" max="766" width="12.81640625" style="86" customWidth="1"/>
    <col min="767" max="768" width="11.54296875" style="86" customWidth="1"/>
    <col min="769" max="769" width="12.26953125" style="86" customWidth="1"/>
    <col min="770" max="770" width="11.54296875" style="86" customWidth="1"/>
    <col min="771" max="771" width="10" style="86" bestFit="1" customWidth="1"/>
    <col min="772" max="772" width="11.54296875" style="86" customWidth="1"/>
    <col min="773" max="773" width="10" style="86" bestFit="1" customWidth="1"/>
    <col min="774" max="774" width="10.81640625" style="86" customWidth="1"/>
    <col min="775" max="1004" width="8.453125" style="86"/>
    <col min="1005" max="1005" width="3.81640625" style="86" customWidth="1"/>
    <col min="1006" max="1006" width="24.453125" style="86" customWidth="1"/>
    <col min="1007" max="1007" width="4.81640625" style="86" customWidth="1"/>
    <col min="1008" max="1012" width="10.1796875" style="86" customWidth="1"/>
    <col min="1013" max="1013" width="10" style="86" bestFit="1" customWidth="1"/>
    <col min="1014" max="1014" width="12.7265625" style="86" customWidth="1"/>
    <col min="1015" max="1020" width="10" style="86" bestFit="1" customWidth="1"/>
    <col min="1021" max="1021" width="12" style="86" customWidth="1"/>
    <col min="1022" max="1022" width="12.81640625" style="86" customWidth="1"/>
    <col min="1023" max="1024" width="11.54296875" style="86" customWidth="1"/>
    <col min="1025" max="1025" width="12.26953125" style="86" customWidth="1"/>
    <col min="1026" max="1026" width="11.54296875" style="86" customWidth="1"/>
    <col min="1027" max="1027" width="10" style="86" bestFit="1" customWidth="1"/>
    <col min="1028" max="1028" width="11.54296875" style="86" customWidth="1"/>
    <col min="1029" max="1029" width="10" style="86" bestFit="1" customWidth="1"/>
    <col min="1030" max="1030" width="10.81640625" style="86" customWidth="1"/>
    <col min="1031" max="1260" width="8.453125" style="86"/>
    <col min="1261" max="1261" width="3.81640625" style="86" customWidth="1"/>
    <col min="1262" max="1262" width="24.453125" style="86" customWidth="1"/>
    <col min="1263" max="1263" width="4.81640625" style="86" customWidth="1"/>
    <col min="1264" max="1268" width="10.1796875" style="86" customWidth="1"/>
    <col min="1269" max="1269" width="10" style="86" bestFit="1" customWidth="1"/>
    <col min="1270" max="1270" width="12.7265625" style="86" customWidth="1"/>
    <col min="1271" max="1276" width="10" style="86" bestFit="1" customWidth="1"/>
    <col min="1277" max="1277" width="12" style="86" customWidth="1"/>
    <col min="1278" max="1278" width="12.81640625" style="86" customWidth="1"/>
    <col min="1279" max="1280" width="11.54296875" style="86" customWidth="1"/>
    <col min="1281" max="1281" width="12.26953125" style="86" customWidth="1"/>
    <col min="1282" max="1282" width="11.54296875" style="86" customWidth="1"/>
    <col min="1283" max="1283" width="10" style="86" bestFit="1" customWidth="1"/>
    <col min="1284" max="1284" width="11.54296875" style="86" customWidth="1"/>
    <col min="1285" max="1285" width="10" style="86" bestFit="1" customWidth="1"/>
    <col min="1286" max="1286" width="10.81640625" style="86" customWidth="1"/>
    <col min="1287" max="1516" width="8.453125" style="86"/>
    <col min="1517" max="1517" width="3.81640625" style="86" customWidth="1"/>
    <col min="1518" max="1518" width="24.453125" style="86" customWidth="1"/>
    <col min="1519" max="1519" width="4.81640625" style="86" customWidth="1"/>
    <col min="1520" max="1524" width="10.1796875" style="86" customWidth="1"/>
    <col min="1525" max="1525" width="10" style="86" bestFit="1" customWidth="1"/>
    <col min="1526" max="1526" width="12.7265625" style="86" customWidth="1"/>
    <col min="1527" max="1532" width="10" style="86" bestFit="1" customWidth="1"/>
    <col min="1533" max="1533" width="12" style="86" customWidth="1"/>
    <col min="1534" max="1534" width="12.81640625" style="86" customWidth="1"/>
    <col min="1535" max="1536" width="11.54296875" style="86" customWidth="1"/>
    <col min="1537" max="1537" width="12.26953125" style="86" customWidth="1"/>
    <col min="1538" max="1538" width="11.54296875" style="86" customWidth="1"/>
    <col min="1539" max="1539" width="10" style="86" bestFit="1" customWidth="1"/>
    <col min="1540" max="1540" width="11.54296875" style="86" customWidth="1"/>
    <col min="1541" max="1541" width="10" style="86" bestFit="1" customWidth="1"/>
    <col min="1542" max="1542" width="10.81640625" style="86" customWidth="1"/>
    <col min="1543" max="1772" width="8.453125" style="86"/>
    <col min="1773" max="1773" width="3.81640625" style="86" customWidth="1"/>
    <col min="1774" max="1774" width="24.453125" style="86" customWidth="1"/>
    <col min="1775" max="1775" width="4.81640625" style="86" customWidth="1"/>
    <col min="1776" max="1780" width="10.1796875" style="86" customWidth="1"/>
    <col min="1781" max="1781" width="10" style="86" bestFit="1" customWidth="1"/>
    <col min="1782" max="1782" width="12.7265625" style="86" customWidth="1"/>
    <col min="1783" max="1788" width="10" style="86" bestFit="1" customWidth="1"/>
    <col min="1789" max="1789" width="12" style="86" customWidth="1"/>
    <col min="1790" max="1790" width="12.81640625" style="86" customWidth="1"/>
    <col min="1791" max="1792" width="11.54296875" style="86" customWidth="1"/>
    <col min="1793" max="1793" width="12.26953125" style="86" customWidth="1"/>
    <col min="1794" max="1794" width="11.54296875" style="86" customWidth="1"/>
    <col min="1795" max="1795" width="10" style="86" bestFit="1" customWidth="1"/>
    <col min="1796" max="1796" width="11.54296875" style="86" customWidth="1"/>
    <col min="1797" max="1797" width="10" style="86" bestFit="1" customWidth="1"/>
    <col min="1798" max="1798" width="10.81640625" style="86" customWidth="1"/>
    <col min="1799" max="2028" width="8.453125" style="86"/>
    <col min="2029" max="2029" width="3.81640625" style="86" customWidth="1"/>
    <col min="2030" max="2030" width="24.453125" style="86" customWidth="1"/>
    <col min="2031" max="2031" width="4.81640625" style="86" customWidth="1"/>
    <col min="2032" max="2036" width="10.1796875" style="86" customWidth="1"/>
    <col min="2037" max="2037" width="10" style="86" bestFit="1" customWidth="1"/>
    <col min="2038" max="2038" width="12.7265625" style="86" customWidth="1"/>
    <col min="2039" max="2044" width="10" style="86" bestFit="1" customWidth="1"/>
    <col min="2045" max="2045" width="12" style="86" customWidth="1"/>
    <col min="2046" max="2046" width="12.81640625" style="86" customWidth="1"/>
    <col min="2047" max="2048" width="11.54296875" style="86" customWidth="1"/>
    <col min="2049" max="2049" width="12.26953125" style="86" customWidth="1"/>
    <col min="2050" max="2050" width="11.54296875" style="86" customWidth="1"/>
    <col min="2051" max="2051" width="10" style="86" bestFit="1" customWidth="1"/>
    <col min="2052" max="2052" width="11.54296875" style="86" customWidth="1"/>
    <col min="2053" max="2053" width="10" style="86" bestFit="1" customWidth="1"/>
    <col min="2054" max="2054" width="10.81640625" style="86" customWidth="1"/>
    <col min="2055" max="2284" width="8.453125" style="86"/>
    <col min="2285" max="2285" width="3.81640625" style="86" customWidth="1"/>
    <col min="2286" max="2286" width="24.453125" style="86" customWidth="1"/>
    <col min="2287" max="2287" width="4.81640625" style="86" customWidth="1"/>
    <col min="2288" max="2292" width="10.1796875" style="86" customWidth="1"/>
    <col min="2293" max="2293" width="10" style="86" bestFit="1" customWidth="1"/>
    <col min="2294" max="2294" width="12.7265625" style="86" customWidth="1"/>
    <col min="2295" max="2300" width="10" style="86" bestFit="1" customWidth="1"/>
    <col min="2301" max="2301" width="12" style="86" customWidth="1"/>
    <col min="2302" max="2302" width="12.81640625" style="86" customWidth="1"/>
    <col min="2303" max="2304" width="11.54296875" style="86" customWidth="1"/>
    <col min="2305" max="2305" width="12.26953125" style="86" customWidth="1"/>
    <col min="2306" max="2306" width="11.54296875" style="86" customWidth="1"/>
    <col min="2307" max="2307" width="10" style="86" bestFit="1" customWidth="1"/>
    <col min="2308" max="2308" width="11.54296875" style="86" customWidth="1"/>
    <col min="2309" max="2309" width="10" style="86" bestFit="1" customWidth="1"/>
    <col min="2310" max="2310" width="10.81640625" style="86" customWidth="1"/>
    <col min="2311" max="2540" width="8.453125" style="86"/>
    <col min="2541" max="2541" width="3.81640625" style="86" customWidth="1"/>
    <col min="2542" max="2542" width="24.453125" style="86" customWidth="1"/>
    <col min="2543" max="2543" width="4.81640625" style="86" customWidth="1"/>
    <col min="2544" max="2548" width="10.1796875" style="86" customWidth="1"/>
    <col min="2549" max="2549" width="10" style="86" bestFit="1" customWidth="1"/>
    <col min="2550" max="2550" width="12.7265625" style="86" customWidth="1"/>
    <col min="2551" max="2556" width="10" style="86" bestFit="1" customWidth="1"/>
    <col min="2557" max="2557" width="12" style="86" customWidth="1"/>
    <col min="2558" max="2558" width="12.81640625" style="86" customWidth="1"/>
    <col min="2559" max="2560" width="11.54296875" style="86" customWidth="1"/>
    <col min="2561" max="2561" width="12.26953125" style="86" customWidth="1"/>
    <col min="2562" max="2562" width="11.54296875" style="86" customWidth="1"/>
    <col min="2563" max="2563" width="10" style="86" bestFit="1" customWidth="1"/>
    <col min="2564" max="2564" width="11.54296875" style="86" customWidth="1"/>
    <col min="2565" max="2565" width="10" style="86" bestFit="1" customWidth="1"/>
    <col min="2566" max="2566" width="10.81640625" style="86" customWidth="1"/>
    <col min="2567" max="2796" width="8.453125" style="86"/>
    <col min="2797" max="2797" width="3.81640625" style="86" customWidth="1"/>
    <col min="2798" max="2798" width="24.453125" style="86" customWidth="1"/>
    <col min="2799" max="2799" width="4.81640625" style="86" customWidth="1"/>
    <col min="2800" max="2804" width="10.1796875" style="86" customWidth="1"/>
    <col min="2805" max="2805" width="10" style="86" bestFit="1" customWidth="1"/>
    <col min="2806" max="2806" width="12.7265625" style="86" customWidth="1"/>
    <col min="2807" max="2812" width="10" style="86" bestFit="1" customWidth="1"/>
    <col min="2813" max="2813" width="12" style="86" customWidth="1"/>
    <col min="2814" max="2814" width="12.81640625" style="86" customWidth="1"/>
    <col min="2815" max="2816" width="11.54296875" style="86" customWidth="1"/>
    <col min="2817" max="2817" width="12.26953125" style="86" customWidth="1"/>
    <col min="2818" max="2818" width="11.54296875" style="86" customWidth="1"/>
    <col min="2819" max="2819" width="10" style="86" bestFit="1" customWidth="1"/>
    <col min="2820" max="2820" width="11.54296875" style="86" customWidth="1"/>
    <col min="2821" max="2821" width="10" style="86" bestFit="1" customWidth="1"/>
    <col min="2822" max="2822" width="10.81640625" style="86" customWidth="1"/>
    <col min="2823" max="3052" width="8.453125" style="86"/>
    <col min="3053" max="3053" width="3.81640625" style="86" customWidth="1"/>
    <col min="3054" max="3054" width="24.453125" style="86" customWidth="1"/>
    <col min="3055" max="3055" width="4.81640625" style="86" customWidth="1"/>
    <col min="3056" max="3060" width="10.1796875" style="86" customWidth="1"/>
    <col min="3061" max="3061" width="10" style="86" bestFit="1" customWidth="1"/>
    <col min="3062" max="3062" width="12.7265625" style="86" customWidth="1"/>
    <col min="3063" max="3068" width="10" style="86" bestFit="1" customWidth="1"/>
    <col min="3069" max="3069" width="12" style="86" customWidth="1"/>
    <col min="3070" max="3070" width="12.81640625" style="86" customWidth="1"/>
    <col min="3071" max="3072" width="11.54296875" style="86" customWidth="1"/>
    <col min="3073" max="3073" width="12.26953125" style="86" customWidth="1"/>
    <col min="3074" max="3074" width="11.54296875" style="86" customWidth="1"/>
    <col min="3075" max="3075" width="10" style="86" bestFit="1" customWidth="1"/>
    <col min="3076" max="3076" width="11.54296875" style="86" customWidth="1"/>
    <col min="3077" max="3077" width="10" style="86" bestFit="1" customWidth="1"/>
    <col min="3078" max="3078" width="10.81640625" style="86" customWidth="1"/>
    <col min="3079" max="3308" width="8.453125" style="86"/>
    <col min="3309" max="3309" width="3.81640625" style="86" customWidth="1"/>
    <col min="3310" max="3310" width="24.453125" style="86" customWidth="1"/>
    <col min="3311" max="3311" width="4.81640625" style="86" customWidth="1"/>
    <col min="3312" max="3316" width="10.1796875" style="86" customWidth="1"/>
    <col min="3317" max="3317" width="10" style="86" bestFit="1" customWidth="1"/>
    <col min="3318" max="3318" width="12.7265625" style="86" customWidth="1"/>
    <col min="3319" max="3324" width="10" style="86" bestFit="1" customWidth="1"/>
    <col min="3325" max="3325" width="12" style="86" customWidth="1"/>
    <col min="3326" max="3326" width="12.81640625" style="86" customWidth="1"/>
    <col min="3327" max="3328" width="11.54296875" style="86" customWidth="1"/>
    <col min="3329" max="3329" width="12.26953125" style="86" customWidth="1"/>
    <col min="3330" max="3330" width="11.54296875" style="86" customWidth="1"/>
    <col min="3331" max="3331" width="10" style="86" bestFit="1" customWidth="1"/>
    <col min="3332" max="3332" width="11.54296875" style="86" customWidth="1"/>
    <col min="3333" max="3333" width="10" style="86" bestFit="1" customWidth="1"/>
    <col min="3334" max="3334" width="10.81640625" style="86" customWidth="1"/>
    <col min="3335" max="3564" width="8.453125" style="86"/>
    <col min="3565" max="3565" width="3.81640625" style="86" customWidth="1"/>
    <col min="3566" max="3566" width="24.453125" style="86" customWidth="1"/>
    <col min="3567" max="3567" width="4.81640625" style="86" customWidth="1"/>
    <col min="3568" max="3572" width="10.1796875" style="86" customWidth="1"/>
    <col min="3573" max="3573" width="10" style="86" bestFit="1" customWidth="1"/>
    <col min="3574" max="3574" width="12.7265625" style="86" customWidth="1"/>
    <col min="3575" max="3580" width="10" style="86" bestFit="1" customWidth="1"/>
    <col min="3581" max="3581" width="12" style="86" customWidth="1"/>
    <col min="3582" max="3582" width="12.81640625" style="86" customWidth="1"/>
    <col min="3583" max="3584" width="11.54296875" style="86" customWidth="1"/>
    <col min="3585" max="3585" width="12.26953125" style="86" customWidth="1"/>
    <col min="3586" max="3586" width="11.54296875" style="86" customWidth="1"/>
    <col min="3587" max="3587" width="10" style="86" bestFit="1" customWidth="1"/>
    <col min="3588" max="3588" width="11.54296875" style="86" customWidth="1"/>
    <col min="3589" max="3589" width="10" style="86" bestFit="1" customWidth="1"/>
    <col min="3590" max="3590" width="10.81640625" style="86" customWidth="1"/>
    <col min="3591" max="3820" width="8.453125" style="86"/>
    <col min="3821" max="3821" width="3.81640625" style="86" customWidth="1"/>
    <col min="3822" max="3822" width="24.453125" style="86" customWidth="1"/>
    <col min="3823" max="3823" width="4.81640625" style="86" customWidth="1"/>
    <col min="3824" max="3828" width="10.1796875" style="86" customWidth="1"/>
    <col min="3829" max="3829" width="10" style="86" bestFit="1" customWidth="1"/>
    <col min="3830" max="3830" width="12.7265625" style="86" customWidth="1"/>
    <col min="3831" max="3836" width="10" style="86" bestFit="1" customWidth="1"/>
    <col min="3837" max="3837" width="12" style="86" customWidth="1"/>
    <col min="3838" max="3838" width="12.81640625" style="86" customWidth="1"/>
    <col min="3839" max="3840" width="11.54296875" style="86" customWidth="1"/>
    <col min="3841" max="3841" width="12.26953125" style="86" customWidth="1"/>
    <col min="3842" max="3842" width="11.54296875" style="86" customWidth="1"/>
    <col min="3843" max="3843" width="10" style="86" bestFit="1" customWidth="1"/>
    <col min="3844" max="3844" width="11.54296875" style="86" customWidth="1"/>
    <col min="3845" max="3845" width="10" style="86" bestFit="1" customWidth="1"/>
    <col min="3846" max="3846" width="10.81640625" style="86" customWidth="1"/>
    <col min="3847" max="4076" width="8.453125" style="86"/>
    <col min="4077" max="4077" width="3.81640625" style="86" customWidth="1"/>
    <col min="4078" max="4078" width="24.453125" style="86" customWidth="1"/>
    <col min="4079" max="4079" width="4.81640625" style="86" customWidth="1"/>
    <col min="4080" max="4084" width="10.1796875" style="86" customWidth="1"/>
    <col min="4085" max="4085" width="10" style="86" bestFit="1" customWidth="1"/>
    <col min="4086" max="4086" width="12.7265625" style="86" customWidth="1"/>
    <col min="4087" max="4092" width="10" style="86" bestFit="1" customWidth="1"/>
    <col min="4093" max="4093" width="12" style="86" customWidth="1"/>
    <col min="4094" max="4094" width="12.81640625" style="86" customWidth="1"/>
    <col min="4095" max="4096" width="11.54296875" style="86" customWidth="1"/>
    <col min="4097" max="4097" width="12.26953125" style="86" customWidth="1"/>
    <col min="4098" max="4098" width="11.54296875" style="86" customWidth="1"/>
    <col min="4099" max="4099" width="10" style="86" bestFit="1" customWidth="1"/>
    <col min="4100" max="4100" width="11.54296875" style="86" customWidth="1"/>
    <col min="4101" max="4101" width="10" style="86" bestFit="1" customWidth="1"/>
    <col min="4102" max="4102" width="10.81640625" style="86" customWidth="1"/>
    <col min="4103" max="4332" width="8.453125" style="86"/>
    <col min="4333" max="4333" width="3.81640625" style="86" customWidth="1"/>
    <col min="4334" max="4334" width="24.453125" style="86" customWidth="1"/>
    <col min="4335" max="4335" width="4.81640625" style="86" customWidth="1"/>
    <col min="4336" max="4340" width="10.1796875" style="86" customWidth="1"/>
    <col min="4341" max="4341" width="10" style="86" bestFit="1" customWidth="1"/>
    <col min="4342" max="4342" width="12.7265625" style="86" customWidth="1"/>
    <col min="4343" max="4348" width="10" style="86" bestFit="1" customWidth="1"/>
    <col min="4349" max="4349" width="12" style="86" customWidth="1"/>
    <col min="4350" max="4350" width="12.81640625" style="86" customWidth="1"/>
    <col min="4351" max="4352" width="11.54296875" style="86" customWidth="1"/>
    <col min="4353" max="4353" width="12.26953125" style="86" customWidth="1"/>
    <col min="4354" max="4354" width="11.54296875" style="86" customWidth="1"/>
    <col min="4355" max="4355" width="10" style="86" bestFit="1" customWidth="1"/>
    <col min="4356" max="4356" width="11.54296875" style="86" customWidth="1"/>
    <col min="4357" max="4357" width="10" style="86" bestFit="1" customWidth="1"/>
    <col min="4358" max="4358" width="10.81640625" style="86" customWidth="1"/>
    <col min="4359" max="4588" width="8.453125" style="86"/>
    <col min="4589" max="4589" width="3.81640625" style="86" customWidth="1"/>
    <col min="4590" max="4590" width="24.453125" style="86" customWidth="1"/>
    <col min="4591" max="4591" width="4.81640625" style="86" customWidth="1"/>
    <col min="4592" max="4596" width="10.1796875" style="86" customWidth="1"/>
    <col min="4597" max="4597" width="10" style="86" bestFit="1" customWidth="1"/>
    <col min="4598" max="4598" width="12.7265625" style="86" customWidth="1"/>
    <col min="4599" max="4604" width="10" style="86" bestFit="1" customWidth="1"/>
    <col min="4605" max="4605" width="12" style="86" customWidth="1"/>
    <col min="4606" max="4606" width="12.81640625" style="86" customWidth="1"/>
    <col min="4607" max="4608" width="11.54296875" style="86" customWidth="1"/>
    <col min="4609" max="4609" width="12.26953125" style="86" customWidth="1"/>
    <col min="4610" max="4610" width="11.54296875" style="86" customWidth="1"/>
    <col min="4611" max="4611" width="10" style="86" bestFit="1" customWidth="1"/>
    <col min="4612" max="4612" width="11.54296875" style="86" customWidth="1"/>
    <col min="4613" max="4613" width="10" style="86" bestFit="1" customWidth="1"/>
    <col min="4614" max="4614" width="10.81640625" style="86" customWidth="1"/>
    <col min="4615" max="4844" width="8.453125" style="86"/>
    <col min="4845" max="4845" width="3.81640625" style="86" customWidth="1"/>
    <col min="4846" max="4846" width="24.453125" style="86" customWidth="1"/>
    <col min="4847" max="4847" width="4.81640625" style="86" customWidth="1"/>
    <col min="4848" max="4852" width="10.1796875" style="86" customWidth="1"/>
    <col min="4853" max="4853" width="10" style="86" bestFit="1" customWidth="1"/>
    <col min="4854" max="4854" width="12.7265625" style="86" customWidth="1"/>
    <col min="4855" max="4860" width="10" style="86" bestFit="1" customWidth="1"/>
    <col min="4861" max="4861" width="12" style="86" customWidth="1"/>
    <col min="4862" max="4862" width="12.81640625" style="86" customWidth="1"/>
    <col min="4863" max="4864" width="11.54296875" style="86" customWidth="1"/>
    <col min="4865" max="4865" width="12.26953125" style="86" customWidth="1"/>
    <col min="4866" max="4866" width="11.54296875" style="86" customWidth="1"/>
    <col min="4867" max="4867" width="10" style="86" bestFit="1" customWidth="1"/>
    <col min="4868" max="4868" width="11.54296875" style="86" customWidth="1"/>
    <col min="4869" max="4869" width="10" style="86" bestFit="1" customWidth="1"/>
    <col min="4870" max="4870" width="10.81640625" style="86" customWidth="1"/>
    <col min="4871" max="5100" width="8.453125" style="86"/>
    <col min="5101" max="5101" width="3.81640625" style="86" customWidth="1"/>
    <col min="5102" max="5102" width="24.453125" style="86" customWidth="1"/>
    <col min="5103" max="5103" width="4.81640625" style="86" customWidth="1"/>
    <col min="5104" max="5108" width="10.1796875" style="86" customWidth="1"/>
    <col min="5109" max="5109" width="10" style="86" bestFit="1" customWidth="1"/>
    <col min="5110" max="5110" width="12.7265625" style="86" customWidth="1"/>
    <col min="5111" max="5116" width="10" style="86" bestFit="1" customWidth="1"/>
    <col min="5117" max="5117" width="12" style="86" customWidth="1"/>
    <col min="5118" max="5118" width="12.81640625" style="86" customWidth="1"/>
    <col min="5119" max="5120" width="11.54296875" style="86" customWidth="1"/>
    <col min="5121" max="5121" width="12.26953125" style="86" customWidth="1"/>
    <col min="5122" max="5122" width="11.54296875" style="86" customWidth="1"/>
    <col min="5123" max="5123" width="10" style="86" bestFit="1" customWidth="1"/>
    <col min="5124" max="5124" width="11.54296875" style="86" customWidth="1"/>
    <col min="5125" max="5125" width="10" style="86" bestFit="1" customWidth="1"/>
    <col min="5126" max="5126" width="10.81640625" style="86" customWidth="1"/>
    <col min="5127" max="5356" width="8.453125" style="86"/>
    <col min="5357" max="5357" width="3.81640625" style="86" customWidth="1"/>
    <col min="5358" max="5358" width="24.453125" style="86" customWidth="1"/>
    <col min="5359" max="5359" width="4.81640625" style="86" customWidth="1"/>
    <col min="5360" max="5364" width="10.1796875" style="86" customWidth="1"/>
    <col min="5365" max="5365" width="10" style="86" bestFit="1" customWidth="1"/>
    <col min="5366" max="5366" width="12.7265625" style="86" customWidth="1"/>
    <col min="5367" max="5372" width="10" style="86" bestFit="1" customWidth="1"/>
    <col min="5373" max="5373" width="12" style="86" customWidth="1"/>
    <col min="5374" max="5374" width="12.81640625" style="86" customWidth="1"/>
    <col min="5375" max="5376" width="11.54296875" style="86" customWidth="1"/>
    <col min="5377" max="5377" width="12.26953125" style="86" customWidth="1"/>
    <col min="5378" max="5378" width="11.54296875" style="86" customWidth="1"/>
    <col min="5379" max="5379" width="10" style="86" bestFit="1" customWidth="1"/>
    <col min="5380" max="5380" width="11.54296875" style="86" customWidth="1"/>
    <col min="5381" max="5381" width="10" style="86" bestFit="1" customWidth="1"/>
    <col min="5382" max="5382" width="10.81640625" style="86" customWidth="1"/>
    <col min="5383" max="5612" width="8.453125" style="86"/>
    <col min="5613" max="5613" width="3.81640625" style="86" customWidth="1"/>
    <col min="5614" max="5614" width="24.453125" style="86" customWidth="1"/>
    <col min="5615" max="5615" width="4.81640625" style="86" customWidth="1"/>
    <col min="5616" max="5620" width="10.1796875" style="86" customWidth="1"/>
    <col min="5621" max="5621" width="10" style="86" bestFit="1" customWidth="1"/>
    <col min="5622" max="5622" width="12.7265625" style="86" customWidth="1"/>
    <col min="5623" max="5628" width="10" style="86" bestFit="1" customWidth="1"/>
    <col min="5629" max="5629" width="12" style="86" customWidth="1"/>
    <col min="5630" max="5630" width="12.81640625" style="86" customWidth="1"/>
    <col min="5631" max="5632" width="11.54296875" style="86" customWidth="1"/>
    <col min="5633" max="5633" width="12.26953125" style="86" customWidth="1"/>
    <col min="5634" max="5634" width="11.54296875" style="86" customWidth="1"/>
    <col min="5635" max="5635" width="10" style="86" bestFit="1" customWidth="1"/>
    <col min="5636" max="5636" width="11.54296875" style="86" customWidth="1"/>
    <col min="5637" max="5637" width="10" style="86" bestFit="1" customWidth="1"/>
    <col min="5638" max="5638" width="10.81640625" style="86" customWidth="1"/>
    <col min="5639" max="5868" width="8.453125" style="86"/>
    <col min="5869" max="5869" width="3.81640625" style="86" customWidth="1"/>
    <col min="5870" max="5870" width="24.453125" style="86" customWidth="1"/>
    <col min="5871" max="5871" width="4.81640625" style="86" customWidth="1"/>
    <col min="5872" max="5876" width="10.1796875" style="86" customWidth="1"/>
    <col min="5877" max="5877" width="10" style="86" bestFit="1" customWidth="1"/>
    <col min="5878" max="5878" width="12.7265625" style="86" customWidth="1"/>
    <col min="5879" max="5884" width="10" style="86" bestFit="1" customWidth="1"/>
    <col min="5885" max="5885" width="12" style="86" customWidth="1"/>
    <col min="5886" max="5886" width="12.81640625" style="86" customWidth="1"/>
    <col min="5887" max="5888" width="11.54296875" style="86" customWidth="1"/>
    <col min="5889" max="5889" width="12.26953125" style="86" customWidth="1"/>
    <col min="5890" max="5890" width="11.54296875" style="86" customWidth="1"/>
    <col min="5891" max="5891" width="10" style="86" bestFit="1" customWidth="1"/>
    <col min="5892" max="5892" width="11.54296875" style="86" customWidth="1"/>
    <col min="5893" max="5893" width="10" style="86" bestFit="1" customWidth="1"/>
    <col min="5894" max="5894" width="10.81640625" style="86" customWidth="1"/>
    <col min="5895" max="6124" width="8.453125" style="86"/>
    <col min="6125" max="6125" width="3.81640625" style="86" customWidth="1"/>
    <col min="6126" max="6126" width="24.453125" style="86" customWidth="1"/>
    <col min="6127" max="6127" width="4.81640625" style="86" customWidth="1"/>
    <col min="6128" max="6132" width="10.1796875" style="86" customWidth="1"/>
    <col min="6133" max="6133" width="10" style="86" bestFit="1" customWidth="1"/>
    <col min="6134" max="6134" width="12.7265625" style="86" customWidth="1"/>
    <col min="6135" max="6140" width="10" style="86" bestFit="1" customWidth="1"/>
    <col min="6141" max="6141" width="12" style="86" customWidth="1"/>
    <col min="6142" max="6142" width="12.81640625" style="86" customWidth="1"/>
    <col min="6143" max="6144" width="11.54296875" style="86" customWidth="1"/>
    <col min="6145" max="6145" width="12.26953125" style="86" customWidth="1"/>
    <col min="6146" max="6146" width="11.54296875" style="86" customWidth="1"/>
    <col min="6147" max="6147" width="10" style="86" bestFit="1" customWidth="1"/>
    <col min="6148" max="6148" width="11.54296875" style="86" customWidth="1"/>
    <col min="6149" max="6149" width="10" style="86" bestFit="1" customWidth="1"/>
    <col min="6150" max="6150" width="10.81640625" style="86" customWidth="1"/>
    <col min="6151" max="6380" width="8.453125" style="86"/>
    <col min="6381" max="6381" width="3.81640625" style="86" customWidth="1"/>
    <col min="6382" max="6382" width="24.453125" style="86" customWidth="1"/>
    <col min="6383" max="6383" width="4.81640625" style="86" customWidth="1"/>
    <col min="6384" max="6388" width="10.1796875" style="86" customWidth="1"/>
    <col min="6389" max="6389" width="10" style="86" bestFit="1" customWidth="1"/>
    <col min="6390" max="6390" width="12.7265625" style="86" customWidth="1"/>
    <col min="6391" max="6396" width="10" style="86" bestFit="1" customWidth="1"/>
    <col min="6397" max="6397" width="12" style="86" customWidth="1"/>
    <col min="6398" max="6398" width="12.81640625" style="86" customWidth="1"/>
    <col min="6399" max="6400" width="11.54296875" style="86" customWidth="1"/>
    <col min="6401" max="6401" width="12.26953125" style="86" customWidth="1"/>
    <col min="6402" max="6402" width="11.54296875" style="86" customWidth="1"/>
    <col min="6403" max="6403" width="10" style="86" bestFit="1" customWidth="1"/>
    <col min="6404" max="6404" width="11.54296875" style="86" customWidth="1"/>
    <col min="6405" max="6405" width="10" style="86" bestFit="1" customWidth="1"/>
    <col min="6406" max="6406" width="10.81640625" style="86" customWidth="1"/>
    <col min="6407" max="6636" width="8.453125" style="86"/>
    <col min="6637" max="6637" width="3.81640625" style="86" customWidth="1"/>
    <col min="6638" max="6638" width="24.453125" style="86" customWidth="1"/>
    <col min="6639" max="6639" width="4.81640625" style="86" customWidth="1"/>
    <col min="6640" max="6644" width="10.1796875" style="86" customWidth="1"/>
    <col min="6645" max="6645" width="10" style="86" bestFit="1" customWidth="1"/>
    <col min="6646" max="6646" width="12.7265625" style="86" customWidth="1"/>
    <col min="6647" max="6652" width="10" style="86" bestFit="1" customWidth="1"/>
    <col min="6653" max="6653" width="12" style="86" customWidth="1"/>
    <col min="6654" max="6654" width="12.81640625" style="86" customWidth="1"/>
    <col min="6655" max="6656" width="11.54296875" style="86" customWidth="1"/>
    <col min="6657" max="6657" width="12.26953125" style="86" customWidth="1"/>
    <col min="6658" max="6658" width="11.54296875" style="86" customWidth="1"/>
    <col min="6659" max="6659" width="10" style="86" bestFit="1" customWidth="1"/>
    <col min="6660" max="6660" width="11.54296875" style="86" customWidth="1"/>
    <col min="6661" max="6661" width="10" style="86" bestFit="1" customWidth="1"/>
    <col min="6662" max="6662" width="10.81640625" style="86" customWidth="1"/>
    <col min="6663" max="6892" width="8.453125" style="86"/>
    <col min="6893" max="6893" width="3.81640625" style="86" customWidth="1"/>
    <col min="6894" max="6894" width="24.453125" style="86" customWidth="1"/>
    <col min="6895" max="6895" width="4.81640625" style="86" customWidth="1"/>
    <col min="6896" max="6900" width="10.1796875" style="86" customWidth="1"/>
    <col min="6901" max="6901" width="10" style="86" bestFit="1" customWidth="1"/>
    <col min="6902" max="6902" width="12.7265625" style="86" customWidth="1"/>
    <col min="6903" max="6908" width="10" style="86" bestFit="1" customWidth="1"/>
    <col min="6909" max="6909" width="12" style="86" customWidth="1"/>
    <col min="6910" max="6910" width="12.81640625" style="86" customWidth="1"/>
    <col min="6911" max="6912" width="11.54296875" style="86" customWidth="1"/>
    <col min="6913" max="6913" width="12.26953125" style="86" customWidth="1"/>
    <col min="6914" max="6914" width="11.54296875" style="86" customWidth="1"/>
    <col min="6915" max="6915" width="10" style="86" bestFit="1" customWidth="1"/>
    <col min="6916" max="6916" width="11.54296875" style="86" customWidth="1"/>
    <col min="6917" max="6917" width="10" style="86" bestFit="1" customWidth="1"/>
    <col min="6918" max="6918" width="10.81640625" style="86" customWidth="1"/>
    <col min="6919" max="7148" width="8.453125" style="86"/>
    <col min="7149" max="7149" width="3.81640625" style="86" customWidth="1"/>
    <col min="7150" max="7150" width="24.453125" style="86" customWidth="1"/>
    <col min="7151" max="7151" width="4.81640625" style="86" customWidth="1"/>
    <col min="7152" max="7156" width="10.1796875" style="86" customWidth="1"/>
    <col min="7157" max="7157" width="10" style="86" bestFit="1" customWidth="1"/>
    <col min="7158" max="7158" width="12.7265625" style="86" customWidth="1"/>
    <col min="7159" max="7164" width="10" style="86" bestFit="1" customWidth="1"/>
    <col min="7165" max="7165" width="12" style="86" customWidth="1"/>
    <col min="7166" max="7166" width="12.81640625" style="86" customWidth="1"/>
    <col min="7167" max="7168" width="11.54296875" style="86" customWidth="1"/>
    <col min="7169" max="7169" width="12.26953125" style="86" customWidth="1"/>
    <col min="7170" max="7170" width="11.54296875" style="86" customWidth="1"/>
    <col min="7171" max="7171" width="10" style="86" bestFit="1" customWidth="1"/>
    <col min="7172" max="7172" width="11.54296875" style="86" customWidth="1"/>
    <col min="7173" max="7173" width="10" style="86" bestFit="1" customWidth="1"/>
    <col min="7174" max="7174" width="10.81640625" style="86" customWidth="1"/>
    <col min="7175" max="7404" width="8.453125" style="86"/>
    <col min="7405" max="7405" width="3.81640625" style="86" customWidth="1"/>
    <col min="7406" max="7406" width="24.453125" style="86" customWidth="1"/>
    <col min="7407" max="7407" width="4.81640625" style="86" customWidth="1"/>
    <col min="7408" max="7412" width="10.1796875" style="86" customWidth="1"/>
    <col min="7413" max="7413" width="10" style="86" bestFit="1" customWidth="1"/>
    <col min="7414" max="7414" width="12.7265625" style="86" customWidth="1"/>
    <col min="7415" max="7420" width="10" style="86" bestFit="1" customWidth="1"/>
    <col min="7421" max="7421" width="12" style="86" customWidth="1"/>
    <col min="7422" max="7422" width="12.81640625" style="86" customWidth="1"/>
    <col min="7423" max="7424" width="11.54296875" style="86" customWidth="1"/>
    <col min="7425" max="7425" width="12.26953125" style="86" customWidth="1"/>
    <col min="7426" max="7426" width="11.54296875" style="86" customWidth="1"/>
    <col min="7427" max="7427" width="10" style="86" bestFit="1" customWidth="1"/>
    <col min="7428" max="7428" width="11.54296875" style="86" customWidth="1"/>
    <col min="7429" max="7429" width="10" style="86" bestFit="1" customWidth="1"/>
    <col min="7430" max="7430" width="10.81640625" style="86" customWidth="1"/>
    <col min="7431" max="7660" width="8.453125" style="86"/>
    <col min="7661" max="7661" width="3.81640625" style="86" customWidth="1"/>
    <col min="7662" max="7662" width="24.453125" style="86" customWidth="1"/>
    <col min="7663" max="7663" width="4.81640625" style="86" customWidth="1"/>
    <col min="7664" max="7668" width="10.1796875" style="86" customWidth="1"/>
    <col min="7669" max="7669" width="10" style="86" bestFit="1" customWidth="1"/>
    <col min="7670" max="7670" width="12.7265625" style="86" customWidth="1"/>
    <col min="7671" max="7676" width="10" style="86" bestFit="1" customWidth="1"/>
    <col min="7677" max="7677" width="12" style="86" customWidth="1"/>
    <col min="7678" max="7678" width="12.81640625" style="86" customWidth="1"/>
    <col min="7679" max="7680" width="11.54296875" style="86" customWidth="1"/>
    <col min="7681" max="7681" width="12.26953125" style="86" customWidth="1"/>
    <col min="7682" max="7682" width="11.54296875" style="86" customWidth="1"/>
    <col min="7683" max="7683" width="10" style="86" bestFit="1" customWidth="1"/>
    <col min="7684" max="7684" width="11.54296875" style="86" customWidth="1"/>
    <col min="7685" max="7685" width="10" style="86" bestFit="1" customWidth="1"/>
    <col min="7686" max="7686" width="10.81640625" style="86" customWidth="1"/>
    <col min="7687" max="7916" width="8.453125" style="86"/>
    <col min="7917" max="7917" width="3.81640625" style="86" customWidth="1"/>
    <col min="7918" max="7918" width="24.453125" style="86" customWidth="1"/>
    <col min="7919" max="7919" width="4.81640625" style="86" customWidth="1"/>
    <col min="7920" max="7924" width="10.1796875" style="86" customWidth="1"/>
    <col min="7925" max="7925" width="10" style="86" bestFit="1" customWidth="1"/>
    <col min="7926" max="7926" width="12.7265625" style="86" customWidth="1"/>
    <col min="7927" max="7932" width="10" style="86" bestFit="1" customWidth="1"/>
    <col min="7933" max="7933" width="12" style="86" customWidth="1"/>
    <col min="7934" max="7934" width="12.81640625" style="86" customWidth="1"/>
    <col min="7935" max="7936" width="11.54296875" style="86" customWidth="1"/>
    <col min="7937" max="7937" width="12.26953125" style="86" customWidth="1"/>
    <col min="7938" max="7938" width="11.54296875" style="86" customWidth="1"/>
    <col min="7939" max="7939" width="10" style="86" bestFit="1" customWidth="1"/>
    <col min="7940" max="7940" width="11.54296875" style="86" customWidth="1"/>
    <col min="7941" max="7941" width="10" style="86" bestFit="1" customWidth="1"/>
    <col min="7942" max="7942" width="10.81640625" style="86" customWidth="1"/>
    <col min="7943" max="8172" width="8.453125" style="86"/>
    <col min="8173" max="8173" width="3.81640625" style="86" customWidth="1"/>
    <col min="8174" max="8174" width="24.453125" style="86" customWidth="1"/>
    <col min="8175" max="8175" width="4.81640625" style="86" customWidth="1"/>
    <col min="8176" max="8180" width="10.1796875" style="86" customWidth="1"/>
    <col min="8181" max="8181" width="10" style="86" bestFit="1" customWidth="1"/>
    <col min="8182" max="8182" width="12.7265625" style="86" customWidth="1"/>
    <col min="8183" max="8188" width="10" style="86" bestFit="1" customWidth="1"/>
    <col min="8189" max="8189" width="12" style="86" customWidth="1"/>
    <col min="8190" max="8190" width="12.81640625" style="86" customWidth="1"/>
    <col min="8191" max="8192" width="11.54296875" style="86" customWidth="1"/>
    <col min="8193" max="8193" width="12.26953125" style="86" customWidth="1"/>
    <col min="8194" max="8194" width="11.54296875" style="86" customWidth="1"/>
    <col min="8195" max="8195" width="10" style="86" bestFit="1" customWidth="1"/>
    <col min="8196" max="8196" width="11.54296875" style="86" customWidth="1"/>
    <col min="8197" max="8197" width="10" style="86" bestFit="1" customWidth="1"/>
    <col min="8198" max="8198" width="10.81640625" style="86" customWidth="1"/>
    <col min="8199" max="8428" width="8.453125" style="86"/>
    <col min="8429" max="8429" width="3.81640625" style="86" customWidth="1"/>
    <col min="8430" max="8430" width="24.453125" style="86" customWidth="1"/>
    <col min="8431" max="8431" width="4.81640625" style="86" customWidth="1"/>
    <col min="8432" max="8436" width="10.1796875" style="86" customWidth="1"/>
    <col min="8437" max="8437" width="10" style="86" bestFit="1" customWidth="1"/>
    <col min="8438" max="8438" width="12.7265625" style="86" customWidth="1"/>
    <col min="8439" max="8444" width="10" style="86" bestFit="1" customWidth="1"/>
    <col min="8445" max="8445" width="12" style="86" customWidth="1"/>
    <col min="8446" max="8446" width="12.81640625" style="86" customWidth="1"/>
    <col min="8447" max="8448" width="11.54296875" style="86" customWidth="1"/>
    <col min="8449" max="8449" width="12.26953125" style="86" customWidth="1"/>
    <col min="8450" max="8450" width="11.54296875" style="86" customWidth="1"/>
    <col min="8451" max="8451" width="10" style="86" bestFit="1" customWidth="1"/>
    <col min="8452" max="8452" width="11.54296875" style="86" customWidth="1"/>
    <col min="8453" max="8453" width="10" style="86" bestFit="1" customWidth="1"/>
    <col min="8454" max="8454" width="10.81640625" style="86" customWidth="1"/>
    <col min="8455" max="8684" width="8.453125" style="86"/>
    <col min="8685" max="8685" width="3.81640625" style="86" customWidth="1"/>
    <col min="8686" max="8686" width="24.453125" style="86" customWidth="1"/>
    <col min="8687" max="8687" width="4.81640625" style="86" customWidth="1"/>
    <col min="8688" max="8692" width="10.1796875" style="86" customWidth="1"/>
    <col min="8693" max="8693" width="10" style="86" bestFit="1" customWidth="1"/>
    <col min="8694" max="8694" width="12.7265625" style="86" customWidth="1"/>
    <col min="8695" max="8700" width="10" style="86" bestFit="1" customWidth="1"/>
    <col min="8701" max="8701" width="12" style="86" customWidth="1"/>
    <col min="8702" max="8702" width="12.81640625" style="86" customWidth="1"/>
    <col min="8703" max="8704" width="11.54296875" style="86" customWidth="1"/>
    <col min="8705" max="8705" width="12.26953125" style="86" customWidth="1"/>
    <col min="8706" max="8706" width="11.54296875" style="86" customWidth="1"/>
    <col min="8707" max="8707" width="10" style="86" bestFit="1" customWidth="1"/>
    <col min="8708" max="8708" width="11.54296875" style="86" customWidth="1"/>
    <col min="8709" max="8709" width="10" style="86" bestFit="1" customWidth="1"/>
    <col min="8710" max="8710" width="10.81640625" style="86" customWidth="1"/>
    <col min="8711" max="8940" width="8.453125" style="86"/>
    <col min="8941" max="8941" width="3.81640625" style="86" customWidth="1"/>
    <col min="8942" max="8942" width="24.453125" style="86" customWidth="1"/>
    <col min="8943" max="8943" width="4.81640625" style="86" customWidth="1"/>
    <col min="8944" max="8948" width="10.1796875" style="86" customWidth="1"/>
    <col min="8949" max="8949" width="10" style="86" bestFit="1" customWidth="1"/>
    <col min="8950" max="8950" width="12.7265625" style="86" customWidth="1"/>
    <col min="8951" max="8956" width="10" style="86" bestFit="1" customWidth="1"/>
    <col min="8957" max="8957" width="12" style="86" customWidth="1"/>
    <col min="8958" max="8958" width="12.81640625" style="86" customWidth="1"/>
    <col min="8959" max="8960" width="11.54296875" style="86" customWidth="1"/>
    <col min="8961" max="8961" width="12.26953125" style="86" customWidth="1"/>
    <col min="8962" max="8962" width="11.54296875" style="86" customWidth="1"/>
    <col min="8963" max="8963" width="10" style="86" bestFit="1" customWidth="1"/>
    <col min="8964" max="8964" width="11.54296875" style="86" customWidth="1"/>
    <col min="8965" max="8965" width="10" style="86" bestFit="1" customWidth="1"/>
    <col min="8966" max="8966" width="10.81640625" style="86" customWidth="1"/>
    <col min="8967" max="9196" width="8.453125" style="86"/>
    <col min="9197" max="9197" width="3.81640625" style="86" customWidth="1"/>
    <col min="9198" max="9198" width="24.453125" style="86" customWidth="1"/>
    <col min="9199" max="9199" width="4.81640625" style="86" customWidth="1"/>
    <col min="9200" max="9204" width="10.1796875" style="86" customWidth="1"/>
    <col min="9205" max="9205" width="10" style="86" bestFit="1" customWidth="1"/>
    <col min="9206" max="9206" width="12.7265625" style="86" customWidth="1"/>
    <col min="9207" max="9212" width="10" style="86" bestFit="1" customWidth="1"/>
    <col min="9213" max="9213" width="12" style="86" customWidth="1"/>
    <col min="9214" max="9214" width="12.81640625" style="86" customWidth="1"/>
    <col min="9215" max="9216" width="11.54296875" style="86" customWidth="1"/>
    <col min="9217" max="9217" width="12.26953125" style="86" customWidth="1"/>
    <col min="9218" max="9218" width="11.54296875" style="86" customWidth="1"/>
    <col min="9219" max="9219" width="10" style="86" bestFit="1" customWidth="1"/>
    <col min="9220" max="9220" width="11.54296875" style="86" customWidth="1"/>
    <col min="9221" max="9221" width="10" style="86" bestFit="1" customWidth="1"/>
    <col min="9222" max="9222" width="10.81640625" style="86" customWidth="1"/>
    <col min="9223" max="9452" width="8.453125" style="86"/>
    <col min="9453" max="9453" width="3.81640625" style="86" customWidth="1"/>
    <col min="9454" max="9454" width="24.453125" style="86" customWidth="1"/>
    <col min="9455" max="9455" width="4.81640625" style="86" customWidth="1"/>
    <col min="9456" max="9460" width="10.1796875" style="86" customWidth="1"/>
    <col min="9461" max="9461" width="10" style="86" bestFit="1" customWidth="1"/>
    <col min="9462" max="9462" width="12.7265625" style="86" customWidth="1"/>
    <col min="9463" max="9468" width="10" style="86" bestFit="1" customWidth="1"/>
    <col min="9469" max="9469" width="12" style="86" customWidth="1"/>
    <col min="9470" max="9470" width="12.81640625" style="86" customWidth="1"/>
    <col min="9471" max="9472" width="11.54296875" style="86" customWidth="1"/>
    <col min="9473" max="9473" width="12.26953125" style="86" customWidth="1"/>
    <col min="9474" max="9474" width="11.54296875" style="86" customWidth="1"/>
    <col min="9475" max="9475" width="10" style="86" bestFit="1" customWidth="1"/>
    <col min="9476" max="9476" width="11.54296875" style="86" customWidth="1"/>
    <col min="9477" max="9477" width="10" style="86" bestFit="1" customWidth="1"/>
    <col min="9478" max="9478" width="10.81640625" style="86" customWidth="1"/>
    <col min="9479" max="9708" width="8.453125" style="86"/>
    <col min="9709" max="9709" width="3.81640625" style="86" customWidth="1"/>
    <col min="9710" max="9710" width="24.453125" style="86" customWidth="1"/>
    <col min="9711" max="9711" width="4.81640625" style="86" customWidth="1"/>
    <col min="9712" max="9716" width="10.1796875" style="86" customWidth="1"/>
    <col min="9717" max="9717" width="10" style="86" bestFit="1" customWidth="1"/>
    <col min="9718" max="9718" width="12.7265625" style="86" customWidth="1"/>
    <col min="9719" max="9724" width="10" style="86" bestFit="1" customWidth="1"/>
    <col min="9725" max="9725" width="12" style="86" customWidth="1"/>
    <col min="9726" max="9726" width="12.81640625" style="86" customWidth="1"/>
    <col min="9727" max="9728" width="11.54296875" style="86" customWidth="1"/>
    <col min="9729" max="9729" width="12.26953125" style="86" customWidth="1"/>
    <col min="9730" max="9730" width="11.54296875" style="86" customWidth="1"/>
    <col min="9731" max="9731" width="10" style="86" bestFit="1" customWidth="1"/>
    <col min="9732" max="9732" width="11.54296875" style="86" customWidth="1"/>
    <col min="9733" max="9733" width="10" style="86" bestFit="1" customWidth="1"/>
    <col min="9734" max="9734" width="10.81640625" style="86" customWidth="1"/>
    <col min="9735" max="9964" width="8.453125" style="86"/>
    <col min="9965" max="9965" width="3.81640625" style="86" customWidth="1"/>
    <col min="9966" max="9966" width="24.453125" style="86" customWidth="1"/>
    <col min="9967" max="9967" width="4.81640625" style="86" customWidth="1"/>
    <col min="9968" max="9972" width="10.1796875" style="86" customWidth="1"/>
    <col min="9973" max="9973" width="10" style="86" bestFit="1" customWidth="1"/>
    <col min="9974" max="9974" width="12.7265625" style="86" customWidth="1"/>
    <col min="9975" max="9980" width="10" style="86" bestFit="1" customWidth="1"/>
    <col min="9981" max="9981" width="12" style="86" customWidth="1"/>
    <col min="9982" max="9982" width="12.81640625" style="86" customWidth="1"/>
    <col min="9983" max="9984" width="11.54296875" style="86" customWidth="1"/>
    <col min="9985" max="9985" width="12.26953125" style="86" customWidth="1"/>
    <col min="9986" max="9986" width="11.54296875" style="86" customWidth="1"/>
    <col min="9987" max="9987" width="10" style="86" bestFit="1" customWidth="1"/>
    <col min="9988" max="9988" width="11.54296875" style="86" customWidth="1"/>
    <col min="9989" max="9989" width="10" style="86" bestFit="1" customWidth="1"/>
    <col min="9990" max="9990" width="10.81640625" style="86" customWidth="1"/>
    <col min="9991" max="10220" width="8.453125" style="86"/>
    <col min="10221" max="10221" width="3.81640625" style="86" customWidth="1"/>
    <col min="10222" max="10222" width="24.453125" style="86" customWidth="1"/>
    <col min="10223" max="10223" width="4.81640625" style="86" customWidth="1"/>
    <col min="10224" max="10228" width="10.1796875" style="86" customWidth="1"/>
    <col min="10229" max="10229" width="10" style="86" bestFit="1" customWidth="1"/>
    <col min="10230" max="10230" width="12.7265625" style="86" customWidth="1"/>
    <col min="10231" max="10236" width="10" style="86" bestFit="1" customWidth="1"/>
    <col min="10237" max="10237" width="12" style="86" customWidth="1"/>
    <col min="10238" max="10238" width="12.81640625" style="86" customWidth="1"/>
    <col min="10239" max="10240" width="11.54296875" style="86" customWidth="1"/>
    <col min="10241" max="10241" width="12.26953125" style="86" customWidth="1"/>
    <col min="10242" max="10242" width="11.54296875" style="86" customWidth="1"/>
    <col min="10243" max="10243" width="10" style="86" bestFit="1" customWidth="1"/>
    <col min="10244" max="10244" width="11.54296875" style="86" customWidth="1"/>
    <col min="10245" max="10245" width="10" style="86" bestFit="1" customWidth="1"/>
    <col min="10246" max="10246" width="10.81640625" style="86" customWidth="1"/>
    <col min="10247" max="10476" width="8.453125" style="86"/>
    <col min="10477" max="10477" width="3.81640625" style="86" customWidth="1"/>
    <col min="10478" max="10478" width="24.453125" style="86" customWidth="1"/>
    <col min="10479" max="10479" width="4.81640625" style="86" customWidth="1"/>
    <col min="10480" max="10484" width="10.1796875" style="86" customWidth="1"/>
    <col min="10485" max="10485" width="10" style="86" bestFit="1" customWidth="1"/>
    <col min="10486" max="10486" width="12.7265625" style="86" customWidth="1"/>
    <col min="10487" max="10492" width="10" style="86" bestFit="1" customWidth="1"/>
    <col min="10493" max="10493" width="12" style="86" customWidth="1"/>
    <col min="10494" max="10494" width="12.81640625" style="86" customWidth="1"/>
    <col min="10495" max="10496" width="11.54296875" style="86" customWidth="1"/>
    <col min="10497" max="10497" width="12.26953125" style="86" customWidth="1"/>
    <col min="10498" max="10498" width="11.54296875" style="86" customWidth="1"/>
    <col min="10499" max="10499" width="10" style="86" bestFit="1" customWidth="1"/>
    <col min="10500" max="10500" width="11.54296875" style="86" customWidth="1"/>
    <col min="10501" max="10501" width="10" style="86" bestFit="1" customWidth="1"/>
    <col min="10502" max="10502" width="10.81640625" style="86" customWidth="1"/>
    <col min="10503" max="10732" width="8.453125" style="86"/>
    <col min="10733" max="10733" width="3.81640625" style="86" customWidth="1"/>
    <col min="10734" max="10734" width="24.453125" style="86" customWidth="1"/>
    <col min="10735" max="10735" width="4.81640625" style="86" customWidth="1"/>
    <col min="10736" max="10740" width="10.1796875" style="86" customWidth="1"/>
    <col min="10741" max="10741" width="10" style="86" bestFit="1" customWidth="1"/>
    <col min="10742" max="10742" width="12.7265625" style="86" customWidth="1"/>
    <col min="10743" max="10748" width="10" style="86" bestFit="1" customWidth="1"/>
    <col min="10749" max="10749" width="12" style="86" customWidth="1"/>
    <col min="10750" max="10750" width="12.81640625" style="86" customWidth="1"/>
    <col min="10751" max="10752" width="11.54296875" style="86" customWidth="1"/>
    <col min="10753" max="10753" width="12.26953125" style="86" customWidth="1"/>
    <col min="10754" max="10754" width="11.54296875" style="86" customWidth="1"/>
    <col min="10755" max="10755" width="10" style="86" bestFit="1" customWidth="1"/>
    <col min="10756" max="10756" width="11.54296875" style="86" customWidth="1"/>
    <col min="10757" max="10757" width="10" style="86" bestFit="1" customWidth="1"/>
    <col min="10758" max="10758" width="10.81640625" style="86" customWidth="1"/>
    <col min="10759" max="10988" width="8.453125" style="86"/>
    <col min="10989" max="10989" width="3.81640625" style="86" customWidth="1"/>
    <col min="10990" max="10990" width="24.453125" style="86" customWidth="1"/>
    <col min="10991" max="10991" width="4.81640625" style="86" customWidth="1"/>
    <col min="10992" max="10996" width="10.1796875" style="86" customWidth="1"/>
    <col min="10997" max="10997" width="10" style="86" bestFit="1" customWidth="1"/>
    <col min="10998" max="10998" width="12.7265625" style="86" customWidth="1"/>
    <col min="10999" max="11004" width="10" style="86" bestFit="1" customWidth="1"/>
    <col min="11005" max="11005" width="12" style="86" customWidth="1"/>
    <col min="11006" max="11006" width="12.81640625" style="86" customWidth="1"/>
    <col min="11007" max="11008" width="11.54296875" style="86" customWidth="1"/>
    <col min="11009" max="11009" width="12.26953125" style="86" customWidth="1"/>
    <col min="11010" max="11010" width="11.54296875" style="86" customWidth="1"/>
    <col min="11011" max="11011" width="10" style="86" bestFit="1" customWidth="1"/>
    <col min="11012" max="11012" width="11.54296875" style="86" customWidth="1"/>
    <col min="11013" max="11013" width="10" style="86" bestFit="1" customWidth="1"/>
    <col min="11014" max="11014" width="10.81640625" style="86" customWidth="1"/>
    <col min="11015" max="11244" width="8.453125" style="86"/>
    <col min="11245" max="11245" width="3.81640625" style="86" customWidth="1"/>
    <col min="11246" max="11246" width="24.453125" style="86" customWidth="1"/>
    <col min="11247" max="11247" width="4.81640625" style="86" customWidth="1"/>
    <col min="11248" max="11252" width="10.1796875" style="86" customWidth="1"/>
    <col min="11253" max="11253" width="10" style="86" bestFit="1" customWidth="1"/>
    <col min="11254" max="11254" width="12.7265625" style="86" customWidth="1"/>
    <col min="11255" max="11260" width="10" style="86" bestFit="1" customWidth="1"/>
    <col min="11261" max="11261" width="12" style="86" customWidth="1"/>
    <col min="11262" max="11262" width="12.81640625" style="86" customWidth="1"/>
    <col min="11263" max="11264" width="11.54296875" style="86" customWidth="1"/>
    <col min="11265" max="11265" width="12.26953125" style="86" customWidth="1"/>
    <col min="11266" max="11266" width="11.54296875" style="86" customWidth="1"/>
    <col min="11267" max="11267" width="10" style="86" bestFit="1" customWidth="1"/>
    <col min="11268" max="11268" width="11.54296875" style="86" customWidth="1"/>
    <col min="11269" max="11269" width="10" style="86" bestFit="1" customWidth="1"/>
    <col min="11270" max="11270" width="10.81640625" style="86" customWidth="1"/>
    <col min="11271" max="11500" width="8.453125" style="86"/>
    <col min="11501" max="11501" width="3.81640625" style="86" customWidth="1"/>
    <col min="11502" max="11502" width="24.453125" style="86" customWidth="1"/>
    <col min="11503" max="11503" width="4.81640625" style="86" customWidth="1"/>
    <col min="11504" max="11508" width="10.1796875" style="86" customWidth="1"/>
    <col min="11509" max="11509" width="10" style="86" bestFit="1" customWidth="1"/>
    <col min="11510" max="11510" width="12.7265625" style="86" customWidth="1"/>
    <col min="11511" max="11516" width="10" style="86" bestFit="1" customWidth="1"/>
    <col min="11517" max="11517" width="12" style="86" customWidth="1"/>
    <col min="11518" max="11518" width="12.81640625" style="86" customWidth="1"/>
    <col min="11519" max="11520" width="11.54296875" style="86" customWidth="1"/>
    <col min="11521" max="11521" width="12.26953125" style="86" customWidth="1"/>
    <col min="11522" max="11522" width="11.54296875" style="86" customWidth="1"/>
    <col min="11523" max="11523" width="10" style="86" bestFit="1" customWidth="1"/>
    <col min="11524" max="11524" width="11.54296875" style="86" customWidth="1"/>
    <col min="11525" max="11525" width="10" style="86" bestFit="1" customWidth="1"/>
    <col min="11526" max="11526" width="10.81640625" style="86" customWidth="1"/>
    <col min="11527" max="11756" width="8.453125" style="86"/>
    <col min="11757" max="11757" width="3.81640625" style="86" customWidth="1"/>
    <col min="11758" max="11758" width="24.453125" style="86" customWidth="1"/>
    <col min="11759" max="11759" width="4.81640625" style="86" customWidth="1"/>
    <col min="11760" max="11764" width="10.1796875" style="86" customWidth="1"/>
    <col min="11765" max="11765" width="10" style="86" bestFit="1" customWidth="1"/>
    <col min="11766" max="11766" width="12.7265625" style="86" customWidth="1"/>
    <col min="11767" max="11772" width="10" style="86" bestFit="1" customWidth="1"/>
    <col min="11773" max="11773" width="12" style="86" customWidth="1"/>
    <col min="11774" max="11774" width="12.81640625" style="86" customWidth="1"/>
    <col min="11775" max="11776" width="11.54296875" style="86" customWidth="1"/>
    <col min="11777" max="11777" width="12.26953125" style="86" customWidth="1"/>
    <col min="11778" max="11778" width="11.54296875" style="86" customWidth="1"/>
    <col min="11779" max="11779" width="10" style="86" bestFit="1" customWidth="1"/>
    <col min="11780" max="11780" width="11.54296875" style="86" customWidth="1"/>
    <col min="11781" max="11781" width="10" style="86" bestFit="1" customWidth="1"/>
    <col min="11782" max="11782" width="10.81640625" style="86" customWidth="1"/>
    <col min="11783" max="12012" width="8.453125" style="86"/>
    <col min="12013" max="12013" width="3.81640625" style="86" customWidth="1"/>
    <col min="12014" max="12014" width="24.453125" style="86" customWidth="1"/>
    <col min="12015" max="12015" width="4.81640625" style="86" customWidth="1"/>
    <col min="12016" max="12020" width="10.1796875" style="86" customWidth="1"/>
    <col min="12021" max="12021" width="10" style="86" bestFit="1" customWidth="1"/>
    <col min="12022" max="12022" width="12.7265625" style="86" customWidth="1"/>
    <col min="12023" max="12028" width="10" style="86" bestFit="1" customWidth="1"/>
    <col min="12029" max="12029" width="12" style="86" customWidth="1"/>
    <col min="12030" max="12030" width="12.81640625" style="86" customWidth="1"/>
    <col min="12031" max="12032" width="11.54296875" style="86" customWidth="1"/>
    <col min="12033" max="12033" width="12.26953125" style="86" customWidth="1"/>
    <col min="12034" max="12034" width="11.54296875" style="86" customWidth="1"/>
    <col min="12035" max="12035" width="10" style="86" bestFit="1" customWidth="1"/>
    <col min="12036" max="12036" width="11.54296875" style="86" customWidth="1"/>
    <col min="12037" max="12037" width="10" style="86" bestFit="1" customWidth="1"/>
    <col min="12038" max="12038" width="10.81640625" style="86" customWidth="1"/>
    <col min="12039" max="12268" width="8.453125" style="86"/>
    <col min="12269" max="12269" width="3.81640625" style="86" customWidth="1"/>
    <col min="12270" max="12270" width="24.453125" style="86" customWidth="1"/>
    <col min="12271" max="12271" width="4.81640625" style="86" customWidth="1"/>
    <col min="12272" max="12276" width="10.1796875" style="86" customWidth="1"/>
    <col min="12277" max="12277" width="10" style="86" bestFit="1" customWidth="1"/>
    <col min="12278" max="12278" width="12.7265625" style="86" customWidth="1"/>
    <col min="12279" max="12284" width="10" style="86" bestFit="1" customWidth="1"/>
    <col min="12285" max="12285" width="12" style="86" customWidth="1"/>
    <col min="12286" max="12286" width="12.81640625" style="86" customWidth="1"/>
    <col min="12287" max="12288" width="11.54296875" style="86" customWidth="1"/>
    <col min="12289" max="12289" width="12.26953125" style="86" customWidth="1"/>
    <col min="12290" max="12290" width="11.54296875" style="86" customWidth="1"/>
    <col min="12291" max="12291" width="10" style="86" bestFit="1" customWidth="1"/>
    <col min="12292" max="12292" width="11.54296875" style="86" customWidth="1"/>
    <col min="12293" max="12293" width="10" style="86" bestFit="1" customWidth="1"/>
    <col min="12294" max="12294" width="10.81640625" style="86" customWidth="1"/>
    <col min="12295" max="12524" width="8.453125" style="86"/>
    <col min="12525" max="12525" width="3.81640625" style="86" customWidth="1"/>
    <col min="12526" max="12526" width="24.453125" style="86" customWidth="1"/>
    <col min="12527" max="12527" width="4.81640625" style="86" customWidth="1"/>
    <col min="12528" max="12532" width="10.1796875" style="86" customWidth="1"/>
    <col min="12533" max="12533" width="10" style="86" bestFit="1" customWidth="1"/>
    <col min="12534" max="12534" width="12.7265625" style="86" customWidth="1"/>
    <col min="12535" max="12540" width="10" style="86" bestFit="1" customWidth="1"/>
    <col min="12541" max="12541" width="12" style="86" customWidth="1"/>
    <col min="12542" max="12542" width="12.81640625" style="86" customWidth="1"/>
    <col min="12543" max="12544" width="11.54296875" style="86" customWidth="1"/>
    <col min="12545" max="12545" width="12.26953125" style="86" customWidth="1"/>
    <col min="12546" max="12546" width="11.54296875" style="86" customWidth="1"/>
    <col min="12547" max="12547" width="10" style="86" bestFit="1" customWidth="1"/>
    <col min="12548" max="12548" width="11.54296875" style="86" customWidth="1"/>
    <col min="12549" max="12549" width="10" style="86" bestFit="1" customWidth="1"/>
    <col min="12550" max="12550" width="10.81640625" style="86" customWidth="1"/>
    <col min="12551" max="12780" width="8.453125" style="86"/>
    <col min="12781" max="12781" width="3.81640625" style="86" customWidth="1"/>
    <col min="12782" max="12782" width="24.453125" style="86" customWidth="1"/>
    <col min="12783" max="12783" width="4.81640625" style="86" customWidth="1"/>
    <col min="12784" max="12788" width="10.1796875" style="86" customWidth="1"/>
    <col min="12789" max="12789" width="10" style="86" bestFit="1" customWidth="1"/>
    <col min="12790" max="12790" width="12.7265625" style="86" customWidth="1"/>
    <col min="12791" max="12796" width="10" style="86" bestFit="1" customWidth="1"/>
    <col min="12797" max="12797" width="12" style="86" customWidth="1"/>
    <col min="12798" max="12798" width="12.81640625" style="86" customWidth="1"/>
    <col min="12799" max="12800" width="11.54296875" style="86" customWidth="1"/>
    <col min="12801" max="12801" width="12.26953125" style="86" customWidth="1"/>
    <col min="12802" max="12802" width="11.54296875" style="86" customWidth="1"/>
    <col min="12803" max="12803" width="10" style="86" bestFit="1" customWidth="1"/>
    <col min="12804" max="12804" width="11.54296875" style="86" customWidth="1"/>
    <col min="12805" max="12805" width="10" style="86" bestFit="1" customWidth="1"/>
    <col min="12806" max="12806" width="10.81640625" style="86" customWidth="1"/>
    <col min="12807" max="13036" width="8.453125" style="86"/>
    <col min="13037" max="13037" width="3.81640625" style="86" customWidth="1"/>
    <col min="13038" max="13038" width="24.453125" style="86" customWidth="1"/>
    <col min="13039" max="13039" width="4.81640625" style="86" customWidth="1"/>
    <col min="13040" max="13044" width="10.1796875" style="86" customWidth="1"/>
    <col min="13045" max="13045" width="10" style="86" bestFit="1" customWidth="1"/>
    <col min="13046" max="13046" width="12.7265625" style="86" customWidth="1"/>
    <col min="13047" max="13052" width="10" style="86" bestFit="1" customWidth="1"/>
    <col min="13053" max="13053" width="12" style="86" customWidth="1"/>
    <col min="13054" max="13054" width="12.81640625" style="86" customWidth="1"/>
    <col min="13055" max="13056" width="11.54296875" style="86" customWidth="1"/>
    <col min="13057" max="13057" width="12.26953125" style="86" customWidth="1"/>
    <col min="13058" max="13058" width="11.54296875" style="86" customWidth="1"/>
    <col min="13059" max="13059" width="10" style="86" bestFit="1" customWidth="1"/>
    <col min="13060" max="13060" width="11.54296875" style="86" customWidth="1"/>
    <col min="13061" max="13061" width="10" style="86" bestFit="1" customWidth="1"/>
    <col min="13062" max="13062" width="10.81640625" style="86" customWidth="1"/>
    <col min="13063" max="13292" width="8.453125" style="86"/>
    <col min="13293" max="13293" width="3.81640625" style="86" customWidth="1"/>
    <col min="13294" max="13294" width="24.453125" style="86" customWidth="1"/>
    <col min="13295" max="13295" width="4.81640625" style="86" customWidth="1"/>
    <col min="13296" max="13300" width="10.1796875" style="86" customWidth="1"/>
    <col min="13301" max="13301" width="10" style="86" bestFit="1" customWidth="1"/>
    <col min="13302" max="13302" width="12.7265625" style="86" customWidth="1"/>
    <col min="13303" max="13308" width="10" style="86" bestFit="1" customWidth="1"/>
    <col min="13309" max="13309" width="12" style="86" customWidth="1"/>
    <col min="13310" max="13310" width="12.81640625" style="86" customWidth="1"/>
    <col min="13311" max="13312" width="11.54296875" style="86" customWidth="1"/>
    <col min="13313" max="13313" width="12.26953125" style="86" customWidth="1"/>
    <col min="13314" max="13314" width="11.54296875" style="86" customWidth="1"/>
    <col min="13315" max="13315" width="10" style="86" bestFit="1" customWidth="1"/>
    <col min="13316" max="13316" width="11.54296875" style="86" customWidth="1"/>
    <col min="13317" max="13317" width="10" style="86" bestFit="1" customWidth="1"/>
    <col min="13318" max="13318" width="10.81640625" style="86" customWidth="1"/>
    <col min="13319" max="13548" width="8.453125" style="86"/>
    <col min="13549" max="13549" width="3.81640625" style="86" customWidth="1"/>
    <col min="13550" max="13550" width="24.453125" style="86" customWidth="1"/>
    <col min="13551" max="13551" width="4.81640625" style="86" customWidth="1"/>
    <col min="13552" max="13556" width="10.1796875" style="86" customWidth="1"/>
    <col min="13557" max="13557" width="10" style="86" bestFit="1" customWidth="1"/>
    <col min="13558" max="13558" width="12.7265625" style="86" customWidth="1"/>
    <col min="13559" max="13564" width="10" style="86" bestFit="1" customWidth="1"/>
    <col min="13565" max="13565" width="12" style="86" customWidth="1"/>
    <col min="13566" max="13566" width="12.81640625" style="86" customWidth="1"/>
    <col min="13567" max="13568" width="11.54296875" style="86" customWidth="1"/>
    <col min="13569" max="13569" width="12.26953125" style="86" customWidth="1"/>
    <col min="13570" max="13570" width="11.54296875" style="86" customWidth="1"/>
    <col min="13571" max="13571" width="10" style="86" bestFit="1" customWidth="1"/>
    <col min="13572" max="13572" width="11.54296875" style="86" customWidth="1"/>
    <col min="13573" max="13573" width="10" style="86" bestFit="1" customWidth="1"/>
    <col min="13574" max="13574" width="10.81640625" style="86" customWidth="1"/>
    <col min="13575" max="13804" width="8.453125" style="86"/>
    <col min="13805" max="13805" width="3.81640625" style="86" customWidth="1"/>
    <col min="13806" max="13806" width="24.453125" style="86" customWidth="1"/>
    <col min="13807" max="13807" width="4.81640625" style="86" customWidth="1"/>
    <col min="13808" max="13812" width="10.1796875" style="86" customWidth="1"/>
    <col min="13813" max="13813" width="10" style="86" bestFit="1" customWidth="1"/>
    <col min="13814" max="13814" width="12.7265625" style="86" customWidth="1"/>
    <col min="13815" max="13820" width="10" style="86" bestFit="1" customWidth="1"/>
    <col min="13821" max="13821" width="12" style="86" customWidth="1"/>
    <col min="13822" max="13822" width="12.81640625" style="86" customWidth="1"/>
    <col min="13823" max="13824" width="11.54296875" style="86" customWidth="1"/>
    <col min="13825" max="13825" width="12.26953125" style="86" customWidth="1"/>
    <col min="13826" max="13826" width="11.54296875" style="86" customWidth="1"/>
    <col min="13827" max="13827" width="10" style="86" bestFit="1" customWidth="1"/>
    <col min="13828" max="13828" width="11.54296875" style="86" customWidth="1"/>
    <col min="13829" max="13829" width="10" style="86" bestFit="1" customWidth="1"/>
    <col min="13830" max="13830" width="10.81640625" style="86" customWidth="1"/>
    <col min="13831" max="14060" width="8.453125" style="86"/>
    <col min="14061" max="14061" width="3.81640625" style="86" customWidth="1"/>
    <col min="14062" max="14062" width="24.453125" style="86" customWidth="1"/>
    <col min="14063" max="14063" width="4.81640625" style="86" customWidth="1"/>
    <col min="14064" max="14068" width="10.1796875" style="86" customWidth="1"/>
    <col min="14069" max="14069" width="10" style="86" bestFit="1" customWidth="1"/>
    <col min="14070" max="14070" width="12.7265625" style="86" customWidth="1"/>
    <col min="14071" max="14076" width="10" style="86" bestFit="1" customWidth="1"/>
    <col min="14077" max="14077" width="12" style="86" customWidth="1"/>
    <col min="14078" max="14078" width="12.81640625" style="86" customWidth="1"/>
    <col min="14079" max="14080" width="11.54296875" style="86" customWidth="1"/>
    <col min="14081" max="14081" width="12.26953125" style="86" customWidth="1"/>
    <col min="14082" max="14082" width="11.54296875" style="86" customWidth="1"/>
    <col min="14083" max="14083" width="10" style="86" bestFit="1" customWidth="1"/>
    <col min="14084" max="14084" width="11.54296875" style="86" customWidth="1"/>
    <col min="14085" max="14085" width="10" style="86" bestFit="1" customWidth="1"/>
    <col min="14086" max="14086" width="10.81640625" style="86" customWidth="1"/>
    <col min="14087" max="14316" width="8.453125" style="86"/>
    <col min="14317" max="14317" width="3.81640625" style="86" customWidth="1"/>
    <col min="14318" max="14318" width="24.453125" style="86" customWidth="1"/>
    <col min="14319" max="14319" width="4.81640625" style="86" customWidth="1"/>
    <col min="14320" max="14324" width="10.1796875" style="86" customWidth="1"/>
    <col min="14325" max="14325" width="10" style="86" bestFit="1" customWidth="1"/>
    <col min="14326" max="14326" width="12.7265625" style="86" customWidth="1"/>
    <col min="14327" max="14332" width="10" style="86" bestFit="1" customWidth="1"/>
    <col min="14333" max="14333" width="12" style="86" customWidth="1"/>
    <col min="14334" max="14334" width="12.81640625" style="86" customWidth="1"/>
    <col min="14335" max="14336" width="11.54296875" style="86" customWidth="1"/>
    <col min="14337" max="14337" width="12.26953125" style="86" customWidth="1"/>
    <col min="14338" max="14338" width="11.54296875" style="86" customWidth="1"/>
    <col min="14339" max="14339" width="10" style="86" bestFit="1" customWidth="1"/>
    <col min="14340" max="14340" width="11.54296875" style="86" customWidth="1"/>
    <col min="14341" max="14341" width="10" style="86" bestFit="1" customWidth="1"/>
    <col min="14342" max="14342" width="10.81640625" style="86" customWidth="1"/>
    <col min="14343" max="14572" width="8.453125" style="86"/>
    <col min="14573" max="14573" width="3.81640625" style="86" customWidth="1"/>
    <col min="14574" max="14574" width="24.453125" style="86" customWidth="1"/>
    <col min="14575" max="14575" width="4.81640625" style="86" customWidth="1"/>
    <col min="14576" max="14580" width="10.1796875" style="86" customWidth="1"/>
    <col min="14581" max="14581" width="10" style="86" bestFit="1" customWidth="1"/>
    <col min="14582" max="14582" width="12.7265625" style="86" customWidth="1"/>
    <col min="14583" max="14588" width="10" style="86" bestFit="1" customWidth="1"/>
    <col min="14589" max="14589" width="12" style="86" customWidth="1"/>
    <col min="14590" max="14590" width="12.81640625" style="86" customWidth="1"/>
    <col min="14591" max="14592" width="11.54296875" style="86" customWidth="1"/>
    <col min="14593" max="14593" width="12.26953125" style="86" customWidth="1"/>
    <col min="14594" max="14594" width="11.54296875" style="86" customWidth="1"/>
    <col min="14595" max="14595" width="10" style="86" bestFit="1" customWidth="1"/>
    <col min="14596" max="14596" width="11.54296875" style="86" customWidth="1"/>
    <col min="14597" max="14597" width="10" style="86" bestFit="1" customWidth="1"/>
    <col min="14598" max="14598" width="10.81640625" style="86" customWidth="1"/>
    <col min="14599" max="14828" width="8.453125" style="86"/>
    <col min="14829" max="14829" width="3.81640625" style="86" customWidth="1"/>
    <col min="14830" max="14830" width="24.453125" style="86" customWidth="1"/>
    <col min="14831" max="14831" width="4.81640625" style="86" customWidth="1"/>
    <col min="14832" max="14836" width="10.1796875" style="86" customWidth="1"/>
    <col min="14837" max="14837" width="10" style="86" bestFit="1" customWidth="1"/>
    <col min="14838" max="14838" width="12.7265625" style="86" customWidth="1"/>
    <col min="14839" max="14844" width="10" style="86" bestFit="1" customWidth="1"/>
    <col min="14845" max="14845" width="12" style="86" customWidth="1"/>
    <col min="14846" max="14846" width="12.81640625" style="86" customWidth="1"/>
    <col min="14847" max="14848" width="11.54296875" style="86" customWidth="1"/>
    <col min="14849" max="14849" width="12.26953125" style="86" customWidth="1"/>
    <col min="14850" max="14850" width="11.54296875" style="86" customWidth="1"/>
    <col min="14851" max="14851" width="10" style="86" bestFit="1" customWidth="1"/>
    <col min="14852" max="14852" width="11.54296875" style="86" customWidth="1"/>
    <col min="14853" max="14853" width="10" style="86" bestFit="1" customWidth="1"/>
    <col min="14854" max="14854" width="10.81640625" style="86" customWidth="1"/>
    <col min="14855" max="15084" width="8.453125" style="86"/>
    <col min="15085" max="15085" width="3.81640625" style="86" customWidth="1"/>
    <col min="15086" max="15086" width="24.453125" style="86" customWidth="1"/>
    <col min="15087" max="15087" width="4.81640625" style="86" customWidth="1"/>
    <col min="15088" max="15092" width="10.1796875" style="86" customWidth="1"/>
    <col min="15093" max="15093" width="10" style="86" bestFit="1" customWidth="1"/>
    <col min="15094" max="15094" width="12.7265625" style="86" customWidth="1"/>
    <col min="15095" max="15100" width="10" style="86" bestFit="1" customWidth="1"/>
    <col min="15101" max="15101" width="12" style="86" customWidth="1"/>
    <col min="15102" max="15102" width="12.81640625" style="86" customWidth="1"/>
    <col min="15103" max="15104" width="11.54296875" style="86" customWidth="1"/>
    <col min="15105" max="15105" width="12.26953125" style="86" customWidth="1"/>
    <col min="15106" max="15106" width="11.54296875" style="86" customWidth="1"/>
    <col min="15107" max="15107" width="10" style="86" bestFit="1" customWidth="1"/>
    <col min="15108" max="15108" width="11.54296875" style="86" customWidth="1"/>
    <col min="15109" max="15109" width="10" style="86" bestFit="1" customWidth="1"/>
    <col min="15110" max="15110" width="10.81640625" style="86" customWidth="1"/>
    <col min="15111" max="15340" width="8.453125" style="86"/>
    <col min="15341" max="15341" width="3.81640625" style="86" customWidth="1"/>
    <col min="15342" max="15342" width="24.453125" style="86" customWidth="1"/>
    <col min="15343" max="15343" width="4.81640625" style="86" customWidth="1"/>
    <col min="15344" max="15348" width="10.1796875" style="86" customWidth="1"/>
    <col min="15349" max="15349" width="10" style="86" bestFit="1" customWidth="1"/>
    <col min="15350" max="15350" width="12.7265625" style="86" customWidth="1"/>
    <col min="15351" max="15356" width="10" style="86" bestFit="1" customWidth="1"/>
    <col min="15357" max="15357" width="12" style="86" customWidth="1"/>
    <col min="15358" max="15358" width="12.81640625" style="86" customWidth="1"/>
    <col min="15359" max="15360" width="11.54296875" style="86" customWidth="1"/>
    <col min="15361" max="15361" width="12.26953125" style="86" customWidth="1"/>
    <col min="15362" max="15362" width="11.54296875" style="86" customWidth="1"/>
    <col min="15363" max="15363" width="10" style="86" bestFit="1" customWidth="1"/>
    <col min="15364" max="15364" width="11.54296875" style="86" customWidth="1"/>
    <col min="15365" max="15365" width="10" style="86" bestFit="1" customWidth="1"/>
    <col min="15366" max="15366" width="10.81640625" style="86" customWidth="1"/>
    <col min="15367" max="15596" width="8.453125" style="86"/>
    <col min="15597" max="15597" width="3.81640625" style="86" customWidth="1"/>
    <col min="15598" max="15598" width="24.453125" style="86" customWidth="1"/>
    <col min="15599" max="15599" width="4.81640625" style="86" customWidth="1"/>
    <col min="15600" max="15604" width="10.1796875" style="86" customWidth="1"/>
    <col min="15605" max="15605" width="10" style="86" bestFit="1" customWidth="1"/>
    <col min="15606" max="15606" width="12.7265625" style="86" customWidth="1"/>
    <col min="15607" max="15612" width="10" style="86" bestFit="1" customWidth="1"/>
    <col min="15613" max="15613" width="12" style="86" customWidth="1"/>
    <col min="15614" max="15614" width="12.81640625" style="86" customWidth="1"/>
    <col min="15615" max="15616" width="11.54296875" style="86" customWidth="1"/>
    <col min="15617" max="15617" width="12.26953125" style="86" customWidth="1"/>
    <col min="15618" max="15618" width="11.54296875" style="86" customWidth="1"/>
    <col min="15619" max="15619" width="10" style="86" bestFit="1" customWidth="1"/>
    <col min="15620" max="15620" width="11.54296875" style="86" customWidth="1"/>
    <col min="15621" max="15621" width="10" style="86" bestFit="1" customWidth="1"/>
    <col min="15622" max="15622" width="10.81640625" style="86" customWidth="1"/>
    <col min="15623" max="15852" width="8.453125" style="86"/>
    <col min="15853" max="15853" width="3.81640625" style="86" customWidth="1"/>
    <col min="15854" max="15854" width="24.453125" style="86" customWidth="1"/>
    <col min="15855" max="15855" width="4.81640625" style="86" customWidth="1"/>
    <col min="15856" max="15860" width="10.1796875" style="86" customWidth="1"/>
    <col min="15861" max="15861" width="10" style="86" bestFit="1" customWidth="1"/>
    <col min="15862" max="15862" width="12.7265625" style="86" customWidth="1"/>
    <col min="15863" max="15868" width="10" style="86" bestFit="1" customWidth="1"/>
    <col min="15869" max="15869" width="12" style="86" customWidth="1"/>
    <col min="15870" max="15870" width="12.81640625" style="86" customWidth="1"/>
    <col min="15871" max="15872" width="11.54296875" style="86" customWidth="1"/>
    <col min="15873" max="15873" width="12.26953125" style="86" customWidth="1"/>
    <col min="15874" max="15874" width="11.54296875" style="86" customWidth="1"/>
    <col min="15875" max="15875" width="10" style="86" bestFit="1" customWidth="1"/>
    <col min="15876" max="15876" width="11.54296875" style="86" customWidth="1"/>
    <col min="15877" max="15877" width="10" style="86" bestFit="1" customWidth="1"/>
    <col min="15878" max="15878" width="10.81640625" style="86" customWidth="1"/>
    <col min="15879" max="16108" width="8.453125" style="86"/>
    <col min="16109" max="16109" width="3.81640625" style="86" customWidth="1"/>
    <col min="16110" max="16110" width="24.453125" style="86" customWidth="1"/>
    <col min="16111" max="16111" width="4.81640625" style="86" customWidth="1"/>
    <col min="16112" max="16116" width="10.1796875" style="86" customWidth="1"/>
    <col min="16117" max="16117" width="10" style="86" bestFit="1" customWidth="1"/>
    <col min="16118" max="16118" width="12.7265625" style="86" customWidth="1"/>
    <col min="16119" max="16124" width="10" style="86" bestFit="1" customWidth="1"/>
    <col min="16125" max="16125" width="12" style="86" customWidth="1"/>
    <col min="16126" max="16126" width="12.81640625" style="86" customWidth="1"/>
    <col min="16127" max="16128" width="11.54296875" style="86" customWidth="1"/>
    <col min="16129" max="16129" width="12.26953125" style="86" customWidth="1"/>
    <col min="16130" max="16130" width="11.54296875" style="86" customWidth="1"/>
    <col min="16131" max="16131" width="10" style="86" bestFit="1" customWidth="1"/>
    <col min="16132" max="16132" width="11.54296875" style="86" customWidth="1"/>
    <col min="16133" max="16133" width="10" style="86" bestFit="1" customWidth="1"/>
    <col min="16134" max="16134" width="10.81640625" style="86" customWidth="1"/>
    <col min="16135" max="16384" width="8.453125" style="86"/>
  </cols>
  <sheetData>
    <row r="1" spans="1:22" ht="12" customHeight="1" x14ac:dyDescent="0.3">
      <c r="A1" s="83"/>
      <c r="B1" s="84"/>
      <c r="C1" s="84"/>
      <c r="D1" s="85"/>
      <c r="F1" s="84"/>
      <c r="G1" s="84"/>
      <c r="H1" s="84"/>
    </row>
    <row r="2" spans="1:22" ht="12" customHeight="1" x14ac:dyDescent="0.3">
      <c r="A2" s="439" t="s">
        <v>341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370"/>
    </row>
    <row r="3" spans="1:22" ht="12" customHeight="1" x14ac:dyDescent="0.3">
      <c r="D3" s="429" t="s">
        <v>138</v>
      </c>
      <c r="E3" s="429"/>
      <c r="F3" s="452"/>
      <c r="G3" s="452"/>
      <c r="H3" s="452"/>
      <c r="M3" s="82"/>
    </row>
    <row r="4" spans="1:22" s="87" customFormat="1" ht="12" customHeight="1" x14ac:dyDescent="0.3">
      <c r="A4" s="440" t="s">
        <v>139</v>
      </c>
      <c r="B4" s="441"/>
      <c r="C4" s="441"/>
      <c r="D4" s="442">
        <v>2021</v>
      </c>
      <c r="E4" s="443">
        <f t="shared" ref="E4" si="0">D4+1</f>
        <v>2022</v>
      </c>
      <c r="F4" s="371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</row>
    <row r="5" spans="1:22" ht="12" customHeight="1" x14ac:dyDescent="0.3">
      <c r="B5" s="88" t="s">
        <v>148</v>
      </c>
      <c r="D5" s="106">
        <f>'Historical Ratios'!C41</f>
        <v>0.23567480227910531</v>
      </c>
      <c r="E5" s="386">
        <v>0.12</v>
      </c>
      <c r="F5" s="108"/>
      <c r="G5" s="284"/>
      <c r="H5" s="284"/>
      <c r="I5" s="284"/>
      <c r="J5" s="284"/>
      <c r="K5" s="284"/>
      <c r="L5" s="284"/>
      <c r="M5" s="284"/>
      <c r="N5" s="284"/>
      <c r="O5" s="284"/>
      <c r="P5" s="284"/>
    </row>
    <row r="6" spans="1:22" ht="12" customHeight="1" x14ac:dyDescent="0.3">
      <c r="B6" s="300" t="s">
        <v>441</v>
      </c>
      <c r="D6" s="106"/>
      <c r="E6" s="451">
        <f>1.5%</f>
        <v>1.4999999999999999E-2</v>
      </c>
      <c r="F6" s="108"/>
      <c r="G6" s="284"/>
      <c r="H6" s="284"/>
      <c r="I6" s="284"/>
      <c r="J6" s="284"/>
      <c r="K6" s="284"/>
      <c r="L6" s="284"/>
      <c r="M6" s="284"/>
      <c r="N6" s="284"/>
      <c r="O6" s="284"/>
      <c r="P6" s="284"/>
    </row>
    <row r="7" spans="1:22" s="90" customFormat="1" ht="12" customHeight="1" x14ac:dyDescent="0.3">
      <c r="B7" s="91" t="s">
        <v>140</v>
      </c>
      <c r="D7" s="106">
        <f>'Historical Ratios'!C21</f>
        <v>0.69929388932093628</v>
      </c>
      <c r="E7" s="106">
        <f>'Historical Ratios'!K21</f>
        <v>0.68347884314777207</v>
      </c>
      <c r="F7" s="106"/>
      <c r="G7" s="106"/>
      <c r="H7" s="106"/>
      <c r="I7" s="106"/>
      <c r="J7" s="106"/>
      <c r="K7" s="106"/>
      <c r="L7" s="372"/>
      <c r="M7" s="283"/>
      <c r="N7" s="283"/>
      <c r="O7" s="283"/>
      <c r="P7" s="283"/>
      <c r="Q7" s="283"/>
      <c r="R7" s="283"/>
      <c r="S7" s="283"/>
      <c r="T7" s="283"/>
      <c r="U7" s="283"/>
      <c r="V7" s="283"/>
    </row>
    <row r="8" spans="1:22" ht="12" customHeight="1" x14ac:dyDescent="0.3">
      <c r="B8" s="88" t="s">
        <v>154</v>
      </c>
      <c r="D8" s="106">
        <f>100%-D7</f>
        <v>0.30070611067906372</v>
      </c>
      <c r="E8" s="106">
        <f>100%-E7</f>
        <v>0.31652115685222793</v>
      </c>
      <c r="F8" s="106"/>
      <c r="G8" s="106"/>
      <c r="H8" s="106"/>
      <c r="I8" s="106"/>
      <c r="J8" s="106"/>
      <c r="K8" s="106"/>
      <c r="L8" s="372"/>
      <c r="M8" s="284"/>
      <c r="N8" s="284"/>
      <c r="O8" s="284"/>
      <c r="P8" s="284"/>
      <c r="Q8" s="284"/>
      <c r="R8" s="284"/>
      <c r="S8" s="284"/>
      <c r="T8" s="284"/>
      <c r="U8" s="284"/>
      <c r="V8" s="284"/>
    </row>
    <row r="9" spans="1:22" s="90" customFormat="1" ht="12" customHeight="1" x14ac:dyDescent="0.3">
      <c r="B9" s="300" t="s">
        <v>436</v>
      </c>
      <c r="D9" s="106">
        <f>'Historical Ratios'!C22</f>
        <v>0.49528915438772769</v>
      </c>
      <c r="E9" s="107">
        <v>0.5</v>
      </c>
      <c r="F9" s="107"/>
      <c r="G9" s="107"/>
      <c r="H9" s="107"/>
      <c r="I9" s="107"/>
      <c r="J9" s="107"/>
      <c r="K9" s="107"/>
      <c r="L9" s="373"/>
      <c r="M9" s="283"/>
      <c r="N9" s="283"/>
      <c r="O9" s="283"/>
      <c r="P9" s="283"/>
      <c r="Q9" s="283"/>
      <c r="R9" s="283"/>
      <c r="S9" s="283"/>
      <c r="T9" s="283"/>
      <c r="U9" s="283"/>
      <c r="V9" s="283"/>
    </row>
    <row r="10" spans="1:22" s="90" customFormat="1" ht="12" customHeight="1" x14ac:dyDescent="0.3">
      <c r="B10" s="88" t="s">
        <v>141</v>
      </c>
      <c r="D10" s="265">
        <f>'Historical Ratios'!C9</f>
        <v>4.9610125049035461E-2</v>
      </c>
      <c r="E10" s="107">
        <f>D10</f>
        <v>4.9610125049035461E-2</v>
      </c>
      <c r="F10" s="107"/>
      <c r="G10" s="107"/>
      <c r="H10" s="107"/>
      <c r="I10" s="107"/>
      <c r="J10" s="107"/>
      <c r="K10" s="107"/>
      <c r="L10" s="373"/>
      <c r="M10" s="283"/>
      <c r="N10" s="283"/>
      <c r="O10" s="283"/>
      <c r="P10" s="283"/>
      <c r="Q10" s="283"/>
      <c r="R10" s="283"/>
      <c r="S10" s="283"/>
      <c r="T10" s="283"/>
      <c r="U10" s="283"/>
      <c r="V10" s="283"/>
    </row>
    <row r="11" spans="1:22" s="90" customFormat="1" ht="12" customHeight="1" x14ac:dyDescent="0.3">
      <c r="B11" s="91" t="s">
        <v>142</v>
      </c>
      <c r="D11" s="89">
        <f>'Historical Ratios'!C10</f>
        <v>0.23264140317000565</v>
      </c>
      <c r="E11" s="90">
        <v>0.28000000000000003</v>
      </c>
      <c r="L11" s="374"/>
      <c r="M11" s="283"/>
      <c r="N11" s="283"/>
      <c r="O11" s="283"/>
      <c r="P11" s="283"/>
      <c r="Q11" s="283"/>
      <c r="R11" s="283"/>
      <c r="S11" s="283"/>
      <c r="T11" s="283"/>
      <c r="U11" s="283"/>
      <c r="V11" s="283"/>
    </row>
    <row r="12" spans="1:22" s="90" customFormat="1" ht="15" customHeight="1" x14ac:dyDescent="0.3">
      <c r="B12" s="91" t="s">
        <v>172</v>
      </c>
      <c r="D12" s="125">
        <f>'Historical Ratios'!C39</f>
        <v>0.16967130754354692</v>
      </c>
      <c r="E12" s="110">
        <f>D12</f>
        <v>0.16967130754354692</v>
      </c>
      <c r="F12" s="110"/>
      <c r="G12" s="110"/>
      <c r="H12" s="110"/>
      <c r="I12" s="110"/>
      <c r="J12" s="110"/>
      <c r="K12" s="110"/>
      <c r="L12" s="375"/>
      <c r="M12" s="283"/>
      <c r="N12" s="283"/>
      <c r="O12" s="283"/>
      <c r="P12" s="283"/>
      <c r="Q12" s="283"/>
      <c r="R12" s="299"/>
      <c r="S12" s="283"/>
      <c r="T12" s="283"/>
      <c r="U12" s="283"/>
      <c r="V12" s="283"/>
    </row>
    <row r="13" spans="1:22" s="90" customFormat="1" ht="12" customHeight="1" x14ac:dyDescent="0.3">
      <c r="B13" s="82" t="s">
        <v>143</v>
      </c>
      <c r="D13" s="109">
        <f>'Historical Ratios'!C28</f>
        <v>4.6088066672481744</v>
      </c>
      <c r="E13" s="109">
        <f>'Historical Ratios'!K28</f>
        <v>4.3805801875875003</v>
      </c>
      <c r="F13" s="109"/>
      <c r="G13" s="109"/>
      <c r="H13" s="109"/>
      <c r="I13" s="109"/>
      <c r="J13" s="109"/>
      <c r="K13" s="109"/>
      <c r="L13" s="376"/>
      <c r="M13" s="283"/>
      <c r="N13" s="283"/>
      <c r="O13" s="283"/>
      <c r="P13" s="283"/>
      <c r="Q13" s="283"/>
      <c r="R13" s="283"/>
      <c r="S13" s="283"/>
      <c r="T13" s="283"/>
      <c r="U13" s="283"/>
      <c r="V13" s="283"/>
    </row>
    <row r="14" spans="1:22" s="92" customFormat="1" ht="12" customHeight="1" x14ac:dyDescent="0.3">
      <c r="B14" s="269" t="s">
        <v>342</v>
      </c>
      <c r="D14" s="92">
        <f>SBUX_BS!B42</f>
        <v>6369500</v>
      </c>
      <c r="E14" s="92">
        <f>E$18/$E$13</f>
        <v>7430036.8001995105</v>
      </c>
      <c r="M14" s="284"/>
      <c r="N14" s="284"/>
      <c r="O14" s="284"/>
      <c r="P14" s="284"/>
      <c r="Q14" s="284"/>
      <c r="R14" s="284"/>
      <c r="S14" s="284"/>
      <c r="T14" s="284"/>
      <c r="U14" s="284"/>
      <c r="V14" s="284"/>
    </row>
    <row r="15" spans="1:22" s="92" customFormat="1" ht="12" customHeight="1" x14ac:dyDescent="0.3">
      <c r="B15" s="92" t="s">
        <v>177</v>
      </c>
      <c r="C15" s="122">
        <v>0.02</v>
      </c>
      <c r="M15" s="284"/>
      <c r="N15" s="284"/>
      <c r="O15" s="284"/>
      <c r="P15" s="284"/>
      <c r="Q15" s="284"/>
      <c r="R15" s="284"/>
      <c r="S15" s="284"/>
      <c r="T15" s="284"/>
      <c r="U15" s="284"/>
      <c r="V15" s="284"/>
    </row>
    <row r="16" spans="1:22" s="92" customFormat="1" ht="12" customHeight="1" x14ac:dyDescent="0.3">
      <c r="B16" s="92" t="s">
        <v>165</v>
      </c>
      <c r="C16" s="122">
        <f ca="1">WACC!E16</f>
        <v>5.4479256081815808E-2</v>
      </c>
      <c r="M16" s="284"/>
      <c r="N16" s="284"/>
      <c r="O16" s="284"/>
      <c r="P16" s="284"/>
      <c r="Q16" s="284"/>
      <c r="R16" s="284"/>
      <c r="S16" s="284"/>
      <c r="T16" s="284"/>
      <c r="U16" s="284"/>
      <c r="V16" s="284"/>
    </row>
    <row r="17" spans="1:22" ht="12" customHeight="1" x14ac:dyDescent="0.3">
      <c r="A17" s="444" t="s">
        <v>169</v>
      </c>
      <c r="B17" s="445"/>
      <c r="C17" s="446"/>
      <c r="D17" s="442">
        <f>D4</f>
        <v>2021</v>
      </c>
      <c r="E17" s="443">
        <f>D$17+1</f>
        <v>2022</v>
      </c>
      <c r="F17" s="443">
        <f t="shared" ref="F17:J17" si="1">E$17+1</f>
        <v>2023</v>
      </c>
      <c r="G17" s="443">
        <f t="shared" si="1"/>
        <v>2024</v>
      </c>
      <c r="H17" s="443">
        <f t="shared" si="1"/>
        <v>2025</v>
      </c>
      <c r="I17" s="443">
        <f t="shared" si="1"/>
        <v>2026</v>
      </c>
      <c r="J17" s="443">
        <f t="shared" si="1"/>
        <v>2027</v>
      </c>
      <c r="K17" s="453" t="s">
        <v>155</v>
      </c>
      <c r="L17" s="377"/>
      <c r="M17" s="284"/>
      <c r="N17" s="284"/>
      <c r="O17" s="284"/>
      <c r="P17" s="284"/>
      <c r="Q17" s="284"/>
      <c r="R17" s="284"/>
      <c r="S17" s="284"/>
      <c r="T17" s="284"/>
      <c r="U17" s="284"/>
      <c r="V17" s="284"/>
    </row>
    <row r="18" spans="1:22" s="92" customFormat="1" ht="12" customHeight="1" x14ac:dyDescent="0.3">
      <c r="B18" s="92" t="s">
        <v>144</v>
      </c>
      <c r="D18" s="93">
        <f>'SBUX_Income Statement'!B16</f>
        <v>29060600</v>
      </c>
      <c r="E18" s="93">
        <f>D18*(1+$E$5-$E$6*(E17-$E$17))</f>
        <v>32547872.000000004</v>
      </c>
      <c r="F18" s="93">
        <f>E18*(1+$E$5-$E$6*(F17-$E$17))</f>
        <v>35965398.56000001</v>
      </c>
      <c r="G18" s="93">
        <f t="shared" ref="G18:J18" si="2">F18*(1+$E$5-$E$6*(G17-$E$17))</f>
        <v>39202284.430400014</v>
      </c>
      <c r="H18" s="93">
        <f t="shared" si="2"/>
        <v>42142455.762680024</v>
      </c>
      <c r="I18" s="93">
        <f t="shared" si="2"/>
        <v>44671003.108440831</v>
      </c>
      <c r="J18" s="93">
        <f t="shared" si="2"/>
        <v>46681198.248320676</v>
      </c>
      <c r="K18" s="93"/>
      <c r="L18" s="93"/>
      <c r="M18" s="284"/>
      <c r="N18" s="284"/>
      <c r="O18" s="284"/>
      <c r="P18" s="284"/>
      <c r="Q18" s="284"/>
      <c r="R18" s="284"/>
      <c r="S18" s="284"/>
      <c r="T18" s="284"/>
      <c r="U18" s="284"/>
      <c r="V18" s="284"/>
    </row>
    <row r="19" spans="1:22" s="92" customFormat="1" ht="12" customHeight="1" x14ac:dyDescent="0.3">
      <c r="B19" s="92" t="s">
        <v>145</v>
      </c>
      <c r="D19" s="93">
        <f>'SBUX_Income Statement'!B18</f>
        <v>8738700</v>
      </c>
      <c r="E19" s="434">
        <f>$E8*E$18</f>
        <v>10302090.098518239</v>
      </c>
      <c r="F19" s="434">
        <f t="shared" ref="F19:J19" si="3">$E8*F$18</f>
        <v>11383809.558862656</v>
      </c>
      <c r="G19" s="434">
        <f t="shared" si="3"/>
        <v>12408352.419160295</v>
      </c>
      <c r="H19" s="434">
        <f t="shared" si="3"/>
        <v>13338978.85059732</v>
      </c>
      <c r="I19" s="434">
        <f t="shared" si="3"/>
        <v>14139317.581633162</v>
      </c>
      <c r="J19" s="434">
        <f t="shared" si="3"/>
        <v>14775586.872806657</v>
      </c>
      <c r="K19" s="93"/>
      <c r="L19" s="93"/>
      <c r="M19" s="284"/>
      <c r="N19" s="284"/>
      <c r="O19" s="284"/>
      <c r="P19" s="284"/>
      <c r="Q19" s="284"/>
      <c r="R19" s="284"/>
      <c r="S19" s="284"/>
      <c r="T19" s="284"/>
      <c r="U19" s="284"/>
      <c r="V19" s="284"/>
    </row>
    <row r="20" spans="1:22" s="92" customFormat="1" ht="12" customHeight="1" x14ac:dyDescent="0.3">
      <c r="B20" s="92" t="s">
        <v>150</v>
      </c>
      <c r="D20" s="92">
        <f>('SBUX_Income Statement'!B24-'SBUX_Income Statement'!B18-'SBUX_Income Statement'!B21)</f>
        <v>14393400</v>
      </c>
      <c r="E20" s="434">
        <f>$E9*E$18</f>
        <v>16273936.000000002</v>
      </c>
      <c r="F20" s="434">
        <f t="shared" ref="F20:J20" si="4">$E9*F$18</f>
        <v>17982699.280000005</v>
      </c>
      <c r="G20" s="434">
        <f t="shared" si="4"/>
        <v>19601142.215200007</v>
      </c>
      <c r="H20" s="434">
        <f t="shared" si="4"/>
        <v>21071227.881340012</v>
      </c>
      <c r="I20" s="434">
        <f t="shared" si="4"/>
        <v>22335501.554220416</v>
      </c>
      <c r="J20" s="434">
        <f t="shared" si="4"/>
        <v>23340599.124160338</v>
      </c>
      <c r="K20" s="93"/>
      <c r="L20" s="93"/>
    </row>
    <row r="21" spans="1:22" s="92" customFormat="1" ht="12" customHeight="1" x14ac:dyDescent="0.3">
      <c r="B21" s="99" t="s">
        <v>4</v>
      </c>
      <c r="C21" s="99"/>
      <c r="D21" s="99">
        <f>D18-D19-D20</f>
        <v>5928500</v>
      </c>
      <c r="E21" s="99">
        <f>E18-E19-E20</f>
        <v>5971845.9014817607</v>
      </c>
      <c r="F21" s="99">
        <f t="shared" ref="F21:J21" si="5">F18-F19-F20</f>
        <v>6598889.7211373486</v>
      </c>
      <c r="G21" s="99">
        <f t="shared" si="5"/>
        <v>7192789.7960397117</v>
      </c>
      <c r="H21" s="99">
        <f t="shared" si="5"/>
        <v>7732249.03074269</v>
      </c>
      <c r="I21" s="99">
        <f t="shared" si="5"/>
        <v>8196183.9725872539</v>
      </c>
      <c r="J21" s="99">
        <f t="shared" si="5"/>
        <v>8565012.2513536811</v>
      </c>
    </row>
    <row r="22" spans="1:22" s="92" customFormat="1" ht="12" customHeight="1" x14ac:dyDescent="0.3">
      <c r="B22" s="92" t="s">
        <v>5</v>
      </c>
      <c r="D22" s="92">
        <f>'SBUX_Income Statement'!B21</f>
        <v>1441700</v>
      </c>
      <c r="E22" s="434">
        <f>$E10*E$18</f>
        <v>1614704</v>
      </c>
      <c r="F22" s="434">
        <f t="shared" ref="F22:J22" si="6">$E10*F$18</f>
        <v>1784247.9200000004</v>
      </c>
      <c r="G22" s="434">
        <f t="shared" si="6"/>
        <v>1944830.2328000006</v>
      </c>
      <c r="H22" s="434">
        <f t="shared" si="6"/>
        <v>2090692.500260001</v>
      </c>
      <c r="I22" s="434">
        <f t="shared" si="6"/>
        <v>2216134.0502756014</v>
      </c>
      <c r="J22" s="434">
        <f t="shared" si="6"/>
        <v>2315860.082538004</v>
      </c>
    </row>
    <row r="23" spans="1:22" s="92" customFormat="1" ht="12" customHeight="1" x14ac:dyDescent="0.3">
      <c r="B23" s="99" t="s">
        <v>146</v>
      </c>
      <c r="C23" s="99"/>
      <c r="D23" s="99">
        <f t="shared" ref="D23" si="7">D21-D22</f>
        <v>4486800</v>
      </c>
      <c r="E23" s="102">
        <f>E21-E22</f>
        <v>4357141.9014817607</v>
      </c>
      <c r="F23" s="102">
        <f t="shared" ref="F23:J23" si="8">F21-F22</f>
        <v>4814641.8011373486</v>
      </c>
      <c r="G23" s="102">
        <f t="shared" si="8"/>
        <v>5247959.5632397113</v>
      </c>
      <c r="H23" s="102">
        <f t="shared" si="8"/>
        <v>5641556.5304826889</v>
      </c>
      <c r="I23" s="102">
        <f t="shared" si="8"/>
        <v>5980049.9223116525</v>
      </c>
      <c r="J23" s="102">
        <f t="shared" si="8"/>
        <v>6249152.1688156771</v>
      </c>
    </row>
    <row r="24" spans="1:22" s="92" customFormat="1" ht="12" customHeight="1" x14ac:dyDescent="0.3">
      <c r="B24" s="435" t="s">
        <v>440</v>
      </c>
      <c r="C24" s="435"/>
      <c r="D24" s="435"/>
      <c r="E24" s="434">
        <f>E23*$E$11</f>
        <v>1219999.7324148931</v>
      </c>
      <c r="F24" s="434">
        <f t="shared" ref="F24:J24" si="9">F23*$E$11</f>
        <v>1348099.7043184577</v>
      </c>
      <c r="G24" s="434">
        <f t="shared" si="9"/>
        <v>1469428.6777071194</v>
      </c>
      <c r="H24" s="434">
        <f t="shared" si="9"/>
        <v>1579635.8285351531</v>
      </c>
      <c r="I24" s="434">
        <f t="shared" si="9"/>
        <v>1674413.9782472628</v>
      </c>
      <c r="J24" s="434">
        <f t="shared" si="9"/>
        <v>1749762.6072683898</v>
      </c>
    </row>
    <row r="25" spans="1:22" s="92" customFormat="1" ht="12" customHeight="1" x14ac:dyDescent="0.3">
      <c r="B25" s="436" t="s">
        <v>147</v>
      </c>
      <c r="C25" s="437"/>
      <c r="D25" s="437">
        <f>'Historical Ratios'!H7</f>
        <v>3082800</v>
      </c>
      <c r="E25" s="438">
        <f>E23-E24</f>
        <v>3137142.1690668678</v>
      </c>
      <c r="F25" s="438">
        <f t="shared" ref="F25:J25" si="10">F23-F24</f>
        <v>3466542.0968188909</v>
      </c>
      <c r="G25" s="438">
        <f t="shared" si="10"/>
        <v>3778530.885532592</v>
      </c>
      <c r="H25" s="438">
        <f t="shared" si="10"/>
        <v>4061920.7019475359</v>
      </c>
      <c r="I25" s="438">
        <f t="shared" si="10"/>
        <v>4305635.9440643899</v>
      </c>
      <c r="J25" s="438">
        <f t="shared" si="10"/>
        <v>4499389.5615472868</v>
      </c>
    </row>
    <row r="26" spans="1:22" s="92" customFormat="1" ht="12" customHeight="1" x14ac:dyDescent="0.3">
      <c r="B26" s="99" t="s">
        <v>153</v>
      </c>
      <c r="C26" s="94"/>
      <c r="D26" s="102"/>
      <c r="E26" s="102">
        <f t="shared" ref="E26:J26" si="11">E25+E22</f>
        <v>4751846.1690668678</v>
      </c>
      <c r="F26" s="102">
        <f t="shared" si="11"/>
        <v>5250790.0168188913</v>
      </c>
      <c r="G26" s="102">
        <f t="shared" si="11"/>
        <v>5723361.1183325928</v>
      </c>
      <c r="H26" s="102">
        <f t="shared" si="11"/>
        <v>6152613.2022075374</v>
      </c>
      <c r="I26" s="102">
        <f t="shared" si="11"/>
        <v>6521769.9943399914</v>
      </c>
      <c r="J26" s="102">
        <f t="shared" si="11"/>
        <v>6815249.6440852908</v>
      </c>
    </row>
    <row r="27" spans="1:22" s="92" customFormat="1" ht="12" customHeight="1" x14ac:dyDescent="0.3">
      <c r="B27" s="100" t="s">
        <v>152</v>
      </c>
      <c r="D27" s="93"/>
      <c r="E27" s="93">
        <f>E$18/$E$13-D14+E22</f>
        <v>2675240.8001995105</v>
      </c>
      <c r="F27" s="93">
        <f>F$18/$E$13-E$18/$E$13+F22</f>
        <v>2564401.7840209506</v>
      </c>
      <c r="G27" s="93">
        <f>G$18/$E$13-F$18/$E$13+G22</f>
        <v>2683747.3925798424</v>
      </c>
      <c r="H27" s="93">
        <f t="shared" ref="H27:J27" si="12">H$18/$E$13-G$18/$E$13+H22</f>
        <v>2761875.5870600268</v>
      </c>
      <c r="I27" s="93">
        <f t="shared" si="12"/>
        <v>2793351.5049236212</v>
      </c>
      <c r="J27" s="93">
        <f t="shared" si="12"/>
        <v>2774747.958983182</v>
      </c>
    </row>
    <row r="28" spans="1:22" s="92" customFormat="1" ht="12" customHeight="1" x14ac:dyDescent="0.3">
      <c r="B28" s="100" t="s">
        <v>170</v>
      </c>
      <c r="D28" s="93">
        <f>'Historical Ratios'!C4</f>
        <v>4930750</v>
      </c>
      <c r="E28" s="93">
        <f>$E$12*E$18</f>
        <v>5522440</v>
      </c>
      <c r="F28" s="93">
        <f t="shared" ref="F28:J28" si="13">$E$12*F$18</f>
        <v>6102296.2000000011</v>
      </c>
      <c r="G28" s="93">
        <f t="shared" si="13"/>
        <v>6651502.8580000019</v>
      </c>
      <c r="H28" s="93">
        <f t="shared" si="13"/>
        <v>7150365.5723500038</v>
      </c>
      <c r="I28" s="93">
        <f t="shared" si="13"/>
        <v>7579387.5066910051</v>
      </c>
      <c r="J28" s="93">
        <f t="shared" si="13"/>
        <v>7920459.9444921017</v>
      </c>
    </row>
    <row r="29" spans="1:22" s="92" customFormat="1" ht="12" customHeight="1" x14ac:dyDescent="0.3">
      <c r="B29" s="100" t="s">
        <v>171</v>
      </c>
      <c r="D29" s="93"/>
      <c r="E29" s="93">
        <f t="shared" ref="E29:J29" si="14">E28-D28</f>
        <v>591690</v>
      </c>
      <c r="F29" s="93">
        <f t="shared" si="14"/>
        <v>579856.20000000112</v>
      </c>
      <c r="G29" s="93">
        <f t="shared" si="14"/>
        <v>549206.65800000075</v>
      </c>
      <c r="H29" s="93">
        <f t="shared" si="14"/>
        <v>498862.71435000189</v>
      </c>
      <c r="I29" s="93">
        <f>I28-H28</f>
        <v>429021.93434100132</v>
      </c>
      <c r="J29" s="93">
        <f t="shared" si="14"/>
        <v>341072.43780109659</v>
      </c>
    </row>
    <row r="30" spans="1:22" s="92" customFormat="1" ht="12" customHeight="1" x14ac:dyDescent="0.3">
      <c r="B30" s="99" t="s">
        <v>151</v>
      </c>
      <c r="C30" s="94"/>
      <c r="D30" s="95"/>
      <c r="E30" s="102">
        <f t="shared" ref="E30:J30" si="15">E26-E27-E29</f>
        <v>1484915.3688673573</v>
      </c>
      <c r="F30" s="102">
        <f t="shared" si="15"/>
        <v>2106532.0327979396</v>
      </c>
      <c r="G30" s="102">
        <f t="shared" si="15"/>
        <v>2490407.0677527497</v>
      </c>
      <c r="H30" s="102">
        <f t="shared" si="15"/>
        <v>2891874.9007975087</v>
      </c>
      <c r="I30" s="102">
        <f t="shared" si="15"/>
        <v>3299396.5550753688</v>
      </c>
      <c r="J30" s="102">
        <f t="shared" si="15"/>
        <v>3699429.2473010123</v>
      </c>
      <c r="K30" s="99">
        <f ca="1">J30*(1+$C$15)/($C$16-$C$15)</f>
        <v>109440233.37664513</v>
      </c>
      <c r="L30" s="100"/>
    </row>
    <row r="31" spans="1:22" s="92" customFormat="1" ht="12" customHeight="1" x14ac:dyDescent="0.3">
      <c r="B31" s="100"/>
      <c r="D31" s="93"/>
      <c r="E31" s="105"/>
      <c r="F31" s="105"/>
      <c r="G31" s="105"/>
      <c r="H31" s="105"/>
      <c r="I31" s="105"/>
      <c r="J31" s="105"/>
      <c r="K31" s="100"/>
      <c r="L31" s="100"/>
    </row>
    <row r="32" spans="1:22" s="92" customFormat="1" ht="12" customHeight="1" x14ac:dyDescent="0.35">
      <c r="B32" s="117" t="s">
        <v>175</v>
      </c>
      <c r="C32" s="280">
        <f>'SBUX_Income Statement'!B49*1000</f>
        <v>1185500000</v>
      </c>
      <c r="D32" s="93"/>
      <c r="E32" s="105"/>
      <c r="F32" s="105"/>
      <c r="G32" s="105"/>
      <c r="H32" s="105"/>
      <c r="I32" s="105"/>
      <c r="J32" s="100"/>
    </row>
    <row r="33" spans="1:12" ht="12" customHeight="1" x14ac:dyDescent="0.3">
      <c r="A33" s="439" t="s">
        <v>379</v>
      </c>
      <c r="B33" s="439"/>
      <c r="C33" s="439"/>
      <c r="D33" s="439"/>
      <c r="E33" s="439"/>
      <c r="F33" s="439"/>
      <c r="G33" s="439"/>
      <c r="H33" s="439"/>
      <c r="I33" s="439"/>
      <c r="J33" s="439"/>
      <c r="K33" s="439"/>
      <c r="L33" s="370"/>
    </row>
    <row r="34" spans="1:12" ht="12" customHeight="1" x14ac:dyDescent="0.3">
      <c r="A34" s="447"/>
      <c r="B34" s="447"/>
      <c r="C34" s="447"/>
      <c r="D34" s="447"/>
      <c r="E34" s="447"/>
      <c r="F34" s="447"/>
      <c r="G34" s="447"/>
      <c r="H34" s="447"/>
      <c r="I34" s="447"/>
      <c r="J34" s="447"/>
      <c r="K34" s="447"/>
      <c r="L34" s="370"/>
    </row>
    <row r="35" spans="1:12" s="285" customFormat="1" ht="13" x14ac:dyDescent="0.3">
      <c r="A35" s="286" t="s">
        <v>380</v>
      </c>
      <c r="B35" s="287"/>
      <c r="C35" s="287"/>
      <c r="D35" s="287"/>
      <c r="E35" s="288"/>
      <c r="F35" s="286" t="s">
        <v>381</v>
      </c>
      <c r="G35" s="287"/>
      <c r="H35" s="287"/>
      <c r="I35" s="287"/>
    </row>
    <row r="36" spans="1:12" s="285" customFormat="1" ht="13" x14ac:dyDescent="0.3">
      <c r="A36" s="288"/>
      <c r="B36" s="288"/>
      <c r="C36" s="288"/>
      <c r="D36" s="288"/>
      <c r="E36" s="288"/>
      <c r="F36" s="288"/>
      <c r="G36" s="288"/>
      <c r="H36" s="288"/>
      <c r="I36" s="288"/>
    </row>
    <row r="37" spans="1:12" s="285" customFormat="1" ht="13" x14ac:dyDescent="0.3">
      <c r="A37" s="288" t="s">
        <v>165</v>
      </c>
      <c r="B37" s="288"/>
      <c r="C37" s="288"/>
      <c r="D37" s="289">
        <f ca="1">C16</f>
        <v>5.4479256081815808E-2</v>
      </c>
      <c r="E37" s="288"/>
      <c r="F37" s="288" t="s">
        <v>176</v>
      </c>
      <c r="G37" s="288"/>
      <c r="H37" s="288"/>
      <c r="I37" s="289">
        <f ca="1">C16</f>
        <v>5.4479256081815808E-2</v>
      </c>
    </row>
    <row r="38" spans="1:12" s="285" customFormat="1" ht="13" x14ac:dyDescent="0.3">
      <c r="A38" s="288" t="s">
        <v>367</v>
      </c>
      <c r="B38" s="288"/>
      <c r="C38" s="288"/>
      <c r="D38" s="290">
        <f ca="1">NPV(C16,E30:J30)</f>
        <v>12987355.72466071</v>
      </c>
      <c r="E38" s="288"/>
      <c r="F38" s="288" t="s">
        <v>367</v>
      </c>
      <c r="G38" s="288"/>
      <c r="H38" s="288"/>
      <c r="I38" s="290">
        <f ca="1">D38</f>
        <v>12987355.72466071</v>
      </c>
    </row>
    <row r="39" spans="1:12" s="285" customFormat="1" ht="13" x14ac:dyDescent="0.3">
      <c r="A39" s="288"/>
      <c r="B39" s="288"/>
      <c r="C39" s="288"/>
      <c r="D39" s="288"/>
      <c r="E39" s="288"/>
      <c r="F39" s="288" t="s">
        <v>375</v>
      </c>
      <c r="G39" s="288"/>
      <c r="H39" s="288"/>
      <c r="I39" s="288">
        <v>110.66</v>
      </c>
    </row>
    <row r="40" spans="1:12" s="285" customFormat="1" ht="13" x14ac:dyDescent="0.3">
      <c r="A40" s="288" t="s">
        <v>363</v>
      </c>
      <c r="B40" s="288"/>
      <c r="C40" s="288"/>
      <c r="D40" s="384">
        <v>20.5</v>
      </c>
      <c r="E40" s="288"/>
      <c r="F40" s="288" t="s">
        <v>363</v>
      </c>
      <c r="G40" s="288"/>
      <c r="H40" s="288"/>
      <c r="I40" s="291">
        <f>I39/'Historical Ratios'!C50</f>
        <v>31.240309099135569</v>
      </c>
      <c r="J40" s="301"/>
    </row>
    <row r="41" spans="1:12" s="285" customFormat="1" ht="13" x14ac:dyDescent="0.3">
      <c r="A41" s="288" t="s">
        <v>368</v>
      </c>
      <c r="B41" s="288"/>
      <c r="C41" s="288"/>
      <c r="D41" s="290">
        <f>D40*J21</f>
        <v>175582751.15275046</v>
      </c>
      <c r="E41" s="288"/>
      <c r="F41" s="288" t="s">
        <v>368</v>
      </c>
      <c r="G41" s="288"/>
      <c r="H41" s="288"/>
      <c r="I41" s="290">
        <f>I40*J25</f>
        <v>140562320.66016132</v>
      </c>
    </row>
    <row r="42" spans="1:12" s="285" customFormat="1" ht="13" x14ac:dyDescent="0.3">
      <c r="A42" s="288" t="s">
        <v>364</v>
      </c>
      <c r="B42" s="288"/>
      <c r="C42" s="288"/>
      <c r="D42" s="290">
        <f ca="1">D41/(1+C16)^6</f>
        <v>127718440.14472571</v>
      </c>
      <c r="E42" s="288"/>
      <c r="F42" s="288" t="s">
        <v>364</v>
      </c>
      <c r="G42" s="288"/>
      <c r="H42" s="288"/>
      <c r="I42" s="290">
        <f ca="1">I41/(1+I37)^6</f>
        <v>102244669.36516237</v>
      </c>
    </row>
    <row r="43" spans="1:12" s="285" customFormat="1" ht="13" x14ac:dyDescent="0.3">
      <c r="A43" s="288"/>
      <c r="B43" s="288"/>
      <c r="C43" s="288"/>
      <c r="D43" s="288"/>
      <c r="E43" s="288"/>
      <c r="F43" s="288"/>
      <c r="G43" s="288"/>
      <c r="H43" s="288"/>
      <c r="I43" s="288"/>
    </row>
    <row r="44" spans="1:12" s="285" customFormat="1" ht="13" x14ac:dyDescent="0.3">
      <c r="A44" s="288" t="s">
        <v>166</v>
      </c>
      <c r="B44" s="288"/>
      <c r="C44" s="288"/>
      <c r="D44" s="290">
        <f ca="1">D38+D42</f>
        <v>140705795.86938643</v>
      </c>
      <c r="E44" s="288"/>
      <c r="F44" s="288" t="s">
        <v>166</v>
      </c>
      <c r="G44" s="288"/>
      <c r="H44" s="288"/>
      <c r="I44" s="290">
        <f ca="1">I38+I42</f>
        <v>115232025.08982308</v>
      </c>
    </row>
    <row r="45" spans="1:12" s="285" customFormat="1" ht="13" x14ac:dyDescent="0.3">
      <c r="A45" s="288" t="s">
        <v>369</v>
      </c>
      <c r="B45" s="288"/>
      <c r="C45" s="288"/>
      <c r="D45" s="290">
        <f>-SBUX_Bonds!C23/1000</f>
        <v>-15843260.300000001</v>
      </c>
      <c r="E45" s="288"/>
      <c r="F45" s="288" t="s">
        <v>369</v>
      </c>
      <c r="G45" s="288"/>
      <c r="H45" s="288"/>
      <c r="I45" s="290">
        <f>D45</f>
        <v>-15843260.300000001</v>
      </c>
    </row>
    <row r="46" spans="1:12" s="285" customFormat="1" ht="13" x14ac:dyDescent="0.3">
      <c r="A46" s="288" t="s">
        <v>371</v>
      </c>
      <c r="B46" s="288"/>
      <c r="C46" s="288"/>
      <c r="D46" s="290">
        <f>SBUX_BS!B17</f>
        <v>162200</v>
      </c>
      <c r="E46" s="288"/>
      <c r="F46" s="288" t="str">
        <f>A46</f>
        <v>Plus Short-Term Investments</v>
      </c>
      <c r="G46" s="288"/>
      <c r="H46" s="288"/>
      <c r="I46" s="290">
        <f>D46</f>
        <v>162200</v>
      </c>
    </row>
    <row r="47" spans="1:12" s="285" customFormat="1" ht="13" x14ac:dyDescent="0.3">
      <c r="A47" s="288" t="s">
        <v>167</v>
      </c>
      <c r="B47" s="288"/>
      <c r="C47" s="288"/>
      <c r="D47" s="290">
        <f ca="1">SUM(D44:D46)</f>
        <v>125024735.56938644</v>
      </c>
      <c r="E47" s="288"/>
      <c r="F47" s="288" t="s">
        <v>167</v>
      </c>
      <c r="G47" s="288"/>
      <c r="H47" s="288"/>
      <c r="I47" s="290">
        <f ca="1">I44+I45+I46</f>
        <v>99550964.789823085</v>
      </c>
    </row>
    <row r="48" spans="1:12" s="285" customFormat="1" ht="13" x14ac:dyDescent="0.3">
      <c r="A48" s="448" t="s">
        <v>168</v>
      </c>
      <c r="B48" s="449"/>
      <c r="C48" s="449"/>
      <c r="D48" s="450">
        <f ca="1">D44*1000/C32</f>
        <v>118.68898850222391</v>
      </c>
      <c r="E48" s="288"/>
      <c r="F48" s="448" t="s">
        <v>168</v>
      </c>
      <c r="G48" s="449"/>
      <c r="H48" s="449"/>
      <c r="I48" s="450">
        <f ca="1">I47*1000/C32</f>
        <v>83.973820995211383</v>
      </c>
    </row>
    <row r="49" spans="1:9" s="285" customFormat="1" ht="13" x14ac:dyDescent="0.3">
      <c r="A49" s="288"/>
      <c r="B49" s="288"/>
      <c r="C49" s="288"/>
      <c r="D49" s="288"/>
      <c r="E49" s="288"/>
      <c r="F49" s="288"/>
      <c r="G49" s="288"/>
      <c r="H49" s="288"/>
      <c r="I49" s="288"/>
    </row>
    <row r="50" spans="1:9" s="285" customFormat="1" ht="13" x14ac:dyDescent="0.3">
      <c r="A50" s="286" t="s">
        <v>365</v>
      </c>
      <c r="B50" s="287"/>
      <c r="C50" s="287"/>
      <c r="D50" s="287"/>
      <c r="E50" s="288"/>
      <c r="F50" s="292"/>
      <c r="G50" s="288"/>
      <c r="H50" s="288"/>
      <c r="I50" s="288"/>
    </row>
    <row r="51" spans="1:9" s="285" customFormat="1" ht="13" x14ac:dyDescent="0.3">
      <c r="A51" s="288"/>
      <c r="B51" s="288"/>
      <c r="C51" s="288"/>
      <c r="D51" s="288"/>
      <c r="E51" s="288"/>
      <c r="F51" s="288"/>
      <c r="G51" s="288"/>
      <c r="H51" s="288"/>
      <c r="I51" s="288"/>
    </row>
    <row r="52" spans="1:9" s="285" customFormat="1" ht="13" x14ac:dyDescent="0.3">
      <c r="A52" s="288" t="s">
        <v>165</v>
      </c>
      <c r="B52" s="288"/>
      <c r="C52" s="288"/>
      <c r="D52" s="289">
        <f ca="1">D37</f>
        <v>5.4479256081815808E-2</v>
      </c>
      <c r="E52" s="288"/>
      <c r="F52" s="288"/>
      <c r="G52" s="288"/>
      <c r="H52" s="288"/>
      <c r="I52" s="293"/>
    </row>
    <row r="53" spans="1:9" s="285" customFormat="1" ht="13" x14ac:dyDescent="0.3">
      <c r="A53" s="288" t="s">
        <v>367</v>
      </c>
      <c r="B53" s="288"/>
      <c r="C53" s="288"/>
      <c r="D53" s="290">
        <f ca="1">D38</f>
        <v>12987355.72466071</v>
      </c>
      <c r="E53" s="288"/>
      <c r="F53" s="294"/>
      <c r="G53" s="288"/>
      <c r="H53" s="288"/>
      <c r="I53" s="295"/>
    </row>
    <row r="54" spans="1:9" s="285" customFormat="1" ht="13" x14ac:dyDescent="0.3">
      <c r="A54" s="288"/>
      <c r="B54" s="288"/>
      <c r="C54" s="288"/>
      <c r="D54" s="288"/>
      <c r="E54" s="288"/>
      <c r="F54" s="296"/>
      <c r="G54" s="288"/>
      <c r="H54" s="288"/>
      <c r="I54" s="297"/>
    </row>
    <row r="55" spans="1:9" s="285" customFormat="1" ht="13" x14ac:dyDescent="0.3">
      <c r="A55" s="288" t="s">
        <v>177</v>
      </c>
      <c r="B55" s="288"/>
      <c r="C55" s="288"/>
      <c r="D55" s="298">
        <f>C15</f>
        <v>0.02</v>
      </c>
      <c r="E55" s="288"/>
      <c r="F55" s="288"/>
      <c r="G55" s="288"/>
      <c r="H55" s="288"/>
      <c r="I55" s="288"/>
    </row>
    <row r="56" spans="1:9" s="285" customFormat="1" ht="13" x14ac:dyDescent="0.3">
      <c r="A56" s="288" t="s">
        <v>155</v>
      </c>
      <c r="B56" s="288"/>
      <c r="C56" s="288"/>
      <c r="D56" s="290">
        <f ca="1">(J30*(1+D55))/(D52-D55)</f>
        <v>109440233.37664513</v>
      </c>
      <c r="E56" s="288"/>
      <c r="F56" s="288"/>
      <c r="G56" s="288"/>
      <c r="H56" s="288"/>
      <c r="I56" s="297"/>
    </row>
    <row r="57" spans="1:9" s="285" customFormat="1" ht="13" x14ac:dyDescent="0.3">
      <c r="A57" s="288" t="s">
        <v>364</v>
      </c>
      <c r="B57" s="288"/>
      <c r="C57" s="288"/>
      <c r="D57" s="290">
        <f ca="1">D56/(1+D52)^6</f>
        <v>79606543.377258778</v>
      </c>
      <c r="E57" s="288"/>
      <c r="F57" s="288"/>
      <c r="G57" s="288"/>
      <c r="H57" s="288"/>
      <c r="I57" s="288"/>
    </row>
    <row r="58" spans="1:9" s="285" customFormat="1" ht="13" x14ac:dyDescent="0.3">
      <c r="A58" s="288"/>
      <c r="B58" s="288"/>
      <c r="C58" s="288"/>
      <c r="D58" s="288"/>
      <c r="E58" s="288"/>
      <c r="F58" s="288"/>
      <c r="G58" s="288"/>
      <c r="H58" s="288"/>
      <c r="I58" s="288"/>
    </row>
    <row r="59" spans="1:9" s="285" customFormat="1" ht="13" x14ac:dyDescent="0.3">
      <c r="A59" s="288" t="s">
        <v>166</v>
      </c>
      <c r="B59" s="288"/>
      <c r="C59" s="288"/>
      <c r="D59" s="290">
        <f ca="1">D53+D57</f>
        <v>92593899.101919487</v>
      </c>
      <c r="E59" s="288"/>
      <c r="F59" s="288"/>
      <c r="G59" s="288"/>
      <c r="H59" s="288"/>
      <c r="I59" s="288"/>
    </row>
    <row r="60" spans="1:9" s="285" customFormat="1" ht="13" x14ac:dyDescent="0.3">
      <c r="A60" s="288" t="s">
        <v>369</v>
      </c>
      <c r="B60" s="288"/>
      <c r="C60" s="288"/>
      <c r="D60" s="290">
        <f>D45</f>
        <v>-15843260.300000001</v>
      </c>
      <c r="E60" s="288"/>
      <c r="F60" s="288"/>
      <c r="G60" s="288"/>
      <c r="H60" s="288"/>
      <c r="I60" s="288"/>
    </row>
    <row r="61" spans="1:9" s="285" customFormat="1" ht="13" x14ac:dyDescent="0.3">
      <c r="A61" s="288" t="str">
        <f>A46</f>
        <v>Plus Short-Term Investments</v>
      </c>
      <c r="B61" s="288"/>
      <c r="C61" s="288"/>
      <c r="D61" s="290">
        <f>D46</f>
        <v>162200</v>
      </c>
      <c r="E61" s="288"/>
      <c r="F61" s="288"/>
      <c r="G61" s="288"/>
      <c r="H61" s="288"/>
      <c r="I61" s="288"/>
    </row>
    <row r="62" spans="1:9" s="285" customFormat="1" ht="13" x14ac:dyDescent="0.3">
      <c r="A62" s="288" t="s">
        <v>167</v>
      </c>
      <c r="B62" s="288"/>
      <c r="C62" s="288"/>
      <c r="D62" s="290">
        <f ca="1">D59+D60+D61</f>
        <v>76912838.80191949</v>
      </c>
      <c r="E62" s="288"/>
      <c r="F62" s="288"/>
      <c r="G62" s="288"/>
      <c r="H62" s="288"/>
      <c r="I62" s="288"/>
    </row>
    <row r="63" spans="1:9" s="92" customFormat="1" ht="13" x14ac:dyDescent="0.3">
      <c r="A63" s="448" t="s">
        <v>168</v>
      </c>
      <c r="B63" s="449"/>
      <c r="C63" s="449"/>
      <c r="D63" s="450">
        <f ca="1">D62*1000/C32</f>
        <v>64.877974527135805</v>
      </c>
      <c r="E63" s="118"/>
      <c r="F63" s="288"/>
      <c r="G63" s="288"/>
      <c r="H63" s="288"/>
      <c r="I63" s="288"/>
    </row>
    <row r="64" spans="1:9" ht="12" customHeight="1" x14ac:dyDescent="0.3">
      <c r="A64" s="92"/>
      <c r="B64" s="118"/>
      <c r="C64" s="118"/>
      <c r="D64" s="118"/>
      <c r="E64" s="118"/>
      <c r="F64" s="93"/>
      <c r="G64" s="93"/>
      <c r="H64" s="93"/>
      <c r="I64" s="92"/>
    </row>
    <row r="65" spans="1:11" s="97" customFormat="1" ht="13" x14ac:dyDescent="0.3">
      <c r="A65" s="82" t="s">
        <v>433</v>
      </c>
      <c r="B65" s="123"/>
      <c r="C65" s="108"/>
      <c r="D65" s="378">
        <f ca="1">(D48+I48+D63)/3</f>
        <v>89.180261341523703</v>
      </c>
      <c r="E65" s="119"/>
      <c r="F65" s="93"/>
      <c r="G65" s="93"/>
      <c r="H65" s="93"/>
      <c r="I65" s="86"/>
    </row>
    <row r="66" spans="1:11" ht="12" customHeight="1" x14ac:dyDescent="0.3">
      <c r="A66" s="97"/>
      <c r="B66" s="124"/>
      <c r="C66" s="124"/>
      <c r="D66" s="119"/>
      <c r="E66" s="120"/>
      <c r="F66" s="98"/>
      <c r="G66" s="98"/>
      <c r="H66" s="98"/>
      <c r="I66" s="97"/>
    </row>
    <row r="67" spans="1:11" ht="12" customHeight="1" x14ac:dyDescent="0.3">
      <c r="A67" s="439" t="s">
        <v>434</v>
      </c>
      <c r="B67" s="439"/>
      <c r="C67" s="439"/>
      <c r="D67" s="439"/>
      <c r="E67" s="439"/>
      <c r="F67" s="439"/>
      <c r="G67" s="439"/>
      <c r="H67" s="439"/>
      <c r="I67" s="439"/>
      <c r="J67" s="439"/>
      <c r="K67" s="439"/>
    </row>
    <row r="68" spans="1:11" ht="12" customHeight="1" x14ac:dyDescent="0.3">
      <c r="A68" s="439" t="s">
        <v>437</v>
      </c>
      <c r="B68" s="439"/>
      <c r="C68" s="439"/>
      <c r="D68" s="439"/>
      <c r="E68" s="439"/>
      <c r="F68" s="439"/>
      <c r="G68" s="439"/>
      <c r="H68" s="439"/>
      <c r="I68" s="439"/>
      <c r="J68" s="439"/>
      <c r="K68" s="439"/>
    </row>
    <row r="69" spans="1:11" ht="12" customHeight="1" x14ac:dyDescent="0.3">
      <c r="B69" s="379"/>
      <c r="C69" s="82" t="s">
        <v>435</v>
      </c>
    </row>
    <row r="70" spans="1:11" ht="12" customHeight="1" x14ac:dyDescent="0.3">
      <c r="B70" s="383">
        <f ca="1">D48</f>
        <v>118.68898850222391</v>
      </c>
      <c r="C70" s="380">
        <v>0.1</v>
      </c>
      <c r="D70" s="380">
        <v>0.11</v>
      </c>
      <c r="E70" s="380">
        <v>0.12</v>
      </c>
      <c r="F70" s="380">
        <f t="shared" ref="F70:G70" si="16">E70+0.01</f>
        <v>0.13</v>
      </c>
      <c r="G70" s="380">
        <f t="shared" si="16"/>
        <v>0.14000000000000001</v>
      </c>
    </row>
    <row r="71" spans="1:11" ht="12" customHeight="1" x14ac:dyDescent="0.3">
      <c r="A71" s="82" t="s">
        <v>82</v>
      </c>
      <c r="B71" s="382">
        <v>18.5</v>
      </c>
      <c r="C71" s="284">
        <f t="dataTable" ref="C71:G75" dt2D="1" dtr="1" r1="E5" r2="D40" ca="1"/>
        <v>98.224203890226192</v>
      </c>
      <c r="D71" s="284">
        <v>103.08835574840926</v>
      </c>
      <c r="E71" s="284">
        <v>108.17837220203351</v>
      </c>
      <c r="F71" s="284">
        <v>113.50267923608058</v>
      </c>
      <c r="G71" s="284">
        <v>119.06993768143798</v>
      </c>
    </row>
    <row r="72" spans="1:11" ht="12" customHeight="1" x14ac:dyDescent="0.3">
      <c r="A72" s="82"/>
      <c r="B72" s="382">
        <v>19.5</v>
      </c>
      <c r="C72" s="284">
        <v>102.92289216045918</v>
      </c>
      <c r="D72" s="284">
        <v>108.05886490153198</v>
      </c>
      <c r="E72" s="284">
        <v>113.43368035212869</v>
      </c>
      <c r="F72" s="284">
        <v>119.05625548943898</v>
      </c>
      <c r="G72" s="284">
        <v>124.93575593667599</v>
      </c>
    </row>
    <row r="73" spans="1:11" ht="12" customHeight="1" x14ac:dyDescent="0.3">
      <c r="B73" s="382">
        <v>20.5</v>
      </c>
      <c r="C73" s="284">
        <v>107.62158043069219</v>
      </c>
      <c r="D73" s="284">
        <v>113.0293740546547</v>
      </c>
      <c r="E73" s="385">
        <v>118.68898850222391</v>
      </c>
      <c r="F73" s="284">
        <v>124.60983174279737</v>
      </c>
      <c r="G73" s="284">
        <v>130.801574191914</v>
      </c>
    </row>
    <row r="74" spans="1:11" ht="12" customHeight="1" x14ac:dyDescent="0.3">
      <c r="B74" s="382">
        <f t="shared" ref="B74:B75" si="17">B73+0.5</f>
        <v>21</v>
      </c>
      <c r="C74" s="284">
        <v>109.97092456580867</v>
      </c>
      <c r="D74" s="284">
        <v>115.51462863121607</v>
      </c>
      <c r="E74" s="284">
        <v>121.31664257727148</v>
      </c>
      <c r="F74" s="284">
        <v>127.38661986947656</v>
      </c>
      <c r="G74" s="284">
        <v>133.73448331953298</v>
      </c>
    </row>
    <row r="75" spans="1:11" ht="12" customHeight="1" x14ac:dyDescent="0.3">
      <c r="B75" s="382">
        <f t="shared" si="17"/>
        <v>21.5</v>
      </c>
      <c r="C75" s="284">
        <v>112.32026870092517</v>
      </c>
      <c r="D75" s="284">
        <v>117.99988320777744</v>
      </c>
      <c r="E75" s="284">
        <v>123.94429665231907</v>
      </c>
      <c r="F75" s="284">
        <v>130.16340799615577</v>
      </c>
      <c r="G75" s="284">
        <v>136.667392447152</v>
      </c>
    </row>
    <row r="77" spans="1:11" ht="12" customHeight="1" x14ac:dyDescent="0.3">
      <c r="A77" s="439" t="s">
        <v>438</v>
      </c>
      <c r="B77" s="439"/>
      <c r="C77" s="439"/>
      <c r="D77" s="439"/>
      <c r="E77" s="439"/>
      <c r="F77" s="439"/>
      <c r="G77" s="439"/>
      <c r="H77" s="439"/>
      <c r="I77" s="439"/>
      <c r="J77" s="439"/>
      <c r="K77" s="439"/>
    </row>
    <row r="78" spans="1:11" ht="12" customHeight="1" x14ac:dyDescent="0.3">
      <c r="B78" s="379"/>
      <c r="C78" s="82" t="s">
        <v>177</v>
      </c>
    </row>
    <row r="79" spans="1:11" ht="12" customHeight="1" x14ac:dyDescent="0.3">
      <c r="B79" s="383">
        <f ca="1">D65</f>
        <v>89.180261341523703</v>
      </c>
      <c r="C79" s="381">
        <v>0.01</v>
      </c>
      <c r="D79" s="381">
        <v>1.4999999999999999E-2</v>
      </c>
      <c r="E79" s="381">
        <v>0.02</v>
      </c>
      <c r="F79" s="381">
        <v>2.5000000000000001E-2</v>
      </c>
      <c r="G79" s="381">
        <v>0.03</v>
      </c>
    </row>
    <row r="80" spans="1:11" ht="12" customHeight="1" x14ac:dyDescent="0.3">
      <c r="A80" s="82" t="s">
        <v>165</v>
      </c>
      <c r="B80" s="387">
        <v>5.5E-2</v>
      </c>
      <c r="C80" s="284">
        <f t="dataTable" ref="C80:G84" dt2D="1" dtr="1" r1="C15" r2="C16"/>
        <v>83.516834557320763</v>
      </c>
      <c r="D80" s="284">
        <v>85.727622634483055</v>
      </c>
      <c r="E80" s="284">
        <v>88.57006444797743</v>
      </c>
      <c r="F80" s="284">
        <v>92.35998686596993</v>
      </c>
      <c r="G80" s="284">
        <v>97.665878251159441</v>
      </c>
    </row>
    <row r="81" spans="1:7" ht="12" customHeight="1" x14ac:dyDescent="0.3">
      <c r="A81" s="82"/>
      <c r="B81" s="387">
        <v>5.8000000000000003E-2</v>
      </c>
      <c r="C81" s="284">
        <v>80.983285944269241</v>
      </c>
      <c r="D81" s="284">
        <v>82.884118605087039</v>
      </c>
      <c r="E81" s="284">
        <v>85.285170387172698</v>
      </c>
      <c r="F81" s="284">
        <v>88.413813618375215</v>
      </c>
      <c r="G81" s="284">
        <v>92.659829432150048</v>
      </c>
    </row>
    <row r="82" spans="1:7" ht="12" customHeight="1" x14ac:dyDescent="0.3">
      <c r="B82" s="387">
        <v>5.9499999999999997E-2</v>
      </c>
      <c r="C82" s="284">
        <v>79.787474189245103</v>
      </c>
      <c r="D82" s="284">
        <v>81.556002033521537</v>
      </c>
      <c r="E82" s="385">
        <v>83.772258445969229</v>
      </c>
      <c r="F82" s="284">
        <v>86.630908021445236</v>
      </c>
      <c r="G82" s="284">
        <v>90.458591351319896</v>
      </c>
    </row>
    <row r="83" spans="1:7" ht="12" customHeight="1" x14ac:dyDescent="0.3">
      <c r="B83" s="387">
        <v>6.0999999999999999E-2</v>
      </c>
      <c r="C83" s="284">
        <v>78.633985912519833</v>
      </c>
      <c r="D83" s="284">
        <v>80.282820123039627</v>
      </c>
      <c r="E83" s="284">
        <v>82.333809019052055</v>
      </c>
      <c r="F83" s="284">
        <v>84.954517052845702</v>
      </c>
      <c r="G83" s="284">
        <v>88.420614774959873</v>
      </c>
    </row>
    <row r="84" spans="1:7" ht="12" customHeight="1" x14ac:dyDescent="0.3">
      <c r="B84" s="387">
        <v>6.5000000000000002E-2</v>
      </c>
      <c r="C84" s="284">
        <v>75.741591684493429</v>
      </c>
      <c r="D84" s="284">
        <v>77.121979713413666</v>
      </c>
      <c r="E84" s="284">
        <v>78.809120637649514</v>
      </c>
      <c r="F84" s="284">
        <v>80.91804679294431</v>
      </c>
      <c r="G84" s="284">
        <v>83.629523278323347</v>
      </c>
    </row>
  </sheetData>
  <scenarios current="0" show="1">
    <scenario name="WACC low" locked="1" count="1" user="Author" comment="Created by Author on 11/28/2021">
      <inputCells r="C16" val="0.055" numFmtId="10"/>
    </scenario>
    <scenario name="WACC medium" locked="1" count="1" user="Author" comment="Created by Author on 11/28/2021_x000a_Modified by Author on 11/28/2021">
      <inputCells r="C16" val="0.0595" numFmtId="10"/>
    </scenario>
    <scenario name="WACC high" locked="1" count="1" user="Author" comment="Created by Author on 11/28/2021">
      <inputCells r="C16" val="0.0615" numFmtId="10"/>
    </scenario>
  </scenarios>
  <mergeCells count="6">
    <mergeCell ref="A68:K68"/>
    <mergeCell ref="A77:K77"/>
    <mergeCell ref="A2:K2"/>
    <mergeCell ref="A33:K33"/>
    <mergeCell ref="A67:K67"/>
    <mergeCell ref="D3:E3"/>
  </mergeCells>
  <pageMargins left="0.75" right="0.75" top="0.56000000000000005" bottom="0.5600000000000000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L100"/>
  <sheetViews>
    <sheetView showGridLines="0" topLeftCell="B1" zoomScale="90" zoomScaleNormal="90" workbookViewId="0">
      <selection activeCell="L48" sqref="L48"/>
    </sheetView>
  </sheetViews>
  <sheetFormatPr defaultColWidth="8.7265625" defaultRowHeight="12.5" x14ac:dyDescent="0.25"/>
  <cols>
    <col min="1" max="1" width="55.26953125" style="142" bestFit="1" customWidth="1"/>
    <col min="2" max="2" width="16.81640625" style="142" customWidth="1"/>
    <col min="3" max="4" width="14.81640625" style="142" bestFit="1" customWidth="1"/>
    <col min="5" max="7" width="13.81640625" style="142" bestFit="1" customWidth="1"/>
    <col min="8" max="8" width="8.7265625" style="142"/>
    <col min="9" max="9" width="12.1796875" style="142" bestFit="1" customWidth="1"/>
    <col min="10" max="10" width="11.81640625" style="142" bestFit="1" customWidth="1"/>
    <col min="11" max="11" width="12.54296875" style="142" customWidth="1"/>
    <col min="12" max="12" width="13.54296875" style="142" customWidth="1"/>
    <col min="13" max="16384" width="8.7265625" style="142"/>
  </cols>
  <sheetData>
    <row r="4" spans="1:12" x14ac:dyDescent="0.25">
      <c r="A4" s="143" t="s">
        <v>190</v>
      </c>
      <c r="B4" s="143"/>
    </row>
    <row r="5" spans="1:12" ht="20" x14ac:dyDescent="0.4">
      <c r="A5" s="144" t="s">
        <v>191</v>
      </c>
      <c r="B5" s="144"/>
    </row>
    <row r="7" spans="1:12" x14ac:dyDescent="0.25">
      <c r="A7" s="145" t="s">
        <v>0</v>
      </c>
      <c r="B7" s="145"/>
    </row>
    <row r="9" spans="1:12" x14ac:dyDescent="0.25">
      <c r="A9" s="173" t="s">
        <v>326</v>
      </c>
      <c r="B9" s="173"/>
    </row>
    <row r="10" spans="1:12" ht="13" x14ac:dyDescent="0.25">
      <c r="A10" s="177" t="s">
        <v>33</v>
      </c>
      <c r="B10" s="177"/>
    </row>
    <row r="11" spans="1:12" ht="17.5" customHeight="1" x14ac:dyDescent="0.25">
      <c r="A11" s="146" t="s">
        <v>1</v>
      </c>
      <c r="B11" s="203">
        <v>44472</v>
      </c>
      <c r="C11" s="147" t="s">
        <v>192</v>
      </c>
      <c r="D11" s="147" t="s">
        <v>193</v>
      </c>
      <c r="E11" s="147" t="s">
        <v>194</v>
      </c>
      <c r="F11" s="147" t="s">
        <v>195</v>
      </c>
      <c r="G11" s="147" t="s">
        <v>196</v>
      </c>
      <c r="H11" s="146"/>
    </row>
    <row r="12" spans="1:12" ht="13" x14ac:dyDescent="0.25">
      <c r="A12" s="146" t="s">
        <v>2</v>
      </c>
      <c r="B12" s="147" t="s">
        <v>3</v>
      </c>
      <c r="C12" s="147" t="s">
        <v>3</v>
      </c>
      <c r="D12" s="147" t="s">
        <v>3</v>
      </c>
      <c r="E12" s="147" t="s">
        <v>3</v>
      </c>
      <c r="F12" s="147" t="s">
        <v>3</v>
      </c>
      <c r="G12" s="147" t="s">
        <v>3</v>
      </c>
      <c r="H12" s="146"/>
    </row>
    <row r="13" spans="1:12" ht="27.65" customHeight="1" x14ac:dyDescent="0.3">
      <c r="A13" s="414" t="s">
        <v>32</v>
      </c>
      <c r="B13" s="414"/>
      <c r="C13" s="414"/>
      <c r="D13" s="414"/>
      <c r="E13" s="414"/>
      <c r="F13" s="414"/>
      <c r="G13" s="414"/>
      <c r="H13" s="191" t="s">
        <v>37</v>
      </c>
      <c r="I13" s="192" t="s">
        <v>331</v>
      </c>
      <c r="J13" s="207" t="s">
        <v>332</v>
      </c>
      <c r="K13" s="207" t="s">
        <v>333</v>
      </c>
      <c r="L13" s="207" t="s">
        <v>334</v>
      </c>
    </row>
    <row r="14" spans="1:12" ht="13" x14ac:dyDescent="0.3">
      <c r="A14" s="162" t="s">
        <v>14</v>
      </c>
      <c r="B14" s="204">
        <v>6455700</v>
      </c>
      <c r="C14" s="163">
        <v>4350900</v>
      </c>
      <c r="D14" s="163">
        <v>2686600</v>
      </c>
      <c r="E14" s="163">
        <v>8756300</v>
      </c>
      <c r="F14" s="163">
        <v>2462300</v>
      </c>
      <c r="G14" s="163">
        <v>2128800</v>
      </c>
      <c r="H14" s="188">
        <f>(B14/G14)^(1/(YEAR($B$11)-YEAR($G$11)))-1</f>
        <v>0.24842281190519611</v>
      </c>
      <c r="I14" s="190">
        <f>B14/G14-1</f>
        <v>2.0325535512965049</v>
      </c>
      <c r="J14" s="190">
        <f>B14/C14-1</f>
        <v>0.48376198027994199</v>
      </c>
      <c r="K14" s="190">
        <f t="shared" ref="K14:K29" si="0">B14/$B$48</f>
        <v>0.20564400527512852</v>
      </c>
      <c r="L14" s="190">
        <f>B14/$B$27</f>
        <v>0.66168873764913283</v>
      </c>
    </row>
    <row r="15" spans="1:12" x14ac:dyDescent="0.25">
      <c r="A15" s="148" t="s">
        <v>197</v>
      </c>
      <c r="B15" s="195"/>
      <c r="C15" s="169">
        <v>216300</v>
      </c>
      <c r="D15" s="169">
        <v>4000</v>
      </c>
      <c r="E15" s="169">
        <v>106200</v>
      </c>
      <c r="F15" s="169">
        <v>151700</v>
      </c>
      <c r="G15" s="169">
        <v>65700</v>
      </c>
      <c r="H15" s="188"/>
      <c r="I15" s="190"/>
      <c r="J15" s="190"/>
      <c r="K15" s="190"/>
      <c r="L15" s="190"/>
    </row>
    <row r="16" spans="1:12" x14ac:dyDescent="0.25">
      <c r="A16" s="148" t="s">
        <v>198</v>
      </c>
      <c r="B16" s="195"/>
      <c r="C16" s="169">
        <v>64900</v>
      </c>
      <c r="D16" s="169">
        <v>66500</v>
      </c>
      <c r="E16" s="169">
        <v>75300</v>
      </c>
      <c r="F16" s="169">
        <v>76900</v>
      </c>
      <c r="G16" s="169">
        <v>68700</v>
      </c>
      <c r="H16" s="188"/>
      <c r="I16" s="190"/>
      <c r="J16" s="190"/>
      <c r="K16" s="190"/>
      <c r="L16" s="190"/>
    </row>
    <row r="17" spans="1:12" ht="13" x14ac:dyDescent="0.3">
      <c r="A17" s="161" t="s">
        <v>199</v>
      </c>
      <c r="B17" s="164">
        <v>162200</v>
      </c>
      <c r="C17" s="164">
        <f>SUM(C15:C16)</f>
        <v>281200</v>
      </c>
      <c r="D17" s="164">
        <f t="shared" ref="D17:G17" si="1">SUM(D15:D16)</f>
        <v>70500</v>
      </c>
      <c r="E17" s="164">
        <f t="shared" si="1"/>
        <v>181500</v>
      </c>
      <c r="F17" s="164">
        <f t="shared" si="1"/>
        <v>228600</v>
      </c>
      <c r="G17" s="164">
        <f t="shared" si="1"/>
        <v>134400</v>
      </c>
      <c r="H17" s="208">
        <f t="shared" ref="H17:H78" si="2">(B17/G17)^(1/(YEAR($B$11)-YEAR($G$11)))-1</f>
        <v>3.8317840630035738E-2</v>
      </c>
      <c r="I17" s="209">
        <f t="shared" ref="I17:I78" si="3">B17/G17-1</f>
        <v>0.20684523809523814</v>
      </c>
      <c r="J17" s="209">
        <f t="shared" ref="J17:J48" si="4">B17/C17-1</f>
        <v>-0.42318634423897583</v>
      </c>
      <c r="K17" s="209">
        <f t="shared" si="0"/>
        <v>5.1668227544070895E-3</v>
      </c>
      <c r="L17" s="209">
        <f t="shared" ref="L17:L27" si="5">B17/$B$27</f>
        <v>1.662498462547661E-2</v>
      </c>
    </row>
    <row r="18" spans="1:12" x14ac:dyDescent="0.25">
      <c r="A18" s="148" t="s">
        <v>200</v>
      </c>
      <c r="B18" s="148"/>
      <c r="C18" s="169">
        <v>910500</v>
      </c>
      <c r="D18" s="169">
        <v>885900</v>
      </c>
      <c r="E18" s="169">
        <v>701100</v>
      </c>
      <c r="F18" s="169">
        <v>880200</v>
      </c>
      <c r="G18" s="169">
        <v>778200</v>
      </c>
      <c r="H18" s="188"/>
      <c r="I18" s="190"/>
      <c r="J18" s="190"/>
      <c r="K18" s="190"/>
      <c r="L18" s="190"/>
    </row>
    <row r="19" spans="1:12" x14ac:dyDescent="0.25">
      <c r="A19" s="166" t="s">
        <v>16</v>
      </c>
      <c r="B19" s="166"/>
      <c r="C19" s="169">
        <v>27100</v>
      </c>
      <c r="D19" s="169">
        <v>6700</v>
      </c>
      <c r="E19" s="169">
        <v>8000</v>
      </c>
      <c r="F19" s="169">
        <v>9800</v>
      </c>
      <c r="G19" s="169">
        <v>9400</v>
      </c>
      <c r="H19" s="188"/>
      <c r="I19" s="190"/>
      <c r="J19" s="190"/>
      <c r="K19" s="190"/>
      <c r="L19" s="190"/>
    </row>
    <row r="20" spans="1:12" ht="13" x14ac:dyDescent="0.3">
      <c r="A20" s="161" t="s">
        <v>201</v>
      </c>
      <c r="B20" s="201">
        <v>940000</v>
      </c>
      <c r="C20" s="164">
        <f>C18-C19</f>
        <v>883400</v>
      </c>
      <c r="D20" s="164">
        <f>D18-D19</f>
        <v>879200</v>
      </c>
      <c r="E20" s="164">
        <f t="shared" ref="E20:G20" si="6">E18-E19</f>
        <v>693100</v>
      </c>
      <c r="F20" s="164">
        <f t="shared" si="6"/>
        <v>870400</v>
      </c>
      <c r="G20" s="164">
        <f t="shared" si="6"/>
        <v>768800</v>
      </c>
      <c r="H20" s="208">
        <f t="shared" si="2"/>
        <v>4.1029162866681457E-2</v>
      </c>
      <c r="I20" s="209">
        <f t="shared" si="3"/>
        <v>0.22268470343392299</v>
      </c>
      <c r="J20" s="209">
        <f t="shared" si="4"/>
        <v>6.4070636178401585E-2</v>
      </c>
      <c r="K20" s="209">
        <f t="shared" si="0"/>
        <v>2.9943362448475119E-2</v>
      </c>
      <c r="L20" s="209">
        <f t="shared" si="5"/>
        <v>9.6347013242589485E-2</v>
      </c>
    </row>
    <row r="21" spans="1:12" x14ac:dyDescent="0.25">
      <c r="A21" s="148" t="s">
        <v>202</v>
      </c>
      <c r="B21" s="148"/>
      <c r="C21" s="169">
        <v>664700</v>
      </c>
      <c r="D21" s="169">
        <v>656500</v>
      </c>
      <c r="E21" s="169">
        <v>588600</v>
      </c>
      <c r="F21" s="169">
        <v>541000</v>
      </c>
      <c r="G21" s="169">
        <v>561600</v>
      </c>
      <c r="H21" s="188"/>
      <c r="I21" s="190"/>
      <c r="J21" s="190"/>
      <c r="K21" s="190"/>
      <c r="L21" s="190"/>
    </row>
    <row r="22" spans="1:12" x14ac:dyDescent="0.25">
      <c r="A22" s="148" t="s">
        <v>203</v>
      </c>
      <c r="B22" s="148"/>
      <c r="C22" s="169">
        <v>223500</v>
      </c>
      <c r="D22" s="169">
        <v>276500</v>
      </c>
      <c r="E22" s="169">
        <v>281200</v>
      </c>
      <c r="F22" s="169">
        <v>301100</v>
      </c>
      <c r="G22" s="169">
        <v>300400</v>
      </c>
      <c r="H22" s="188"/>
      <c r="I22" s="190"/>
      <c r="J22" s="190"/>
      <c r="K22" s="190"/>
      <c r="L22" s="190"/>
    </row>
    <row r="23" spans="1:12" x14ac:dyDescent="0.25">
      <c r="A23" s="148" t="s">
        <v>204</v>
      </c>
      <c r="B23" s="148"/>
      <c r="C23" s="169">
        <v>293900</v>
      </c>
      <c r="D23" s="169">
        <v>288000</v>
      </c>
      <c r="E23" s="169">
        <v>273100</v>
      </c>
      <c r="F23" s="169">
        <v>301100</v>
      </c>
      <c r="G23" s="169">
        <v>308600</v>
      </c>
      <c r="H23" s="188"/>
      <c r="I23" s="190"/>
      <c r="J23" s="190"/>
      <c r="K23" s="190"/>
      <c r="L23" s="190"/>
    </row>
    <row r="24" spans="1:12" x14ac:dyDescent="0.25">
      <c r="A24" s="148" t="s">
        <v>205</v>
      </c>
      <c r="B24" s="148"/>
      <c r="C24" s="169">
        <v>369300</v>
      </c>
      <c r="D24" s="169">
        <v>308400</v>
      </c>
      <c r="E24" s="169">
        <v>257600</v>
      </c>
      <c r="F24" s="169">
        <v>220800</v>
      </c>
      <c r="G24" s="169">
        <v>207900</v>
      </c>
      <c r="H24" s="188"/>
      <c r="I24" s="190"/>
      <c r="J24" s="190"/>
      <c r="K24" s="190"/>
      <c r="L24" s="190"/>
    </row>
    <row r="25" spans="1:12" ht="13" x14ac:dyDescent="0.3">
      <c r="A25" s="161" t="s">
        <v>17</v>
      </c>
      <c r="B25" s="201">
        <v>1603900</v>
      </c>
      <c r="C25" s="164">
        <f>SUM(C21:C24)</f>
        <v>1551400</v>
      </c>
      <c r="D25" s="164">
        <f t="shared" ref="D25:G25" si="7">SUM(D21:D24)</f>
        <v>1529400</v>
      </c>
      <c r="E25" s="164">
        <f t="shared" si="7"/>
        <v>1400500</v>
      </c>
      <c r="F25" s="164">
        <f t="shared" si="7"/>
        <v>1364000</v>
      </c>
      <c r="G25" s="164">
        <f t="shared" si="7"/>
        <v>1378500</v>
      </c>
      <c r="H25" s="208">
        <f t="shared" si="2"/>
        <v>3.0751803578060732E-2</v>
      </c>
      <c r="I25" s="209">
        <f t="shared" si="3"/>
        <v>0.16351106274936522</v>
      </c>
      <c r="J25" s="209">
        <f t="shared" si="4"/>
        <v>3.3840402217351961E-2</v>
      </c>
      <c r="K25" s="209">
        <f t="shared" si="0"/>
        <v>5.1091658543733237E-2</v>
      </c>
      <c r="L25" s="209">
        <f t="shared" si="5"/>
        <v>0.16439465376573326</v>
      </c>
    </row>
    <row r="26" spans="1:12" x14ac:dyDescent="0.25">
      <c r="A26" s="148" t="s">
        <v>206</v>
      </c>
      <c r="B26" s="169">
        <v>594600</v>
      </c>
      <c r="C26" s="169">
        <v>739500</v>
      </c>
      <c r="D26" s="169">
        <v>488200</v>
      </c>
      <c r="E26" s="169">
        <v>1462800</v>
      </c>
      <c r="F26" s="169">
        <v>358100</v>
      </c>
      <c r="G26" s="169">
        <v>350000</v>
      </c>
      <c r="H26" s="188">
        <f t="shared" si="2"/>
        <v>0.11181203827854702</v>
      </c>
      <c r="I26" s="190">
        <f t="shared" si="3"/>
        <v>0.69885714285714284</v>
      </c>
      <c r="J26" s="190">
        <f t="shared" si="4"/>
        <v>-0.1959432048681542</v>
      </c>
      <c r="K26" s="190">
        <f t="shared" si="0"/>
        <v>1.8940769480705645E-2</v>
      </c>
      <c r="L26" s="190">
        <f t="shared" si="5"/>
        <v>6.094461071706777E-2</v>
      </c>
    </row>
    <row r="27" spans="1:12" ht="13" x14ac:dyDescent="0.3">
      <c r="A27" s="161" t="s">
        <v>18</v>
      </c>
      <c r="B27" s="164">
        <f>B14+B17+B20+B25+B26</f>
        <v>9756400</v>
      </c>
      <c r="C27" s="164">
        <f>C14+C17+C20+C25+C26</f>
        <v>7806400</v>
      </c>
      <c r="D27" s="164">
        <f>D14+D17+D20+D25+D26</f>
        <v>5653900</v>
      </c>
      <c r="E27" s="164">
        <f t="shared" ref="E27:G27" si="8">E14+E17+E20+E25+E26</f>
        <v>12494200</v>
      </c>
      <c r="F27" s="164">
        <f t="shared" si="8"/>
        <v>5283400</v>
      </c>
      <c r="G27" s="164">
        <f t="shared" si="8"/>
        <v>4760500</v>
      </c>
      <c r="H27" s="208">
        <f t="shared" si="2"/>
        <v>0.1543231501771134</v>
      </c>
      <c r="I27" s="209">
        <f t="shared" si="3"/>
        <v>1.0494485873332633</v>
      </c>
      <c r="J27" s="209">
        <f t="shared" si="4"/>
        <v>0.24979503996720642</v>
      </c>
      <c r="K27" s="210">
        <f t="shared" si="0"/>
        <v>0.3107866185024496</v>
      </c>
      <c r="L27" s="209">
        <f t="shared" si="5"/>
        <v>1</v>
      </c>
    </row>
    <row r="28" spans="1:12" ht="13" x14ac:dyDescent="0.3">
      <c r="A28" s="162"/>
      <c r="B28" s="162"/>
      <c r="C28" s="165"/>
      <c r="D28" s="165"/>
      <c r="E28" s="165"/>
      <c r="F28" s="165"/>
      <c r="G28" s="165"/>
      <c r="H28" s="188"/>
      <c r="I28" s="190"/>
      <c r="J28" s="190"/>
      <c r="K28" s="190"/>
    </row>
    <row r="29" spans="1:12" ht="13" x14ac:dyDescent="0.3">
      <c r="A29" s="162" t="s">
        <v>207</v>
      </c>
      <c r="B29" s="204">
        <v>281700</v>
      </c>
      <c r="C29" s="163">
        <v>206100</v>
      </c>
      <c r="D29" s="163">
        <v>220000</v>
      </c>
      <c r="E29" s="163">
        <v>267700</v>
      </c>
      <c r="F29" s="163">
        <v>542300</v>
      </c>
      <c r="G29" s="163">
        <v>1141700</v>
      </c>
      <c r="H29" s="188">
        <f t="shared" si="2"/>
        <v>-0.24413024301142039</v>
      </c>
      <c r="I29" s="190">
        <f t="shared" si="3"/>
        <v>-0.75326267846194273</v>
      </c>
      <c r="J29" s="190">
        <f t="shared" si="4"/>
        <v>0.36681222707423577</v>
      </c>
      <c r="K29" s="190">
        <f t="shared" si="0"/>
        <v>8.9734523422717455E-3</v>
      </c>
    </row>
    <row r="30" spans="1:12" x14ac:dyDescent="0.25">
      <c r="A30" s="148" t="s">
        <v>208</v>
      </c>
      <c r="B30" s="205"/>
      <c r="C30" s="169">
        <v>426400</v>
      </c>
      <c r="D30" s="169">
        <v>336100</v>
      </c>
      <c r="E30" s="169">
        <v>296000</v>
      </c>
      <c r="F30" s="169">
        <v>432800</v>
      </c>
      <c r="G30" s="169">
        <v>305700</v>
      </c>
      <c r="H30" s="188"/>
      <c r="I30" s="190"/>
      <c r="J30" s="190"/>
      <c r="K30" s="190"/>
    </row>
    <row r="31" spans="1:12" x14ac:dyDescent="0.25">
      <c r="A31" s="148" t="s">
        <v>209</v>
      </c>
      <c r="B31" s="205"/>
      <c r="C31" s="169">
        <v>52300</v>
      </c>
      <c r="D31" s="169">
        <v>59900</v>
      </c>
      <c r="E31" s="169">
        <v>38700</v>
      </c>
      <c r="F31" s="169">
        <v>48800</v>
      </c>
      <c r="G31" s="169">
        <v>48800</v>
      </c>
      <c r="H31" s="188"/>
      <c r="I31" s="190"/>
      <c r="J31" s="190"/>
      <c r="K31" s="190"/>
    </row>
    <row r="32" spans="1:12" ht="13" x14ac:dyDescent="0.3">
      <c r="A32" s="161" t="s">
        <v>210</v>
      </c>
      <c r="B32" s="201">
        <v>268500</v>
      </c>
      <c r="C32" s="164">
        <f>C30+C31</f>
        <v>478700</v>
      </c>
      <c r="D32" s="164">
        <f t="shared" ref="D32:G32" si="9">D30+D31</f>
        <v>396000</v>
      </c>
      <c r="E32" s="164">
        <f t="shared" si="9"/>
        <v>334700</v>
      </c>
      <c r="F32" s="164">
        <f t="shared" si="9"/>
        <v>481600</v>
      </c>
      <c r="G32" s="164">
        <f t="shared" si="9"/>
        <v>354500</v>
      </c>
      <c r="H32" s="188"/>
      <c r="I32" s="190"/>
      <c r="J32" s="190"/>
      <c r="K32" s="190"/>
    </row>
    <row r="33" spans="1:11" x14ac:dyDescent="0.25">
      <c r="A33" s="148" t="s">
        <v>21</v>
      </c>
      <c r="B33" s="205"/>
      <c r="C33" s="169">
        <v>46000</v>
      </c>
      <c r="D33" s="169">
        <v>46800</v>
      </c>
      <c r="E33" s="169">
        <v>46800</v>
      </c>
      <c r="F33" s="169">
        <v>46900</v>
      </c>
      <c r="G33" s="169">
        <v>46600</v>
      </c>
      <c r="H33" s="188"/>
      <c r="I33" s="190"/>
      <c r="J33" s="190"/>
      <c r="K33" s="190"/>
    </row>
    <row r="34" spans="1:11" x14ac:dyDescent="0.25">
      <c r="A34" s="148" t="s">
        <v>211</v>
      </c>
      <c r="B34" s="205"/>
      <c r="C34" s="169">
        <v>586800</v>
      </c>
      <c r="D34" s="169">
        <v>691500</v>
      </c>
      <c r="E34" s="169">
        <v>557300</v>
      </c>
      <c r="F34" s="169">
        <v>481700</v>
      </c>
      <c r="G34" s="169">
        <v>458400</v>
      </c>
      <c r="H34" s="188"/>
      <c r="I34" s="190"/>
      <c r="J34" s="190"/>
      <c r="K34" s="190"/>
    </row>
    <row r="35" spans="1:11" x14ac:dyDescent="0.25">
      <c r="A35" s="148" t="s">
        <v>19</v>
      </c>
      <c r="B35" s="205"/>
      <c r="C35" s="169">
        <v>8262600</v>
      </c>
      <c r="D35" s="169">
        <v>7948600</v>
      </c>
      <c r="E35" s="169">
        <v>7372800</v>
      </c>
      <c r="F35" s="169">
        <v>6401000</v>
      </c>
      <c r="G35" s="169">
        <v>5892900</v>
      </c>
      <c r="H35" s="188"/>
      <c r="I35" s="190"/>
      <c r="J35" s="190"/>
      <c r="K35" s="190"/>
    </row>
    <row r="36" spans="1:11" x14ac:dyDescent="0.25">
      <c r="A36" s="148" t="s">
        <v>212</v>
      </c>
      <c r="B36" s="205"/>
      <c r="C36" s="169">
        <v>2800300</v>
      </c>
      <c r="D36" s="169">
        <v>2659500</v>
      </c>
      <c r="E36" s="169">
        <v>2400200</v>
      </c>
      <c r="F36" s="169">
        <v>2110700</v>
      </c>
      <c r="G36" s="169">
        <v>1931700</v>
      </c>
      <c r="H36" s="188"/>
      <c r="I36" s="190"/>
      <c r="J36" s="190"/>
      <c r="K36" s="190"/>
    </row>
    <row r="37" spans="1:11" x14ac:dyDescent="0.25">
      <c r="A37" s="148" t="s">
        <v>213</v>
      </c>
      <c r="B37" s="205"/>
      <c r="C37" s="169">
        <v>796600</v>
      </c>
      <c r="D37" s="169">
        <v>769600</v>
      </c>
      <c r="E37" s="169">
        <v>658800</v>
      </c>
      <c r="F37" s="169">
        <v>619800</v>
      </c>
      <c r="G37" s="169">
        <v>605400</v>
      </c>
      <c r="H37" s="188"/>
      <c r="I37" s="190"/>
      <c r="J37" s="190"/>
      <c r="K37" s="190"/>
    </row>
    <row r="38" spans="1:11" x14ac:dyDescent="0.25">
      <c r="A38" s="148" t="s">
        <v>214</v>
      </c>
      <c r="B38" s="205"/>
      <c r="C38" s="169">
        <v>1285700</v>
      </c>
      <c r="D38" s="169">
        <v>1799000</v>
      </c>
      <c r="E38" s="169">
        <v>1659300</v>
      </c>
      <c r="F38" s="169">
        <v>1514100</v>
      </c>
      <c r="G38" s="169">
        <v>1366900</v>
      </c>
      <c r="H38" s="188"/>
      <c r="I38" s="190"/>
      <c r="J38" s="190"/>
      <c r="K38" s="190"/>
    </row>
    <row r="39" spans="1:11" x14ac:dyDescent="0.25">
      <c r="A39" s="148" t="s">
        <v>215</v>
      </c>
      <c r="B39" s="205"/>
      <c r="C39" s="169">
        <v>377300</v>
      </c>
      <c r="D39" s="169">
        <v>358500</v>
      </c>
      <c r="E39" s="169">
        <v>501900</v>
      </c>
      <c r="F39" s="169">
        <v>409800</v>
      </c>
      <c r="G39" s="169">
        <v>271400</v>
      </c>
      <c r="H39" s="188"/>
      <c r="I39" s="190"/>
      <c r="J39" s="190"/>
      <c r="K39" s="190"/>
    </row>
    <row r="40" spans="1:11" ht="13" x14ac:dyDescent="0.3">
      <c r="A40" s="161" t="s">
        <v>216</v>
      </c>
      <c r="B40" s="201"/>
      <c r="C40" s="164">
        <f>SUM(C33:C39)</f>
        <v>14155300</v>
      </c>
      <c r="D40" s="164">
        <f t="shared" ref="D40:E40" si="10">SUM(D33:D39)</f>
        <v>14273500</v>
      </c>
      <c r="E40" s="164">
        <f t="shared" si="10"/>
        <v>13197100</v>
      </c>
      <c r="F40" s="164">
        <f>SUM(F33:F39)</f>
        <v>11584000</v>
      </c>
      <c r="G40" s="164">
        <f t="shared" ref="G40" si="11">SUM(G33:G39)</f>
        <v>10573300</v>
      </c>
      <c r="H40" s="188"/>
      <c r="I40" s="190"/>
      <c r="J40" s="190"/>
      <c r="K40" s="190"/>
    </row>
    <row r="41" spans="1:11" x14ac:dyDescent="0.25">
      <c r="A41" s="166" t="s">
        <v>20</v>
      </c>
      <c r="B41" s="206"/>
      <c r="C41" s="169">
        <v>7913900</v>
      </c>
      <c r="D41" s="169">
        <v>7841800</v>
      </c>
      <c r="E41" s="169">
        <v>7268000</v>
      </c>
      <c r="F41" s="169">
        <v>6664500</v>
      </c>
      <c r="G41" s="169">
        <v>6039500</v>
      </c>
      <c r="H41" s="188"/>
      <c r="I41" s="190"/>
      <c r="J41" s="190"/>
      <c r="K41" s="190"/>
    </row>
    <row r="42" spans="1:11" ht="13" x14ac:dyDescent="0.3">
      <c r="A42" s="161" t="s">
        <v>217</v>
      </c>
      <c r="B42" s="201">
        <v>6369500</v>
      </c>
      <c r="C42" s="164">
        <v>6241400</v>
      </c>
      <c r="D42" s="164">
        <v>6431700</v>
      </c>
      <c r="E42" s="164">
        <v>5929100</v>
      </c>
      <c r="F42" s="164">
        <v>4919500</v>
      </c>
      <c r="G42" s="164">
        <v>4533800</v>
      </c>
      <c r="H42" s="188">
        <f t="shared" si="2"/>
        <v>7.0356859822336304E-2</v>
      </c>
      <c r="I42" s="190">
        <f t="shared" si="3"/>
        <v>0.40489214345582081</v>
      </c>
      <c r="J42" s="190">
        <f t="shared" si="4"/>
        <v>2.0524241356105977E-2</v>
      </c>
      <c r="K42" s="190">
        <f>B42/$B$48</f>
        <v>0.20289813522932157</v>
      </c>
    </row>
    <row r="43" spans="1:11" x14ac:dyDescent="0.25">
      <c r="A43" s="148" t="s">
        <v>218</v>
      </c>
      <c r="B43" s="195">
        <v>8236000</v>
      </c>
      <c r="C43" s="169">
        <v>8134100</v>
      </c>
      <c r="D43" s="170">
        <v>0</v>
      </c>
      <c r="E43" s="170">
        <v>0</v>
      </c>
      <c r="F43" s="170">
        <v>0</v>
      </c>
      <c r="G43" s="170">
        <v>0</v>
      </c>
      <c r="H43" s="188"/>
      <c r="I43" s="190"/>
      <c r="J43" s="190">
        <f t="shared" si="4"/>
        <v>1.2527507652967174E-2</v>
      </c>
      <c r="K43" s="190">
        <f t="shared" ref="K43:K89" si="12">B43/$B$48</f>
        <v>0.26235482247408626</v>
      </c>
    </row>
    <row r="44" spans="1:11" x14ac:dyDescent="0.25">
      <c r="A44" s="148" t="s">
        <v>219</v>
      </c>
      <c r="B44" s="195">
        <v>1874800</v>
      </c>
      <c r="C44" s="169">
        <v>1789900</v>
      </c>
      <c r="D44" s="169">
        <v>1765800</v>
      </c>
      <c r="E44" s="169">
        <v>134700</v>
      </c>
      <c r="F44" s="169">
        <v>795400</v>
      </c>
      <c r="G44" s="169">
        <v>885400</v>
      </c>
      <c r="H44" s="188">
        <f t="shared" si="2"/>
        <v>0.16188484072385534</v>
      </c>
      <c r="I44" s="190">
        <f t="shared" si="3"/>
        <v>1.1174610345606504</v>
      </c>
      <c r="J44" s="190">
        <f t="shared" si="4"/>
        <v>4.7432817475836719E-2</v>
      </c>
      <c r="K44" s="190">
        <f t="shared" si="12"/>
        <v>5.9721080764256543E-2</v>
      </c>
    </row>
    <row r="45" spans="1:11" x14ac:dyDescent="0.25">
      <c r="A45" s="148" t="s">
        <v>220</v>
      </c>
      <c r="B45" s="195">
        <v>578500</v>
      </c>
      <c r="C45" s="169">
        <v>568600</v>
      </c>
      <c r="D45" s="169">
        <v>479600</v>
      </c>
      <c r="E45" s="169">
        <v>412200</v>
      </c>
      <c r="F45" s="169">
        <v>362800</v>
      </c>
      <c r="G45" s="169">
        <v>417700</v>
      </c>
      <c r="H45" s="188">
        <f t="shared" si="2"/>
        <v>6.730311661483368E-2</v>
      </c>
      <c r="I45" s="190">
        <f t="shared" si="3"/>
        <v>0.38496528609049552</v>
      </c>
      <c r="J45" s="190">
        <f t="shared" si="4"/>
        <v>1.741118536756936E-2</v>
      </c>
      <c r="K45" s="190">
        <f t="shared" si="12"/>
        <v>1.8427909762173251E-2</v>
      </c>
    </row>
    <row r="46" spans="1:11" x14ac:dyDescent="0.25">
      <c r="A46" s="148" t="s">
        <v>221</v>
      </c>
      <c r="B46" s="195">
        <v>349900</v>
      </c>
      <c r="C46" s="169">
        <v>552100</v>
      </c>
      <c r="D46" s="169">
        <v>781800</v>
      </c>
      <c r="E46" s="169">
        <v>1042200</v>
      </c>
      <c r="F46" s="169">
        <v>441400</v>
      </c>
      <c r="G46" s="169">
        <v>516300</v>
      </c>
      <c r="H46" s="188">
        <f t="shared" si="2"/>
        <v>-7.4858072868066894E-2</v>
      </c>
      <c r="I46" s="190">
        <f t="shared" si="3"/>
        <v>-0.32229324036412943</v>
      </c>
      <c r="J46" s="190">
        <f t="shared" si="4"/>
        <v>-0.36623800036225318</v>
      </c>
      <c r="K46" s="190">
        <f t="shared" si="12"/>
        <v>1.1145938851831324E-2</v>
      </c>
    </row>
    <row r="47" spans="1:11" x14ac:dyDescent="0.25">
      <c r="A47" s="148" t="s">
        <v>22</v>
      </c>
      <c r="B47" s="195">
        <v>3677300</v>
      </c>
      <c r="C47" s="169">
        <v>3597200</v>
      </c>
      <c r="D47" s="169">
        <v>3490800</v>
      </c>
      <c r="E47" s="169">
        <v>3541600</v>
      </c>
      <c r="F47" s="169">
        <v>1539200</v>
      </c>
      <c r="G47" s="169">
        <v>1719600</v>
      </c>
      <c r="H47" s="188">
        <f t="shared" si="2"/>
        <v>0.16418051199641859</v>
      </c>
      <c r="I47" s="190">
        <f t="shared" si="3"/>
        <v>1.1384624331239825</v>
      </c>
      <c r="J47" s="190">
        <f t="shared" si="4"/>
        <v>2.226731902590906E-2</v>
      </c>
      <c r="K47" s="190">
        <f t="shared" si="12"/>
        <v>0.11713907099125272</v>
      </c>
    </row>
    <row r="48" spans="1:11" ht="13.5" thickBot="1" x14ac:dyDescent="0.35">
      <c r="A48" s="167" t="s">
        <v>23</v>
      </c>
      <c r="B48" s="168">
        <f t="shared" ref="B48:G48" si="13">B27+B29+B32+B42+B43+B44+B45+B46+B47</f>
        <v>31392600</v>
      </c>
      <c r="C48" s="168">
        <f>C27+C29+C32+C42+C43+C44+C45+C46+C47</f>
        <v>29374500</v>
      </c>
      <c r="D48" s="168">
        <f t="shared" si="13"/>
        <v>19219600</v>
      </c>
      <c r="E48" s="168">
        <f t="shared" si="13"/>
        <v>24156400</v>
      </c>
      <c r="F48" s="168">
        <f t="shared" si="13"/>
        <v>14365600</v>
      </c>
      <c r="G48" s="168">
        <f t="shared" si="13"/>
        <v>14329500</v>
      </c>
      <c r="H48" s="215">
        <f t="shared" si="2"/>
        <v>0.16982055984151945</v>
      </c>
      <c r="I48" s="216">
        <f t="shared" si="3"/>
        <v>1.1907672982309223</v>
      </c>
      <c r="J48" s="216">
        <f t="shared" si="4"/>
        <v>6.8702445999080819E-2</v>
      </c>
      <c r="K48" s="216">
        <f t="shared" si="12"/>
        <v>1</v>
      </c>
    </row>
    <row r="49" spans="1:11" ht="31" customHeight="1" x14ac:dyDescent="0.25">
      <c r="A49" s="415" t="s">
        <v>323</v>
      </c>
      <c r="B49" s="415"/>
      <c r="C49" s="415"/>
      <c r="D49" s="415"/>
      <c r="E49" s="415"/>
      <c r="F49" s="415"/>
      <c r="G49" s="415"/>
      <c r="H49" s="188"/>
      <c r="I49" s="190"/>
      <c r="K49" s="190"/>
    </row>
    <row r="50" spans="1:11" x14ac:dyDescent="0.25">
      <c r="A50" s="148" t="s">
        <v>24</v>
      </c>
      <c r="B50" s="205">
        <v>1211600</v>
      </c>
      <c r="C50" s="157">
        <v>997900</v>
      </c>
      <c r="D50" s="157">
        <v>1189700</v>
      </c>
      <c r="E50" s="157">
        <v>1179300</v>
      </c>
      <c r="F50" s="157">
        <v>782500</v>
      </c>
      <c r="G50" s="157">
        <v>730600</v>
      </c>
      <c r="H50" s="188">
        <f t="shared" si="2"/>
        <v>0.10646051242988674</v>
      </c>
      <c r="I50" s="190">
        <f t="shared" si="3"/>
        <v>0.65836298932384341</v>
      </c>
      <c r="K50" s="190">
        <f t="shared" si="12"/>
        <v>3.8595082917630266E-2</v>
      </c>
    </row>
    <row r="51" spans="1:11" x14ac:dyDescent="0.25">
      <c r="A51" s="148" t="s">
        <v>222</v>
      </c>
      <c r="B51" s="205"/>
      <c r="C51" s="170">
        <v>0</v>
      </c>
      <c r="D51" s="170">
        <v>0</v>
      </c>
      <c r="E51" s="169">
        <v>656800</v>
      </c>
      <c r="F51" s="169">
        <v>524500</v>
      </c>
      <c r="G51" s="169">
        <v>510800</v>
      </c>
      <c r="H51" s="188"/>
      <c r="I51" s="190"/>
      <c r="K51" s="190"/>
    </row>
    <row r="52" spans="1:11" x14ac:dyDescent="0.25">
      <c r="A52" s="148" t="s">
        <v>223</v>
      </c>
      <c r="B52" s="205"/>
      <c r="C52" s="169">
        <v>76900</v>
      </c>
      <c r="D52" s="169">
        <v>176900</v>
      </c>
      <c r="E52" s="169">
        <v>164200</v>
      </c>
      <c r="F52" s="169">
        <v>151300</v>
      </c>
      <c r="G52" s="169">
        <v>137500</v>
      </c>
      <c r="H52" s="188"/>
      <c r="I52" s="190"/>
      <c r="K52" s="190"/>
    </row>
    <row r="53" spans="1:11" x14ac:dyDescent="0.25">
      <c r="A53" s="148" t="s">
        <v>224</v>
      </c>
      <c r="B53" s="205"/>
      <c r="C53" s="170">
        <v>0</v>
      </c>
      <c r="D53" s="170">
        <v>0</v>
      </c>
      <c r="E53" s="169">
        <v>286600</v>
      </c>
      <c r="F53" s="169">
        <v>226600</v>
      </c>
      <c r="G53" s="169">
        <v>368400</v>
      </c>
      <c r="H53" s="188"/>
      <c r="I53" s="190"/>
      <c r="K53" s="190"/>
    </row>
    <row r="54" spans="1:11" x14ac:dyDescent="0.25">
      <c r="A54" s="148" t="s">
        <v>225</v>
      </c>
      <c r="B54" s="205"/>
      <c r="C54" s="170">
        <v>0</v>
      </c>
      <c r="D54" s="169">
        <v>485700</v>
      </c>
      <c r="E54" s="169">
        <v>445400</v>
      </c>
      <c r="F54" s="169">
        <v>429500</v>
      </c>
      <c r="G54" s="169">
        <v>365100</v>
      </c>
      <c r="H54" s="188"/>
      <c r="I54" s="190"/>
      <c r="K54" s="190"/>
    </row>
    <row r="55" spans="1:11" x14ac:dyDescent="0.25">
      <c r="A55" s="148" t="s">
        <v>226</v>
      </c>
      <c r="B55" s="205"/>
      <c r="C55" s="169">
        <v>677200</v>
      </c>
      <c r="D55" s="169">
        <v>703900</v>
      </c>
      <c r="E55" s="169">
        <v>745400</v>
      </c>
      <c r="F55" s="169">
        <v>602600</v>
      </c>
      <c r="G55" s="169">
        <v>617300</v>
      </c>
      <c r="H55" s="188"/>
      <c r="I55" s="190"/>
      <c r="K55" s="190"/>
    </row>
    <row r="56" spans="1:11" x14ac:dyDescent="0.25">
      <c r="A56" s="148" t="s">
        <v>227</v>
      </c>
      <c r="B56" s="205"/>
      <c r="C56" s="169">
        <v>243900</v>
      </c>
      <c r="D56" s="169">
        <v>210500</v>
      </c>
      <c r="E56" s="170">
        <v>0</v>
      </c>
      <c r="F56" s="170">
        <v>0</v>
      </c>
      <c r="G56" s="170">
        <v>0</v>
      </c>
      <c r="H56" s="188"/>
      <c r="I56" s="190"/>
      <c r="K56" s="190"/>
    </row>
    <row r="57" spans="1:11" x14ac:dyDescent="0.25">
      <c r="A57" s="148" t="s">
        <v>228</v>
      </c>
      <c r="B57" s="205"/>
      <c r="C57" s="169">
        <v>162700</v>
      </c>
      <c r="D57" s="169">
        <v>176700</v>
      </c>
      <c r="E57" s="170">
        <v>0</v>
      </c>
      <c r="F57" s="170">
        <v>0</v>
      </c>
      <c r="G57" s="170">
        <v>0</v>
      </c>
      <c r="H57" s="188"/>
      <c r="I57" s="190"/>
      <c r="K57" s="190"/>
    </row>
    <row r="58" spans="1:11" ht="13" x14ac:dyDescent="0.3">
      <c r="A58" s="161" t="s">
        <v>229</v>
      </c>
      <c r="B58" s="201">
        <v>1973200</v>
      </c>
      <c r="C58" s="164">
        <f>SUM(C51:C57)</f>
        <v>1160700</v>
      </c>
      <c r="D58" s="164">
        <f>SUM(D51:D57)</f>
        <v>1753700</v>
      </c>
      <c r="E58" s="164">
        <f>SUM(E51:E57)</f>
        <v>2298400</v>
      </c>
      <c r="F58" s="164">
        <f>SUM(F51:F57)</f>
        <v>1934500</v>
      </c>
      <c r="G58" s="164">
        <f>SUM(G51:G57)</f>
        <v>1999100</v>
      </c>
      <c r="H58" s="188">
        <f t="shared" si="2"/>
        <v>-2.6046996482689266E-3</v>
      </c>
      <c r="I58" s="190">
        <f t="shared" si="3"/>
        <v>-1.2955830123555612E-2</v>
      </c>
      <c r="K58" s="190">
        <f t="shared" si="12"/>
        <v>6.2855577429075646E-2</v>
      </c>
    </row>
    <row r="59" spans="1:11" x14ac:dyDescent="0.25">
      <c r="A59" s="148" t="s">
        <v>230</v>
      </c>
      <c r="B59" s="195">
        <v>772300</v>
      </c>
      <c r="C59" s="169">
        <v>696000</v>
      </c>
      <c r="D59" s="169">
        <v>664600</v>
      </c>
      <c r="E59" s="170">
        <v>0</v>
      </c>
      <c r="F59" s="170">
        <v>0</v>
      </c>
      <c r="G59" s="170">
        <v>0</v>
      </c>
      <c r="H59" s="188"/>
      <c r="I59" s="190"/>
      <c r="K59" s="190">
        <f t="shared" si="12"/>
        <v>2.4601339169103547E-2</v>
      </c>
    </row>
    <row r="60" spans="1:11" x14ac:dyDescent="0.25">
      <c r="A60" s="148" t="s">
        <v>231</v>
      </c>
      <c r="B60" s="195"/>
      <c r="C60" s="170">
        <v>0</v>
      </c>
      <c r="D60" s="170">
        <v>0</v>
      </c>
      <c r="E60" s="169">
        <v>213700</v>
      </c>
      <c r="F60" s="169">
        <v>215200</v>
      </c>
      <c r="G60" s="169">
        <v>246000</v>
      </c>
      <c r="H60" s="188"/>
      <c r="I60" s="190"/>
      <c r="K60" s="190"/>
    </row>
    <row r="61" spans="1:11" x14ac:dyDescent="0.25">
      <c r="A61" s="148" t="s">
        <v>232</v>
      </c>
      <c r="B61" s="195"/>
      <c r="C61" s="170">
        <v>0</v>
      </c>
      <c r="D61" s="170">
        <v>0</v>
      </c>
      <c r="E61" s="169">
        <v>1642900</v>
      </c>
      <c r="F61" s="169">
        <v>1288500</v>
      </c>
      <c r="G61" s="169">
        <v>1171200</v>
      </c>
      <c r="H61" s="188"/>
      <c r="I61" s="190"/>
      <c r="K61" s="190"/>
    </row>
    <row r="62" spans="1:11" x14ac:dyDescent="0.25">
      <c r="A62" s="148" t="s">
        <v>233</v>
      </c>
      <c r="B62" s="195">
        <v>348000</v>
      </c>
      <c r="C62" s="169">
        <v>98200</v>
      </c>
      <c r="D62" s="169">
        <v>1291700</v>
      </c>
      <c r="E62" s="170">
        <v>0</v>
      </c>
      <c r="F62" s="170">
        <v>0</v>
      </c>
      <c r="G62" s="170">
        <v>0</v>
      </c>
      <c r="H62" s="188"/>
      <c r="I62" s="190"/>
      <c r="K62" s="190">
        <f t="shared" si="12"/>
        <v>1.108541503411632E-2</v>
      </c>
    </row>
    <row r="63" spans="1:11" x14ac:dyDescent="0.25">
      <c r="A63" s="148" t="s">
        <v>234</v>
      </c>
      <c r="B63" s="195">
        <v>1251300</v>
      </c>
      <c r="C63" s="169">
        <v>1248800</v>
      </c>
      <c r="D63" s="170">
        <v>0</v>
      </c>
      <c r="E63" s="170">
        <v>0</v>
      </c>
      <c r="F63" s="170">
        <v>0</v>
      </c>
      <c r="G63" s="170">
        <v>0</v>
      </c>
      <c r="H63" s="188"/>
      <c r="I63" s="190"/>
      <c r="K63" s="190">
        <f t="shared" si="12"/>
        <v>3.9859712161464805E-2</v>
      </c>
    </row>
    <row r="64" spans="1:11" x14ac:dyDescent="0.25">
      <c r="A64" s="148" t="s">
        <v>235</v>
      </c>
      <c r="B64" s="195">
        <v>1596100</v>
      </c>
      <c r="C64" s="169">
        <v>1456500</v>
      </c>
      <c r="D64" s="169">
        <v>1269000</v>
      </c>
      <c r="E64" s="170">
        <v>0</v>
      </c>
      <c r="F64" s="170">
        <v>0</v>
      </c>
      <c r="G64" s="170">
        <v>0</v>
      </c>
      <c r="H64" s="188"/>
      <c r="I64" s="190"/>
      <c r="K64" s="190">
        <f t="shared" si="12"/>
        <v>5.08431923446927E-2</v>
      </c>
    </row>
    <row r="65" spans="1:11" x14ac:dyDescent="0.25">
      <c r="A65" s="148" t="s">
        <v>236</v>
      </c>
      <c r="B65" s="195">
        <v>998900</v>
      </c>
      <c r="C65" s="169">
        <v>1249900</v>
      </c>
      <c r="D65" s="170">
        <v>0</v>
      </c>
      <c r="E65" s="169">
        <v>349900</v>
      </c>
      <c r="F65" s="170">
        <v>0</v>
      </c>
      <c r="G65" s="169">
        <v>400000</v>
      </c>
      <c r="H65" s="188">
        <f t="shared" si="2"/>
        <v>0.20086007026031361</v>
      </c>
      <c r="I65" s="190">
        <f t="shared" si="3"/>
        <v>1.4972500000000002</v>
      </c>
      <c r="K65" s="190">
        <f t="shared" si="12"/>
        <v>3.1819600797640207E-2</v>
      </c>
    </row>
    <row r="66" spans="1:11" x14ac:dyDescent="0.25">
      <c r="A66" s="148" t="s">
        <v>237</v>
      </c>
      <c r="B66" s="148"/>
      <c r="C66" s="169">
        <v>438800</v>
      </c>
      <c r="D66" s="170">
        <v>0</v>
      </c>
      <c r="E66" s="170">
        <v>0</v>
      </c>
      <c r="F66" s="170">
        <v>0</v>
      </c>
      <c r="G66" s="170">
        <v>0</v>
      </c>
      <c r="H66" s="188"/>
      <c r="I66" s="190"/>
      <c r="K66" s="190"/>
    </row>
    <row r="67" spans="1:11" ht="13" x14ac:dyDescent="0.3">
      <c r="A67" s="161" t="s">
        <v>25</v>
      </c>
      <c r="B67" s="164">
        <f>B50+B58+SUM(B59:B66)</f>
        <v>8151400</v>
      </c>
      <c r="C67" s="164">
        <f>C50+C58+SUM(C59:C66)</f>
        <v>7346800</v>
      </c>
      <c r="D67" s="164">
        <f t="shared" ref="D67:G67" si="14">D50+D58+SUM(D59:D66)</f>
        <v>6168700</v>
      </c>
      <c r="E67" s="164">
        <f t="shared" si="14"/>
        <v>5684200</v>
      </c>
      <c r="F67" s="164">
        <f t="shared" si="14"/>
        <v>4220700</v>
      </c>
      <c r="G67" s="164">
        <f t="shared" si="14"/>
        <v>4546900</v>
      </c>
      <c r="H67" s="208">
        <f t="shared" si="2"/>
        <v>0.1238370885030653</v>
      </c>
      <c r="I67" s="209">
        <f t="shared" si="3"/>
        <v>0.79273790934482835</v>
      </c>
      <c r="J67" s="211"/>
      <c r="K67" s="209">
        <f t="shared" si="12"/>
        <v>0.2596599198537235</v>
      </c>
    </row>
    <row r="68" spans="1:11" x14ac:dyDescent="0.25">
      <c r="A68" s="148" t="s">
        <v>238</v>
      </c>
      <c r="B68" s="148"/>
      <c r="C68" s="170">
        <v>0</v>
      </c>
      <c r="D68" s="169">
        <v>11238300</v>
      </c>
      <c r="E68" s="170">
        <v>0</v>
      </c>
      <c r="F68" s="169">
        <v>3955300</v>
      </c>
      <c r="G68" s="169">
        <v>3600000</v>
      </c>
      <c r="H68" s="188"/>
      <c r="I68" s="190"/>
      <c r="K68" s="190"/>
    </row>
    <row r="69" spans="1:11" x14ac:dyDescent="0.25">
      <c r="A69" s="148" t="s">
        <v>239</v>
      </c>
      <c r="B69" s="148"/>
      <c r="C69" s="170">
        <v>0</v>
      </c>
      <c r="D69" s="169">
        <v>-83100</v>
      </c>
      <c r="E69" s="170">
        <v>0</v>
      </c>
      <c r="F69" s="169">
        <v>-17500</v>
      </c>
      <c r="G69" s="169">
        <v>2200</v>
      </c>
      <c r="H69" s="188"/>
      <c r="I69" s="190"/>
      <c r="K69" s="190"/>
    </row>
    <row r="70" spans="1:11" x14ac:dyDescent="0.25">
      <c r="A70" s="148" t="s">
        <v>240</v>
      </c>
      <c r="B70" s="148"/>
      <c r="C70" s="170">
        <v>0</v>
      </c>
      <c r="D70" s="169">
        <v>11800</v>
      </c>
      <c r="E70" s="170">
        <v>0</v>
      </c>
      <c r="F70" s="169">
        <v>-5200</v>
      </c>
      <c r="G70" s="170">
        <v>0</v>
      </c>
      <c r="H70" s="188"/>
      <c r="I70" s="190"/>
      <c r="K70" s="190"/>
    </row>
    <row r="71" spans="1:11" x14ac:dyDescent="0.25">
      <c r="A71" s="166" t="s">
        <v>241</v>
      </c>
      <c r="B71" s="166"/>
      <c r="C71" s="184">
        <v>0</v>
      </c>
      <c r="D71" s="184">
        <v>0</v>
      </c>
      <c r="E71" s="184">
        <v>0</v>
      </c>
      <c r="F71" s="184">
        <v>0</v>
      </c>
      <c r="G71" s="169">
        <v>400000</v>
      </c>
      <c r="H71" s="188"/>
      <c r="I71" s="190"/>
      <c r="K71" s="190"/>
    </row>
    <row r="72" spans="1:11" ht="13" x14ac:dyDescent="0.3">
      <c r="A72" s="159" t="s">
        <v>242</v>
      </c>
      <c r="B72" s="201">
        <v>13616900</v>
      </c>
      <c r="C72" s="164">
        <v>14659600</v>
      </c>
      <c r="D72" s="164">
        <f>SUM(D68:D70)</f>
        <v>11167000</v>
      </c>
      <c r="E72" s="164">
        <v>9090200</v>
      </c>
      <c r="F72" s="164">
        <f>SUM(F68:F70)</f>
        <v>3932600</v>
      </c>
      <c r="G72" s="164">
        <f>SUM(G68:G70)</f>
        <v>3602200</v>
      </c>
      <c r="H72" s="208">
        <f t="shared" si="2"/>
        <v>0.30467423294750295</v>
      </c>
      <c r="I72" s="209">
        <f t="shared" si="3"/>
        <v>2.7801621231469658</v>
      </c>
      <c r="J72" s="211"/>
      <c r="K72" s="209">
        <f t="shared" si="12"/>
        <v>0.4337614597070647</v>
      </c>
    </row>
    <row r="73" spans="1:11" x14ac:dyDescent="0.25">
      <c r="A73" s="148" t="s">
        <v>243</v>
      </c>
      <c r="B73" s="195">
        <v>7738000</v>
      </c>
      <c r="C73" s="169">
        <v>7661700</v>
      </c>
      <c r="D73" s="170">
        <v>0</v>
      </c>
      <c r="E73" s="170">
        <v>0</v>
      </c>
      <c r="F73" s="170">
        <v>0</v>
      </c>
      <c r="G73" s="170">
        <v>0</v>
      </c>
      <c r="H73" s="188"/>
      <c r="I73" s="190"/>
      <c r="K73" s="190">
        <f t="shared" si="12"/>
        <v>0.24649121130457496</v>
      </c>
    </row>
    <row r="74" spans="1:11" x14ac:dyDescent="0.25">
      <c r="A74" s="148" t="s">
        <v>235</v>
      </c>
      <c r="B74" s="195">
        <v>6463000</v>
      </c>
      <c r="C74" s="169">
        <v>6598500</v>
      </c>
      <c r="D74" s="169">
        <v>6744400</v>
      </c>
      <c r="E74" s="169">
        <v>6775700</v>
      </c>
      <c r="F74" s="170">
        <v>0</v>
      </c>
      <c r="G74" s="170">
        <v>0</v>
      </c>
      <c r="H74" s="188"/>
      <c r="I74" s="190"/>
      <c r="K74" s="190">
        <f t="shared" si="12"/>
        <v>0.20587654415371776</v>
      </c>
    </row>
    <row r="75" spans="1:11" x14ac:dyDescent="0.25">
      <c r="A75" s="148" t="s">
        <v>26</v>
      </c>
      <c r="B75" s="195">
        <v>737800</v>
      </c>
      <c r="C75" s="169">
        <v>907300</v>
      </c>
      <c r="D75" s="169">
        <v>1370500</v>
      </c>
      <c r="E75" s="169">
        <v>1430500</v>
      </c>
      <c r="F75" s="169">
        <v>755300</v>
      </c>
      <c r="G75" s="169">
        <v>689700</v>
      </c>
      <c r="H75" s="188">
        <f t="shared" si="2"/>
        <v>1.357452137621995E-2</v>
      </c>
      <c r="I75" s="190">
        <f t="shared" si="3"/>
        <v>6.9740466869653517E-2</v>
      </c>
      <c r="K75" s="190">
        <f t="shared" si="12"/>
        <v>2.3502354057962704E-2</v>
      </c>
    </row>
    <row r="76" spans="1:11" ht="13" x14ac:dyDescent="0.3">
      <c r="A76" s="161" t="s">
        <v>244</v>
      </c>
      <c r="B76" s="164">
        <f>B67+B72+B73+B74+B75</f>
        <v>36707100</v>
      </c>
      <c r="C76" s="164">
        <f>C67+C72+C73+C74+C75</f>
        <v>37173900</v>
      </c>
      <c r="D76" s="164">
        <f>D67+D72+D73+D74+D75</f>
        <v>25450600</v>
      </c>
      <c r="E76" s="164">
        <f>E67+E72+E73+E74+E75</f>
        <v>22980600</v>
      </c>
      <c r="F76" s="164">
        <f>F67+F72+F73+F74+F75</f>
        <v>8908600</v>
      </c>
      <c r="G76" s="164">
        <f>G67+G72+G73+G74+G75-G71</f>
        <v>8438800</v>
      </c>
      <c r="H76" s="208">
        <f t="shared" si="2"/>
        <v>0.34181881155120952</v>
      </c>
      <c r="I76" s="209">
        <f t="shared" si="3"/>
        <v>3.3498009195620231</v>
      </c>
      <c r="J76" s="211"/>
      <c r="K76" s="209">
        <f t="shared" si="12"/>
        <v>1.1692914890770436</v>
      </c>
    </row>
    <row r="77" spans="1:11" x14ac:dyDescent="0.25">
      <c r="A77" s="148"/>
      <c r="B77" s="148"/>
      <c r="C77" s="157"/>
      <c r="D77" s="157"/>
      <c r="E77" s="157"/>
      <c r="F77" s="157"/>
      <c r="G77" s="157"/>
      <c r="H77" s="188"/>
      <c r="I77" s="190"/>
      <c r="K77" s="190"/>
    </row>
    <row r="78" spans="1:11" x14ac:dyDescent="0.25">
      <c r="A78" s="148" t="s">
        <v>27</v>
      </c>
      <c r="B78" s="195">
        <v>1200</v>
      </c>
      <c r="C78" s="169">
        <v>1200</v>
      </c>
      <c r="D78" s="169">
        <v>1200</v>
      </c>
      <c r="E78" s="169">
        <v>1300</v>
      </c>
      <c r="F78" s="169">
        <v>1400</v>
      </c>
      <c r="G78" s="169">
        <v>1500</v>
      </c>
      <c r="H78" s="188">
        <f t="shared" si="2"/>
        <v>-4.3647500209962997E-2</v>
      </c>
      <c r="I78" s="190">
        <f t="shared" si="3"/>
        <v>-0.19999999999999996</v>
      </c>
      <c r="K78" s="190"/>
    </row>
    <row r="79" spans="1:11" x14ac:dyDescent="0.25">
      <c r="A79" s="148" t="s">
        <v>245</v>
      </c>
      <c r="B79" s="195">
        <v>846100</v>
      </c>
      <c r="C79" s="169">
        <v>373900</v>
      </c>
      <c r="D79" s="169">
        <v>41100</v>
      </c>
      <c r="E79" s="169">
        <v>41100</v>
      </c>
      <c r="F79" s="169">
        <v>41100</v>
      </c>
      <c r="G79" s="169">
        <v>41100</v>
      </c>
      <c r="H79" s="188">
        <f t="shared" ref="H79:H89" si="15">(B79/G79)^(1/(YEAR($B$11)-YEAR($G$11)))-1</f>
        <v>0.83111649411060284</v>
      </c>
      <c r="I79" s="190">
        <f t="shared" ref="I79:I89" si="16">B79/G79-1</f>
        <v>19.586374695863746</v>
      </c>
      <c r="K79" s="190">
        <f t="shared" si="12"/>
        <v>2.6952211667717871E-2</v>
      </c>
    </row>
    <row r="80" spans="1:11" x14ac:dyDescent="0.25">
      <c r="A80" s="148" t="s">
        <v>28</v>
      </c>
      <c r="B80" s="195">
        <v>-6315700</v>
      </c>
      <c r="C80" s="169">
        <v>-7815600</v>
      </c>
      <c r="D80" s="169">
        <v>-5771200</v>
      </c>
      <c r="E80" s="169">
        <v>1457400</v>
      </c>
      <c r="F80" s="169">
        <v>5563200</v>
      </c>
      <c r="G80" s="169">
        <v>5949800</v>
      </c>
      <c r="H80" s="188">
        <f t="shared" si="15"/>
        <v>-2.0120077189531789</v>
      </c>
      <c r="I80" s="190">
        <f t="shared" si="16"/>
        <v>-2.06149786547447</v>
      </c>
      <c r="K80" s="190">
        <f t="shared" si="12"/>
        <v>-0.20118435554875991</v>
      </c>
    </row>
    <row r="81" spans="1:11" x14ac:dyDescent="0.25">
      <c r="A81" s="148" t="s">
        <v>246</v>
      </c>
      <c r="B81" s="148"/>
      <c r="C81" s="169">
        <v>5700</v>
      </c>
      <c r="D81" s="169">
        <v>3900</v>
      </c>
      <c r="E81" s="169">
        <v>-4900</v>
      </c>
      <c r="F81" s="169">
        <v>-2500</v>
      </c>
      <c r="G81" s="169">
        <v>1100</v>
      </c>
      <c r="H81" s="188"/>
      <c r="I81" s="190"/>
      <c r="K81" s="190"/>
    </row>
    <row r="82" spans="1:11" x14ac:dyDescent="0.25">
      <c r="A82" s="148" t="s">
        <v>247</v>
      </c>
      <c r="B82" s="148"/>
      <c r="C82" s="169">
        <v>-82100</v>
      </c>
      <c r="D82" s="169">
        <v>11000</v>
      </c>
      <c r="E82" s="169">
        <v>17700</v>
      </c>
      <c r="F82" s="169">
        <v>-4100</v>
      </c>
      <c r="G82" s="169">
        <v>10900</v>
      </c>
      <c r="H82" s="188"/>
      <c r="I82" s="190"/>
      <c r="K82" s="190"/>
    </row>
    <row r="83" spans="1:11" x14ac:dyDescent="0.25">
      <c r="A83" s="148" t="s">
        <v>248</v>
      </c>
      <c r="B83" s="148"/>
      <c r="C83" s="169">
        <v>11500</v>
      </c>
      <c r="D83" s="169">
        <v>-10100</v>
      </c>
      <c r="E83" s="169">
        <v>19600</v>
      </c>
      <c r="F83" s="169">
        <v>14000</v>
      </c>
      <c r="G83" s="169">
        <v>1300</v>
      </c>
      <c r="H83" s="188"/>
      <c r="I83" s="190"/>
      <c r="K83" s="190"/>
    </row>
    <row r="84" spans="1:11" x14ac:dyDescent="0.25">
      <c r="A84" s="148" t="s">
        <v>249</v>
      </c>
      <c r="B84" s="148"/>
      <c r="C84" s="169">
        <v>-299700</v>
      </c>
      <c r="D84" s="169">
        <v>-508100</v>
      </c>
      <c r="E84" s="169">
        <v>-362700</v>
      </c>
      <c r="F84" s="169">
        <v>-163000</v>
      </c>
      <c r="G84" s="169">
        <v>-121700</v>
      </c>
      <c r="H84" s="188"/>
      <c r="I84" s="190"/>
      <c r="K84" s="190"/>
    </row>
    <row r="85" spans="1:11" ht="13" x14ac:dyDescent="0.3">
      <c r="A85" s="171" t="s">
        <v>29</v>
      </c>
      <c r="B85" s="172">
        <v>147200</v>
      </c>
      <c r="C85" s="172">
        <f>SUM(C81:C84)</f>
        <v>-364600</v>
      </c>
      <c r="D85" s="172">
        <f>SUM(D81:D84)</f>
        <v>-503300</v>
      </c>
      <c r="E85" s="172">
        <f>SUM(E81:E84)</f>
        <v>-330300</v>
      </c>
      <c r="F85" s="172">
        <f>SUM(F81:F84)</f>
        <v>-155600</v>
      </c>
      <c r="G85" s="172">
        <f>SUM(G81:G84)</f>
        <v>-108400</v>
      </c>
      <c r="H85" s="188">
        <f t="shared" si="15"/>
        <v>-2.0631038857922013</v>
      </c>
      <c r="I85" s="190">
        <f t="shared" si="16"/>
        <v>-2.3579335793357936</v>
      </c>
      <c r="J85" s="160"/>
      <c r="K85" s="190">
        <f t="shared" si="12"/>
        <v>4.6890031408675934E-3</v>
      </c>
    </row>
    <row r="86" spans="1:11" ht="13" x14ac:dyDescent="0.3">
      <c r="A86" s="161" t="s">
        <v>250</v>
      </c>
      <c r="B86" s="164">
        <f>SUM(B78:B80)+B85</f>
        <v>-5321200</v>
      </c>
      <c r="C86" s="164">
        <f>SUM(C78:C80)+C85</f>
        <v>-7805100</v>
      </c>
      <c r="D86" s="164">
        <f t="shared" ref="D86:E86" si="17">SUM(D78:D80)+D85</f>
        <v>-6232200</v>
      </c>
      <c r="E86" s="164">
        <f t="shared" si="17"/>
        <v>1169500</v>
      </c>
      <c r="F86" s="164">
        <f>SUM(F78:F80)+F85</f>
        <v>5450100</v>
      </c>
      <c r="G86" s="164">
        <f t="shared" ref="G86" si="18">SUM(G78:G80)+G85</f>
        <v>5884000</v>
      </c>
      <c r="H86" s="188">
        <f t="shared" si="15"/>
        <v>-1.980093217265616</v>
      </c>
      <c r="I86" s="190">
        <f t="shared" si="16"/>
        <v>-1.9043507817811012</v>
      </c>
      <c r="K86" s="190">
        <f t="shared" si="12"/>
        <v>-0.16950491517109129</v>
      </c>
    </row>
    <row r="87" spans="1:11" x14ac:dyDescent="0.25">
      <c r="A87" s="148" t="s">
        <v>30</v>
      </c>
      <c r="B87" s="195">
        <v>6700</v>
      </c>
      <c r="C87" s="169">
        <v>5700</v>
      </c>
      <c r="D87" s="169">
        <v>1200</v>
      </c>
      <c r="E87" s="169">
        <v>6300</v>
      </c>
      <c r="F87" s="169">
        <v>6900</v>
      </c>
      <c r="G87" s="169">
        <v>6700</v>
      </c>
      <c r="H87" s="188"/>
      <c r="I87" s="190"/>
      <c r="K87" s="190">
        <f t="shared" si="12"/>
        <v>2.1342609404764181E-4</v>
      </c>
    </row>
    <row r="88" spans="1:11" ht="13" x14ac:dyDescent="0.3">
      <c r="A88" s="161" t="s">
        <v>31</v>
      </c>
      <c r="B88" s="164">
        <f>B86+B87</f>
        <v>-5314500</v>
      </c>
      <c r="C88" s="164">
        <f>C86+C87</f>
        <v>-7799400</v>
      </c>
      <c r="D88" s="164">
        <f>D86+D87</f>
        <v>-6231000</v>
      </c>
      <c r="E88" s="164">
        <f t="shared" ref="E88:G88" si="19">E86+E87</f>
        <v>1175800</v>
      </c>
      <c r="F88" s="164">
        <f t="shared" si="19"/>
        <v>5457000</v>
      </c>
      <c r="G88" s="164">
        <f t="shared" si="19"/>
        <v>5890700</v>
      </c>
      <c r="H88" s="188">
        <f t="shared" si="15"/>
        <v>-1.9796232887796652</v>
      </c>
      <c r="I88" s="190">
        <f t="shared" si="16"/>
        <v>-1.9021847997691275</v>
      </c>
      <c r="K88" s="190">
        <f t="shared" si="12"/>
        <v>-0.16929148907704364</v>
      </c>
    </row>
    <row r="89" spans="1:11" ht="13.5" thickBot="1" x14ac:dyDescent="0.35">
      <c r="A89" s="174" t="s">
        <v>324</v>
      </c>
      <c r="B89" s="175">
        <f>B76+B88</f>
        <v>31392600</v>
      </c>
      <c r="C89" s="175">
        <f>C76+C88</f>
        <v>29374500</v>
      </c>
      <c r="D89" s="175">
        <f t="shared" ref="D89:G89" si="20">D76+D88</f>
        <v>19219600</v>
      </c>
      <c r="E89" s="175">
        <f t="shared" si="20"/>
        <v>24156400</v>
      </c>
      <c r="F89" s="175">
        <f t="shared" si="20"/>
        <v>14365600</v>
      </c>
      <c r="G89" s="175">
        <f t="shared" si="20"/>
        <v>14329500</v>
      </c>
      <c r="H89" s="188">
        <f t="shared" si="15"/>
        <v>0.16982055984151945</v>
      </c>
      <c r="I89" s="190">
        <f t="shared" si="16"/>
        <v>1.1907672982309223</v>
      </c>
      <c r="K89" s="190">
        <f t="shared" si="12"/>
        <v>1</v>
      </c>
    </row>
    <row r="90" spans="1:11" ht="13" x14ac:dyDescent="0.3">
      <c r="A90" s="176" t="s">
        <v>325</v>
      </c>
      <c r="B90" s="176" t="str">
        <f>IF(B48=B89,"CORRECT","ERROR")</f>
        <v>CORRECT</v>
      </c>
      <c r="C90" s="176" t="str">
        <f>IF(C48=C89,"CORRECT","ERROR")</f>
        <v>CORRECT</v>
      </c>
      <c r="D90" s="176" t="str">
        <f t="shared" ref="D90:G90" si="21">IF(D48=D89,"CORRECT","ERROR")</f>
        <v>CORRECT</v>
      </c>
      <c r="E90" s="176" t="str">
        <f t="shared" si="21"/>
        <v>CORRECT</v>
      </c>
      <c r="F90" s="176" t="str">
        <f t="shared" si="21"/>
        <v>CORRECT</v>
      </c>
      <c r="G90" s="176" t="str">
        <f t="shared" si="21"/>
        <v>CORRECT</v>
      </c>
    </row>
    <row r="94" spans="1:11" x14ac:dyDescent="0.25">
      <c r="B94" s="142">
        <v>2016</v>
      </c>
      <c r="C94" s="142">
        <f>B94+1</f>
        <v>2017</v>
      </c>
      <c r="D94" s="142">
        <f t="shared" ref="D94:G94" si="22">C94+1</f>
        <v>2018</v>
      </c>
      <c r="E94" s="142">
        <f t="shared" si="22"/>
        <v>2019</v>
      </c>
      <c r="F94" s="142">
        <f t="shared" si="22"/>
        <v>2020</v>
      </c>
      <c r="G94" s="142">
        <f t="shared" si="22"/>
        <v>2021</v>
      </c>
    </row>
    <row r="95" spans="1:11" x14ac:dyDescent="0.25">
      <c r="A95" s="142" t="s">
        <v>242</v>
      </c>
      <c r="B95" s="160">
        <v>3602200</v>
      </c>
      <c r="C95" s="160">
        <v>3932600</v>
      </c>
      <c r="D95" s="160">
        <v>9090200</v>
      </c>
      <c r="E95" s="160">
        <v>11167000</v>
      </c>
      <c r="F95" s="160">
        <v>14659600</v>
      </c>
      <c r="G95" s="160">
        <v>13616900</v>
      </c>
    </row>
    <row r="96" spans="1:11" ht="13" x14ac:dyDescent="0.3">
      <c r="A96" s="161" t="s">
        <v>244</v>
      </c>
      <c r="B96" s="160">
        <v>8438800</v>
      </c>
      <c r="C96" s="160">
        <v>8908600</v>
      </c>
      <c r="D96" s="160">
        <v>22980600</v>
      </c>
      <c r="E96" s="160">
        <v>25450600</v>
      </c>
      <c r="F96" s="160">
        <v>37173900</v>
      </c>
      <c r="G96" s="160">
        <v>36707100</v>
      </c>
    </row>
    <row r="97" spans="1:7" ht="13" x14ac:dyDescent="0.3">
      <c r="A97" s="162" t="s">
        <v>336</v>
      </c>
      <c r="B97" s="160">
        <f>G89</f>
        <v>14329500</v>
      </c>
      <c r="C97" s="160">
        <f>F89</f>
        <v>14365600</v>
      </c>
      <c r="D97" s="160">
        <f>E89</f>
        <v>24156400</v>
      </c>
      <c r="E97" s="160">
        <f>D89</f>
        <v>19219600</v>
      </c>
      <c r="F97" s="160">
        <f>C89</f>
        <v>29374500</v>
      </c>
      <c r="G97" s="160">
        <f>B89</f>
        <v>31392600</v>
      </c>
    </row>
    <row r="98" spans="1:7" ht="13" x14ac:dyDescent="0.3">
      <c r="A98" s="162"/>
      <c r="B98" s="214">
        <v>2016</v>
      </c>
      <c r="C98" s="214">
        <f>B98+1</f>
        <v>2017</v>
      </c>
      <c r="D98" s="214">
        <f t="shared" ref="D98:G98" si="23">C98+1</f>
        <v>2018</v>
      </c>
      <c r="E98" s="214">
        <f t="shared" si="23"/>
        <v>2019</v>
      </c>
      <c r="F98" s="214">
        <f t="shared" si="23"/>
        <v>2020</v>
      </c>
      <c r="G98" s="214">
        <f t="shared" si="23"/>
        <v>2021</v>
      </c>
    </row>
    <row r="99" spans="1:7" x14ac:dyDescent="0.25">
      <c r="A99" s="173" t="s">
        <v>335</v>
      </c>
      <c r="B99" s="190">
        <f>B95/B97</f>
        <v>0.25138350954324995</v>
      </c>
      <c r="C99" s="190">
        <f t="shared" ref="C99:G99" si="24">C95/C97</f>
        <v>0.27375118338252491</v>
      </c>
      <c r="D99" s="190">
        <f t="shared" si="24"/>
        <v>0.37630607209683564</v>
      </c>
      <c r="E99" s="190">
        <f t="shared" si="24"/>
        <v>0.58102145726237797</v>
      </c>
      <c r="F99" s="190">
        <f t="shared" si="24"/>
        <v>0.49905870738225333</v>
      </c>
      <c r="G99" s="190">
        <f t="shared" si="24"/>
        <v>0.4337614597070647</v>
      </c>
    </row>
    <row r="100" spans="1:7" x14ac:dyDescent="0.25">
      <c r="A100" s="173" t="s">
        <v>69</v>
      </c>
      <c r="B100" s="194">
        <f>B96/B97</f>
        <v>0.58891098782232454</v>
      </c>
      <c r="C100" s="194">
        <f t="shared" ref="C100:G100" si="25">C96/C97</f>
        <v>0.62013420950047338</v>
      </c>
      <c r="D100" s="194">
        <f t="shared" si="25"/>
        <v>0.95132552863837327</v>
      </c>
      <c r="E100" s="194">
        <f t="shared" si="25"/>
        <v>1.3242002955316448</v>
      </c>
      <c r="F100" s="194">
        <f t="shared" si="25"/>
        <v>1.2655160087831283</v>
      </c>
      <c r="G100" s="194">
        <f t="shared" si="25"/>
        <v>1.1692914890770436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3:G13"/>
    <mergeCell ref="A49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66"/>
  <sheetViews>
    <sheetView showGridLines="0" topLeftCell="A8" zoomScale="80" zoomScaleNormal="80" workbookViewId="0">
      <selection activeCell="B26" sqref="B26"/>
    </sheetView>
  </sheetViews>
  <sheetFormatPr defaultColWidth="8.7265625" defaultRowHeight="12.5" x14ac:dyDescent="0.25"/>
  <cols>
    <col min="1" max="1" width="58" style="142" bestFit="1" customWidth="1"/>
    <col min="2" max="2" width="13.81640625" style="142" bestFit="1" customWidth="1"/>
    <col min="3" max="7" width="13.453125" style="142" bestFit="1" customWidth="1"/>
    <col min="8" max="197" width="12" style="142" customWidth="1"/>
    <col min="198" max="16384" width="8.7265625" style="142"/>
  </cols>
  <sheetData>
    <row r="4" spans="1:11" x14ac:dyDescent="0.25">
      <c r="A4" s="143" t="s">
        <v>190</v>
      </c>
      <c r="B4" s="143"/>
    </row>
    <row r="5" spans="1:11" ht="20" x14ac:dyDescent="0.4">
      <c r="A5" s="144" t="s">
        <v>191</v>
      </c>
      <c r="B5" s="144"/>
    </row>
    <row r="7" spans="1:11" x14ac:dyDescent="0.25">
      <c r="A7" s="145" t="s">
        <v>0</v>
      </c>
      <c r="B7" s="145"/>
    </row>
    <row r="9" spans="1:11" x14ac:dyDescent="0.25">
      <c r="A9" s="173" t="s">
        <v>326</v>
      </c>
      <c r="B9" s="173"/>
    </row>
    <row r="10" spans="1:11" ht="13" x14ac:dyDescent="0.25">
      <c r="A10" s="177" t="s">
        <v>34</v>
      </c>
      <c r="B10" s="177"/>
    </row>
    <row r="11" spans="1:11" ht="14.5" customHeight="1" x14ac:dyDescent="0.25">
      <c r="A11" s="146" t="s">
        <v>1</v>
      </c>
      <c r="B11" s="193">
        <v>44472</v>
      </c>
      <c r="C11" s="147" t="s">
        <v>192</v>
      </c>
      <c r="D11" s="147" t="s">
        <v>193</v>
      </c>
      <c r="E11" s="147" t="s">
        <v>194</v>
      </c>
      <c r="F11" s="147" t="s">
        <v>195</v>
      </c>
      <c r="G11" s="147" t="s">
        <v>196</v>
      </c>
      <c r="H11" s="414" t="s">
        <v>37</v>
      </c>
      <c r="I11" s="416" t="s">
        <v>330</v>
      </c>
      <c r="J11" s="416" t="s">
        <v>332</v>
      </c>
      <c r="K11" s="416" t="s">
        <v>337</v>
      </c>
    </row>
    <row r="12" spans="1:11" ht="13" x14ac:dyDescent="0.25">
      <c r="A12" s="146" t="s">
        <v>2</v>
      </c>
      <c r="B12" s="146" t="s">
        <v>3</v>
      </c>
      <c r="C12" s="147" t="s">
        <v>3</v>
      </c>
      <c r="D12" s="147" t="s">
        <v>3</v>
      </c>
      <c r="E12" s="147" t="s">
        <v>3</v>
      </c>
      <c r="F12" s="147" t="s">
        <v>3</v>
      </c>
      <c r="G12" s="147" t="s">
        <v>3</v>
      </c>
      <c r="H12" s="414"/>
      <c r="I12" s="416"/>
      <c r="J12" s="416"/>
      <c r="K12" s="416"/>
    </row>
    <row r="13" spans="1:11" x14ac:dyDescent="0.25">
      <c r="A13" s="148" t="s">
        <v>251</v>
      </c>
      <c r="B13" s="195">
        <v>24607000</v>
      </c>
      <c r="C13" s="169">
        <v>19164600</v>
      </c>
      <c r="D13" s="169">
        <v>21544400</v>
      </c>
      <c r="E13" s="169">
        <v>19690300</v>
      </c>
      <c r="F13" s="169">
        <v>17650700</v>
      </c>
      <c r="G13" s="169">
        <v>16844100</v>
      </c>
      <c r="H13" s="189">
        <f>(B13/G13)^(1/(YEAR($B$11)-YEAR($F$11)))-1</f>
        <v>9.9392359860174251E-2</v>
      </c>
      <c r="I13" s="190">
        <f>B13/G13-1</f>
        <v>0.46086760349321132</v>
      </c>
      <c r="J13" s="190">
        <f>B13/C13-1</f>
        <v>0.28398192500756614</v>
      </c>
    </row>
    <row r="14" spans="1:11" x14ac:dyDescent="0.25">
      <c r="A14" s="148" t="s">
        <v>252</v>
      </c>
      <c r="B14" s="195">
        <v>2683600</v>
      </c>
      <c r="C14" s="169">
        <v>2327100</v>
      </c>
      <c r="D14" s="169">
        <v>2875000</v>
      </c>
      <c r="E14" s="169">
        <v>2652200</v>
      </c>
      <c r="F14" s="169">
        <v>2355000</v>
      </c>
      <c r="G14" s="169">
        <v>2154200</v>
      </c>
      <c r="H14" s="189">
        <f t="shared" ref="H14:H52" si="0">(B14/G14)^(1/(YEAR($B$11)-YEAR($F$11)))-1</f>
        <v>5.6471876205973492E-2</v>
      </c>
      <c r="I14" s="190">
        <f t="shared" ref="I14:I53" si="1">B14/G14-1</f>
        <v>0.24575248352056445</v>
      </c>
      <c r="J14" s="190">
        <f t="shared" ref="J14:J53" si="2">B14/C14-1</f>
        <v>0.15319496368871133</v>
      </c>
    </row>
    <row r="15" spans="1:11" x14ac:dyDescent="0.25">
      <c r="A15" s="186" t="s">
        <v>329</v>
      </c>
      <c r="B15" s="196">
        <v>1770000</v>
      </c>
      <c r="C15" s="169">
        <v>2026300</v>
      </c>
      <c r="D15" s="169">
        <v>2089200</v>
      </c>
      <c r="E15" s="169">
        <v>2377000</v>
      </c>
      <c r="F15" s="169">
        <v>2381100</v>
      </c>
      <c r="G15" s="169">
        <v>2317600</v>
      </c>
      <c r="H15" s="189">
        <f t="shared" si="0"/>
        <v>-6.5167729122806772E-2</v>
      </c>
      <c r="I15" s="190">
        <f t="shared" si="1"/>
        <v>-0.2362789092164308</v>
      </c>
      <c r="J15" s="190">
        <f t="shared" si="2"/>
        <v>-0.12648669989636285</v>
      </c>
    </row>
    <row r="16" spans="1:11" ht="13" x14ac:dyDescent="0.3">
      <c r="A16" s="161" t="s">
        <v>253</v>
      </c>
      <c r="B16" s="164">
        <f>SUM(B13:B15)</f>
        <v>29060600</v>
      </c>
      <c r="C16" s="164">
        <f>SUM(C13:C15)</f>
        <v>23518000</v>
      </c>
      <c r="D16" s="164">
        <f>SUM(D13:D15)</f>
        <v>26508600</v>
      </c>
      <c r="E16" s="164">
        <f t="shared" ref="E16:G16" si="3">SUM(E13:E15)</f>
        <v>24719500</v>
      </c>
      <c r="F16" s="164">
        <f t="shared" si="3"/>
        <v>22386800</v>
      </c>
      <c r="G16" s="164">
        <f t="shared" si="3"/>
        <v>21315900</v>
      </c>
      <c r="H16" s="213">
        <f t="shared" si="0"/>
        <v>8.0563331013147943E-2</v>
      </c>
      <c r="I16" s="210">
        <f t="shared" si="1"/>
        <v>0.36332972100638483</v>
      </c>
      <c r="J16" s="210">
        <f t="shared" si="2"/>
        <v>0.23567480227910531</v>
      </c>
      <c r="K16" s="190">
        <f>B16/D16-1</f>
        <v>9.6270644243754866E-2</v>
      </c>
    </row>
    <row r="17" spans="1:11" ht="13" x14ac:dyDescent="0.3">
      <c r="A17" s="162" t="s">
        <v>338</v>
      </c>
      <c r="B17" s="220">
        <f t="shared" ref="B17:E17" si="4">B16/C16-1</f>
        <v>0.23567480227910531</v>
      </c>
      <c r="C17" s="220">
        <f t="shared" si="4"/>
        <v>-0.11281621813298326</v>
      </c>
      <c r="D17" s="220">
        <f t="shared" si="4"/>
        <v>7.2376059386314529E-2</v>
      </c>
      <c r="E17" s="220">
        <f t="shared" si="4"/>
        <v>0.10419979630853904</v>
      </c>
      <c r="F17" s="220">
        <f>F16/G16-1</f>
        <v>5.0239492585347101E-2</v>
      </c>
      <c r="G17" s="165"/>
      <c r="H17" s="218"/>
      <c r="I17" s="219"/>
      <c r="J17" s="219"/>
      <c r="K17" s="190"/>
    </row>
    <row r="18" spans="1:11" x14ac:dyDescent="0.25">
      <c r="A18" s="166" t="s">
        <v>254</v>
      </c>
      <c r="B18" s="198">
        <v>8738700</v>
      </c>
      <c r="C18" s="169">
        <v>7694900</v>
      </c>
      <c r="D18" s="169">
        <v>8526900</v>
      </c>
      <c r="E18" s="169">
        <v>10174500</v>
      </c>
      <c r="F18" s="169">
        <v>9038200</v>
      </c>
      <c r="G18" s="169">
        <v>8511100</v>
      </c>
      <c r="H18" s="189">
        <f t="shared" si="0"/>
        <v>6.619372661078593E-3</v>
      </c>
      <c r="I18" s="190">
        <f t="shared" si="1"/>
        <v>2.6741549270951959E-2</v>
      </c>
      <c r="J18" s="190">
        <f t="shared" si="2"/>
        <v>0.13564828652744021</v>
      </c>
    </row>
    <row r="19" spans="1:11" x14ac:dyDescent="0.25">
      <c r="A19" s="166" t="s">
        <v>255</v>
      </c>
      <c r="B19" s="198">
        <v>11930900</v>
      </c>
      <c r="C19" s="169">
        <v>10764000</v>
      </c>
      <c r="D19" s="169">
        <v>10493600</v>
      </c>
      <c r="E19" s="169">
        <v>7193200</v>
      </c>
      <c r="F19" s="169">
        <v>6493300</v>
      </c>
      <c r="G19" s="169">
        <v>6064300</v>
      </c>
      <c r="H19" s="189">
        <f t="shared" si="0"/>
        <v>0.18433109507466838</v>
      </c>
      <c r="I19" s="190">
        <f t="shared" si="1"/>
        <v>0.96739937008393384</v>
      </c>
      <c r="J19" s="190">
        <f t="shared" si="2"/>
        <v>0.10840765514678563</v>
      </c>
      <c r="K19" s="190">
        <f>B19/D19-1</f>
        <v>0.13696920027445292</v>
      </c>
    </row>
    <row r="20" spans="1:11" x14ac:dyDescent="0.25">
      <c r="A20" s="166" t="s">
        <v>256</v>
      </c>
      <c r="B20" s="198">
        <v>359500</v>
      </c>
      <c r="C20" s="169">
        <v>430300</v>
      </c>
      <c r="D20" s="169">
        <v>371000</v>
      </c>
      <c r="E20" s="169">
        <v>539300</v>
      </c>
      <c r="F20" s="169">
        <v>553800</v>
      </c>
      <c r="G20" s="169">
        <v>545400</v>
      </c>
      <c r="H20" s="189">
        <f t="shared" si="0"/>
        <v>-9.8956121978478029E-2</v>
      </c>
      <c r="I20" s="190">
        <f t="shared" si="1"/>
        <v>-0.34085075174184087</v>
      </c>
      <c r="J20" s="190">
        <f t="shared" si="2"/>
        <v>-0.16453636997443644</v>
      </c>
    </row>
    <row r="21" spans="1:11" x14ac:dyDescent="0.25">
      <c r="A21" s="166" t="s">
        <v>257</v>
      </c>
      <c r="B21" s="198">
        <v>1441700</v>
      </c>
      <c r="C21" s="169">
        <v>1431300</v>
      </c>
      <c r="D21" s="169">
        <v>1377300</v>
      </c>
      <c r="E21" s="169">
        <v>1247000</v>
      </c>
      <c r="F21" s="169">
        <v>1011400</v>
      </c>
      <c r="G21" s="169">
        <v>980800</v>
      </c>
      <c r="H21" s="189">
        <f t="shared" si="0"/>
        <v>0.10109200771840587</v>
      </c>
      <c r="I21" s="190">
        <f t="shared" si="1"/>
        <v>0.46992251223491022</v>
      </c>
      <c r="J21" s="190">
        <f t="shared" si="2"/>
        <v>7.2661217075387086E-3</v>
      </c>
    </row>
    <row r="22" spans="1:11" x14ac:dyDescent="0.25">
      <c r="A22" s="166" t="s">
        <v>258</v>
      </c>
      <c r="B22" s="198">
        <v>1932600</v>
      </c>
      <c r="C22" s="169">
        <v>1679600</v>
      </c>
      <c r="D22" s="169">
        <v>1824100</v>
      </c>
      <c r="E22" s="169">
        <v>1759000</v>
      </c>
      <c r="F22" s="169">
        <v>1393300</v>
      </c>
      <c r="G22" s="169">
        <v>1360600</v>
      </c>
      <c r="H22" s="189">
        <f t="shared" si="0"/>
        <v>9.169891114930695E-2</v>
      </c>
      <c r="I22" s="190">
        <f t="shared" si="1"/>
        <v>0.42040276348669714</v>
      </c>
      <c r="J22" s="190">
        <f t="shared" si="2"/>
        <v>0.15063110264348656</v>
      </c>
    </row>
    <row r="23" spans="1:11" x14ac:dyDescent="0.25">
      <c r="A23" s="166" t="s">
        <v>259</v>
      </c>
      <c r="B23" s="198">
        <v>170400</v>
      </c>
      <c r="C23" s="169">
        <v>278700</v>
      </c>
      <c r="D23" s="169">
        <v>135800</v>
      </c>
      <c r="E23" s="169">
        <v>224400</v>
      </c>
      <c r="F23" s="169">
        <v>153500</v>
      </c>
      <c r="G23" s="170">
        <v>0</v>
      </c>
      <c r="H23" s="189"/>
      <c r="I23" s="190"/>
      <c r="J23" s="190">
        <f t="shared" si="2"/>
        <v>-0.38858988159311092</v>
      </c>
    </row>
    <row r="24" spans="1:11" ht="13" x14ac:dyDescent="0.3">
      <c r="A24" s="161" t="s">
        <v>260</v>
      </c>
      <c r="B24" s="164">
        <f t="shared" ref="B24:G24" si="5">SUM(B18:B23)</f>
        <v>24573800</v>
      </c>
      <c r="C24" s="164">
        <f t="shared" si="5"/>
        <v>22278800</v>
      </c>
      <c r="D24" s="164">
        <f t="shared" si="5"/>
        <v>22728700</v>
      </c>
      <c r="E24" s="164">
        <f t="shared" si="5"/>
        <v>21137400</v>
      </c>
      <c r="F24" s="164">
        <f t="shared" si="5"/>
        <v>18643500</v>
      </c>
      <c r="G24" s="164">
        <f t="shared" si="5"/>
        <v>17462200</v>
      </c>
      <c r="H24" s="212">
        <f t="shared" si="0"/>
        <v>8.9164155751505492E-2</v>
      </c>
      <c r="I24" s="209">
        <f t="shared" si="1"/>
        <v>0.40725681758312238</v>
      </c>
      <c r="J24" s="209">
        <f t="shared" si="2"/>
        <v>0.10301272959046259</v>
      </c>
    </row>
    <row r="25" spans="1:11" x14ac:dyDescent="0.25">
      <c r="A25" s="148" t="s">
        <v>261</v>
      </c>
      <c r="B25" s="195">
        <v>385300</v>
      </c>
      <c r="C25" s="169">
        <v>322500</v>
      </c>
      <c r="D25" s="169">
        <v>298000</v>
      </c>
      <c r="E25" s="169">
        <v>301200</v>
      </c>
      <c r="F25" s="169">
        <v>391400</v>
      </c>
      <c r="G25" s="169">
        <v>318200</v>
      </c>
      <c r="H25" s="189">
        <f t="shared" si="0"/>
        <v>4.899811654101649E-2</v>
      </c>
      <c r="I25" s="190">
        <f t="shared" si="1"/>
        <v>0.21087366436203636</v>
      </c>
      <c r="J25" s="190">
        <f t="shared" si="2"/>
        <v>0.19472868217054273</v>
      </c>
    </row>
    <row r="26" spans="1:11" ht="13" x14ac:dyDescent="0.3">
      <c r="A26" s="161" t="s">
        <v>262</v>
      </c>
      <c r="B26" s="164">
        <f>B16-B24+B25</f>
        <v>4872100</v>
      </c>
      <c r="C26" s="164">
        <f>C16-C24+C25</f>
        <v>1561700</v>
      </c>
      <c r="D26" s="164">
        <f>D16-D24+D25</f>
        <v>4077900</v>
      </c>
      <c r="E26" s="164">
        <f t="shared" ref="E26:G26" si="6">E16-E24+E25</f>
        <v>3883300</v>
      </c>
      <c r="F26" s="164">
        <f t="shared" si="6"/>
        <v>4134700</v>
      </c>
      <c r="G26" s="164">
        <f t="shared" si="6"/>
        <v>4171900</v>
      </c>
      <c r="H26" s="212">
        <f t="shared" si="0"/>
        <v>3.9550462414678966E-2</v>
      </c>
      <c r="I26" s="209">
        <f t="shared" si="1"/>
        <v>0.16783719648121953</v>
      </c>
      <c r="J26" s="209">
        <f t="shared" si="2"/>
        <v>2.1197413075494653</v>
      </c>
      <c r="K26" s="190">
        <f>B26/D26-1</f>
        <v>0.19475710537286339</v>
      </c>
    </row>
    <row r="27" spans="1:11" ht="13" x14ac:dyDescent="0.3">
      <c r="A27" s="162" t="s">
        <v>339</v>
      </c>
      <c r="B27" s="220">
        <f t="shared" ref="B27:E27" si="7">B26/C26-1</f>
        <v>2.1197413075494653</v>
      </c>
      <c r="C27" s="220">
        <f t="shared" si="7"/>
        <v>-0.61703327693175414</v>
      </c>
      <c r="D27" s="220">
        <f t="shared" si="7"/>
        <v>5.0112018128910973E-2</v>
      </c>
      <c r="E27" s="220">
        <f t="shared" si="7"/>
        <v>-6.0802476600478883E-2</v>
      </c>
      <c r="F27" s="220">
        <f>F26/G26-1</f>
        <v>-8.9168004985737959E-3</v>
      </c>
      <c r="G27" s="165"/>
      <c r="H27" s="222"/>
      <c r="I27" s="223"/>
      <c r="J27" s="223"/>
      <c r="K27" s="190"/>
    </row>
    <row r="28" spans="1:11" x14ac:dyDescent="0.25">
      <c r="A28" s="148" t="s">
        <v>263</v>
      </c>
      <c r="B28" s="195"/>
      <c r="C28" s="170">
        <v>0</v>
      </c>
      <c r="D28" s="170">
        <v>0</v>
      </c>
      <c r="E28" s="169">
        <v>1376400</v>
      </c>
      <c r="F28" s="170">
        <v>0</v>
      </c>
      <c r="G28" s="170">
        <v>0</v>
      </c>
      <c r="H28" s="189"/>
      <c r="I28" s="190"/>
      <c r="J28" s="190"/>
    </row>
    <row r="29" spans="1:11" x14ac:dyDescent="0.25">
      <c r="A29" s="148" t="s">
        <v>264</v>
      </c>
      <c r="B29" s="195">
        <v>864500</v>
      </c>
      <c r="C29" s="170">
        <v>0</v>
      </c>
      <c r="D29" s="169">
        <v>622800</v>
      </c>
      <c r="E29" s="169">
        <v>499200</v>
      </c>
      <c r="F29" s="170">
        <v>0</v>
      </c>
      <c r="G29" s="170">
        <v>0</v>
      </c>
      <c r="H29" s="189"/>
      <c r="I29" s="190"/>
      <c r="J29" s="190"/>
    </row>
    <row r="30" spans="1:11" x14ac:dyDescent="0.25">
      <c r="A30" s="148" t="s">
        <v>265</v>
      </c>
      <c r="B30" s="195">
        <v>90100</v>
      </c>
      <c r="C30" s="169">
        <v>39700</v>
      </c>
      <c r="D30" s="169">
        <v>96500</v>
      </c>
      <c r="E30" s="169">
        <v>191400</v>
      </c>
      <c r="F30" s="169">
        <v>275300</v>
      </c>
      <c r="G30" s="169">
        <v>108000</v>
      </c>
      <c r="H30" s="189">
        <f t="shared" si="0"/>
        <v>-4.4291917532057523E-2</v>
      </c>
      <c r="I30" s="190">
        <f t="shared" si="1"/>
        <v>-0.16574074074074074</v>
      </c>
      <c r="J30" s="190">
        <f t="shared" si="2"/>
        <v>1.2695214105793449</v>
      </c>
    </row>
    <row r="31" spans="1:11" x14ac:dyDescent="0.25">
      <c r="A31" s="148" t="s">
        <v>7</v>
      </c>
      <c r="B31" s="195">
        <v>469800</v>
      </c>
      <c r="C31" s="169">
        <v>437000</v>
      </c>
      <c r="D31" s="169">
        <v>331000</v>
      </c>
      <c r="E31" s="169">
        <v>170300</v>
      </c>
      <c r="F31" s="169">
        <v>92500</v>
      </c>
      <c r="G31" s="169">
        <v>81300</v>
      </c>
      <c r="H31" s="189">
        <f t="shared" si="0"/>
        <v>0.5504423292317997</v>
      </c>
      <c r="I31" s="190">
        <f t="shared" si="1"/>
        <v>4.7785977859778601</v>
      </c>
      <c r="J31" s="190">
        <f t="shared" si="2"/>
        <v>7.5057208237986339E-2</v>
      </c>
    </row>
    <row r="32" spans="1:11" ht="13" x14ac:dyDescent="0.3">
      <c r="A32" s="161" t="s">
        <v>266</v>
      </c>
      <c r="B32" s="201">
        <f>B26+B29+B30-B31</f>
        <v>5356900</v>
      </c>
      <c r="C32" s="164">
        <v>904600</v>
      </c>
      <c r="D32" s="164">
        <v>3518700</v>
      </c>
      <c r="E32" s="164">
        <v>4826000</v>
      </c>
      <c r="F32" s="164">
        <v>3393000</v>
      </c>
      <c r="G32" s="164">
        <v>3415700</v>
      </c>
      <c r="H32" s="212">
        <f t="shared" si="0"/>
        <v>0.11907309607864569</v>
      </c>
      <c r="I32" s="209">
        <f t="shared" si="1"/>
        <v>0.56831688965658578</v>
      </c>
      <c r="J32" s="209">
        <f t="shared" si="2"/>
        <v>4.9218439089100157</v>
      </c>
    </row>
    <row r="33" spans="1:11" ht="13" x14ac:dyDescent="0.3">
      <c r="A33" s="162" t="s">
        <v>267</v>
      </c>
      <c r="B33" s="199"/>
      <c r="C33" s="163">
        <v>259800</v>
      </c>
      <c r="D33" s="163">
        <v>947500</v>
      </c>
      <c r="E33" s="178">
        <v>0</v>
      </c>
      <c r="F33" s="163">
        <v>924500</v>
      </c>
      <c r="G33" s="163">
        <v>782900</v>
      </c>
      <c r="H33" s="189"/>
      <c r="I33" s="190"/>
      <c r="J33" s="190"/>
    </row>
    <row r="34" spans="1:11" ht="13" x14ac:dyDescent="0.3">
      <c r="A34" s="161" t="s">
        <v>268</v>
      </c>
      <c r="B34" s="201">
        <f>B32</f>
        <v>5356900</v>
      </c>
      <c r="C34" s="164">
        <f>C32+C33</f>
        <v>1164400</v>
      </c>
      <c r="D34" s="164">
        <f>D32+D33</f>
        <v>4466200</v>
      </c>
      <c r="E34" s="164">
        <f t="shared" ref="E34:G34" si="8">E32+E33</f>
        <v>4826000</v>
      </c>
      <c r="F34" s="164">
        <f t="shared" si="8"/>
        <v>4317500</v>
      </c>
      <c r="G34" s="164">
        <f t="shared" si="8"/>
        <v>4198600</v>
      </c>
      <c r="H34" s="212">
        <f t="shared" si="0"/>
        <v>6.2801746595785524E-2</v>
      </c>
      <c r="I34" s="209">
        <f t="shared" si="1"/>
        <v>0.27587767351021775</v>
      </c>
      <c r="J34" s="209">
        <f t="shared" si="2"/>
        <v>3.6005668155273103</v>
      </c>
    </row>
    <row r="35" spans="1:11" x14ac:dyDescent="0.25">
      <c r="A35" s="166" t="s">
        <v>269</v>
      </c>
      <c r="B35" s="198"/>
      <c r="C35" s="169">
        <v>49900</v>
      </c>
      <c r="D35" s="169">
        <v>1414300</v>
      </c>
      <c r="E35" s="169">
        <v>156200</v>
      </c>
      <c r="F35" s="169">
        <v>931000</v>
      </c>
      <c r="G35" s="169">
        <v>704100</v>
      </c>
      <c r="H35" s="189"/>
      <c r="I35" s="190"/>
      <c r="J35" s="190"/>
    </row>
    <row r="36" spans="1:11" x14ac:dyDescent="0.25">
      <c r="A36" s="166" t="s">
        <v>270</v>
      </c>
      <c r="B36" s="198"/>
      <c r="C36" s="169">
        <v>36900</v>
      </c>
      <c r="D36" s="169">
        <v>447800</v>
      </c>
      <c r="E36" s="169">
        <v>52000</v>
      </c>
      <c r="F36" s="169">
        <v>170800</v>
      </c>
      <c r="G36" s="169">
        <v>166500</v>
      </c>
      <c r="H36" s="189"/>
      <c r="I36" s="190"/>
      <c r="J36" s="190"/>
    </row>
    <row r="37" spans="1:11" x14ac:dyDescent="0.25">
      <c r="A37" s="166" t="s">
        <v>271</v>
      </c>
      <c r="B37" s="198"/>
      <c r="C37" s="169">
        <v>181400</v>
      </c>
      <c r="D37" s="169">
        <v>458300</v>
      </c>
      <c r="E37" s="169">
        <v>327000</v>
      </c>
      <c r="F37" s="169">
        <v>216600</v>
      </c>
      <c r="G37" s="169">
        <v>218500</v>
      </c>
      <c r="H37" s="189"/>
      <c r="I37" s="190"/>
      <c r="J37" s="190"/>
    </row>
    <row r="38" spans="1:11" ht="13" x14ac:dyDescent="0.3">
      <c r="A38" s="161" t="s">
        <v>272</v>
      </c>
      <c r="B38" s="201">
        <v>1156600</v>
      </c>
      <c r="C38" s="164">
        <f>SUM(C35:C37)</f>
        <v>268200</v>
      </c>
      <c r="D38" s="164">
        <f t="shared" ref="D38:G38" si="9">SUM(D35:D37)</f>
        <v>2320400</v>
      </c>
      <c r="E38" s="164">
        <f t="shared" si="9"/>
        <v>535200</v>
      </c>
      <c r="F38" s="164">
        <f t="shared" si="9"/>
        <v>1318400</v>
      </c>
      <c r="G38" s="164">
        <f t="shared" si="9"/>
        <v>1089100</v>
      </c>
      <c r="H38" s="212">
        <f t="shared" si="0"/>
        <v>1.5146817595524498E-2</v>
      </c>
      <c r="I38" s="209">
        <f t="shared" si="1"/>
        <v>6.1977779818198409E-2</v>
      </c>
      <c r="J38" s="209">
        <f t="shared" si="2"/>
        <v>3.3124533929903057</v>
      </c>
    </row>
    <row r="39" spans="1:11" x14ac:dyDescent="0.25">
      <c r="A39" s="166" t="s">
        <v>273</v>
      </c>
      <c r="B39" s="198"/>
      <c r="C39" s="169">
        <v>-8400</v>
      </c>
      <c r="D39" s="169">
        <v>-1074500</v>
      </c>
      <c r="E39" s="169">
        <v>633700</v>
      </c>
      <c r="F39" s="169">
        <v>121200</v>
      </c>
      <c r="G39" s="169">
        <v>351300</v>
      </c>
      <c r="H39" s="189"/>
      <c r="I39" s="190"/>
      <c r="J39" s="190"/>
    </row>
    <row r="40" spans="1:11" x14ac:dyDescent="0.25">
      <c r="A40" s="182" t="s">
        <v>328</v>
      </c>
      <c r="B40" s="200"/>
      <c r="C40" s="169">
        <v>-4800</v>
      </c>
      <c r="D40" s="169">
        <v>-322400</v>
      </c>
      <c r="E40" s="169">
        <v>101500</v>
      </c>
      <c r="F40" s="169">
        <v>14200</v>
      </c>
      <c r="G40" s="169">
        <v>25800</v>
      </c>
      <c r="H40" s="189"/>
      <c r="I40" s="190"/>
      <c r="J40" s="190"/>
    </row>
    <row r="41" spans="1:11" x14ac:dyDescent="0.25">
      <c r="A41" s="166" t="s">
        <v>274</v>
      </c>
      <c r="B41" s="198"/>
      <c r="C41" s="169">
        <v>-15300</v>
      </c>
      <c r="D41" s="169">
        <v>-51900</v>
      </c>
      <c r="E41" s="169">
        <v>-8400</v>
      </c>
      <c r="F41" s="169">
        <v>-21200</v>
      </c>
      <c r="G41" s="169">
        <v>-86500</v>
      </c>
      <c r="H41" s="189"/>
      <c r="I41" s="190"/>
      <c r="J41" s="190"/>
    </row>
    <row r="42" spans="1:11" ht="13" x14ac:dyDescent="0.3">
      <c r="A42" s="161" t="s">
        <v>275</v>
      </c>
      <c r="B42" s="197"/>
      <c r="C42" s="164">
        <f>SUM(C39:C41)</f>
        <v>-28500</v>
      </c>
      <c r="D42" s="164">
        <f>SUM(D39:D41)</f>
        <v>-1448800</v>
      </c>
      <c r="E42" s="164">
        <f>SUM(E39:E41)</f>
        <v>726800</v>
      </c>
      <c r="F42" s="164">
        <f>SUM(F39:F41)</f>
        <v>114200</v>
      </c>
      <c r="G42" s="164">
        <f>SUM(G39:G41)</f>
        <v>290600</v>
      </c>
      <c r="H42" s="189"/>
      <c r="I42" s="190"/>
      <c r="J42" s="190"/>
    </row>
    <row r="43" spans="1:11" ht="13" x14ac:dyDescent="0.3">
      <c r="A43" s="161" t="s">
        <v>276</v>
      </c>
      <c r="B43" s="197">
        <f>B38</f>
        <v>1156600</v>
      </c>
      <c r="C43" s="164">
        <f>C38+C42</f>
        <v>239700</v>
      </c>
      <c r="D43" s="164">
        <f>D38+D42</f>
        <v>871600</v>
      </c>
      <c r="E43" s="164">
        <f>E38+E42</f>
        <v>1262000</v>
      </c>
      <c r="F43" s="164">
        <f>F38+F42</f>
        <v>1432600</v>
      </c>
      <c r="G43" s="164">
        <f>G38+G42</f>
        <v>1379700</v>
      </c>
      <c r="H43" s="189"/>
      <c r="I43" s="190"/>
      <c r="J43" s="190"/>
    </row>
    <row r="44" spans="1:11" ht="13" x14ac:dyDescent="0.3">
      <c r="A44" s="161" t="s">
        <v>277</v>
      </c>
      <c r="B44" s="197">
        <f>B34-B38</f>
        <v>4200300</v>
      </c>
      <c r="C44" s="164">
        <f>C34-C43</f>
        <v>924700</v>
      </c>
      <c r="D44" s="164">
        <f>D34-D43</f>
        <v>3594600</v>
      </c>
      <c r="E44" s="217">
        <v>4518000</v>
      </c>
      <c r="F44" s="164">
        <f>F34-F43</f>
        <v>2884900</v>
      </c>
      <c r="G44" s="164">
        <f>G34-G43</f>
        <v>2818900</v>
      </c>
      <c r="H44" s="189">
        <f t="shared" si="0"/>
        <v>0.10484196135701773</v>
      </c>
      <c r="I44" s="190">
        <f t="shared" si="1"/>
        <v>0.49004931001454466</v>
      </c>
      <c r="J44" s="190">
        <f t="shared" si="2"/>
        <v>3.5423380555855957</v>
      </c>
    </row>
    <row r="45" spans="1:11" x14ac:dyDescent="0.25">
      <c r="A45" s="148" t="s">
        <v>278</v>
      </c>
      <c r="B45" s="195">
        <v>1000</v>
      </c>
      <c r="C45" s="169">
        <v>-3600</v>
      </c>
      <c r="D45" s="169">
        <v>-4600</v>
      </c>
      <c r="E45" s="169">
        <v>-300</v>
      </c>
      <c r="F45" s="169">
        <v>200</v>
      </c>
      <c r="G45" s="169">
        <v>1200</v>
      </c>
      <c r="H45" s="189"/>
      <c r="I45" s="190"/>
      <c r="J45" s="190"/>
    </row>
    <row r="46" spans="1:11" ht="13" x14ac:dyDescent="0.3">
      <c r="A46" s="161" t="s">
        <v>279</v>
      </c>
      <c r="B46" s="164">
        <f>B44-B45</f>
        <v>4199300</v>
      </c>
      <c r="C46" s="164">
        <f>C44-C45</f>
        <v>928300</v>
      </c>
      <c r="D46" s="164">
        <f t="shared" ref="D46:E46" si="10">D44-D45</f>
        <v>3599200</v>
      </c>
      <c r="E46" s="164">
        <f t="shared" si="10"/>
        <v>4518300</v>
      </c>
      <c r="F46" s="164">
        <f t="shared" ref="F46" si="11">F44-F45</f>
        <v>2884700</v>
      </c>
      <c r="G46" s="164">
        <f t="shared" ref="G46" si="12">G44-G45</f>
        <v>2817700</v>
      </c>
      <c r="H46" s="212">
        <f t="shared" si="0"/>
        <v>0.10489380231729872</v>
      </c>
      <c r="I46" s="209">
        <f t="shared" si="1"/>
        <v>0.49032899173084421</v>
      </c>
      <c r="J46" s="209">
        <f t="shared" si="2"/>
        <v>3.523645373262954</v>
      </c>
      <c r="K46" s="190">
        <f>B46/D46-1</f>
        <v>0.16673149588797509</v>
      </c>
    </row>
    <row r="47" spans="1:11" ht="13" x14ac:dyDescent="0.3">
      <c r="A47" s="162" t="s">
        <v>68</v>
      </c>
      <c r="B47" s="220">
        <f t="shared" ref="B47:E47" si="13">B46/C46-1</f>
        <v>3.523645373262954</v>
      </c>
      <c r="C47" s="220">
        <f t="shared" si="13"/>
        <v>-0.74208157368304062</v>
      </c>
      <c r="D47" s="220">
        <f t="shared" si="13"/>
        <v>-0.20341721443905891</v>
      </c>
      <c r="E47" s="220">
        <f t="shared" si="13"/>
        <v>0.5662980552570458</v>
      </c>
      <c r="F47" s="220">
        <f>F46/G46-1</f>
        <v>2.3778258863612178E-2</v>
      </c>
      <c r="G47" s="165"/>
      <c r="H47" s="222"/>
      <c r="I47" s="223"/>
      <c r="J47" s="223"/>
      <c r="K47" s="190"/>
    </row>
    <row r="48" spans="1:11" x14ac:dyDescent="0.25">
      <c r="A48" s="148" t="s">
        <v>280</v>
      </c>
      <c r="B48" s="195"/>
      <c r="C48" s="169">
        <v>1172800</v>
      </c>
      <c r="D48" s="169">
        <v>1221200</v>
      </c>
      <c r="E48" s="169">
        <v>1382700</v>
      </c>
      <c r="F48" s="169">
        <v>1449500</v>
      </c>
      <c r="G48" s="169">
        <v>1471600</v>
      </c>
      <c r="H48" s="189"/>
      <c r="I48" s="190"/>
      <c r="J48" s="190"/>
    </row>
    <row r="49" spans="1:10" x14ac:dyDescent="0.25">
      <c r="A49" s="148" t="s">
        <v>281</v>
      </c>
      <c r="B49" s="195">
        <v>1185500</v>
      </c>
      <c r="C49" s="169">
        <v>1181800</v>
      </c>
      <c r="D49" s="169">
        <v>1233200</v>
      </c>
      <c r="E49" s="169">
        <v>1394600</v>
      </c>
      <c r="F49" s="169">
        <v>1461500</v>
      </c>
      <c r="G49" s="169">
        <v>1486700</v>
      </c>
      <c r="H49" s="189"/>
      <c r="I49" s="190">
        <f t="shared" si="1"/>
        <v>-0.20259635434183088</v>
      </c>
      <c r="J49" s="190">
        <f t="shared" si="2"/>
        <v>3.1308173971906772E-3</v>
      </c>
    </row>
    <row r="50" spans="1:10" x14ac:dyDescent="0.25">
      <c r="A50" s="148" t="s">
        <v>8</v>
      </c>
      <c r="B50" s="195"/>
      <c r="C50" s="169">
        <v>1173300</v>
      </c>
      <c r="D50" s="169">
        <v>1184600</v>
      </c>
      <c r="E50" s="169">
        <v>1309100</v>
      </c>
      <c r="F50" s="169">
        <v>1431600</v>
      </c>
      <c r="G50" s="169">
        <v>1460500</v>
      </c>
      <c r="H50" s="189"/>
      <c r="I50" s="190"/>
      <c r="J50" s="190"/>
    </row>
    <row r="51" spans="1:10" ht="13" x14ac:dyDescent="0.3">
      <c r="A51" s="162" t="s">
        <v>9</v>
      </c>
      <c r="B51" s="199"/>
      <c r="C51" s="179">
        <f>C46/C48</f>
        <v>0.79152455661664389</v>
      </c>
      <c r="D51" s="179">
        <f t="shared" ref="D51:G51" si="14">D46/D48</f>
        <v>2.9472649852603996</v>
      </c>
      <c r="E51" s="179">
        <f t="shared" si="14"/>
        <v>3.2677370362334561</v>
      </c>
      <c r="F51" s="179">
        <f t="shared" si="14"/>
        <v>1.9901345291479822</v>
      </c>
      <c r="G51" s="179">
        <f t="shared" si="14"/>
        <v>1.9147186735525958</v>
      </c>
      <c r="H51" s="189"/>
      <c r="I51" s="190"/>
      <c r="J51" s="190"/>
    </row>
    <row r="52" spans="1:10" ht="13" x14ac:dyDescent="0.3">
      <c r="A52" s="162" t="s">
        <v>10</v>
      </c>
      <c r="B52" s="179">
        <f>B46/B49</f>
        <v>3.5422184732180515</v>
      </c>
      <c r="C52" s="179">
        <f>C46/C49</f>
        <v>0.78549669994922999</v>
      </c>
      <c r="D52" s="179">
        <f t="shared" ref="D52:G52" si="15">D46/D49</f>
        <v>2.9185857930587091</v>
      </c>
      <c r="E52" s="179">
        <f t="shared" si="15"/>
        <v>3.2398537214972034</v>
      </c>
      <c r="F52" s="179">
        <f t="shared" si="15"/>
        <v>1.9737940472117688</v>
      </c>
      <c r="G52" s="179">
        <f t="shared" si="15"/>
        <v>1.895271406470707</v>
      </c>
      <c r="H52" s="189">
        <f t="shared" si="0"/>
        <v>0.16923278205014713</v>
      </c>
      <c r="I52" s="190">
        <f t="shared" si="1"/>
        <v>0.86897689751686724</v>
      </c>
      <c r="J52" s="190">
        <f t="shared" si="2"/>
        <v>3.5095268680912346</v>
      </c>
    </row>
    <row r="53" spans="1:10" ht="13" x14ac:dyDescent="0.3">
      <c r="A53" s="162" t="s">
        <v>282</v>
      </c>
      <c r="B53" s="202">
        <v>2.29</v>
      </c>
      <c r="C53" s="180">
        <v>1.23</v>
      </c>
      <c r="D53" s="179">
        <v>1.49</v>
      </c>
      <c r="E53" s="180">
        <v>0</v>
      </c>
      <c r="F53" s="179">
        <v>1.05</v>
      </c>
      <c r="G53" s="179">
        <v>0.85</v>
      </c>
      <c r="H53" s="187"/>
      <c r="I53" s="190">
        <f t="shared" si="1"/>
        <v>1.6941176470588237</v>
      </c>
      <c r="J53" s="190">
        <f t="shared" si="2"/>
        <v>0.86178861788617889</v>
      </c>
    </row>
    <row r="54" spans="1:10" ht="13" x14ac:dyDescent="0.3">
      <c r="A54" s="148" t="s">
        <v>11</v>
      </c>
      <c r="B54" s="195"/>
      <c r="C54" s="169">
        <v>349000</v>
      </c>
      <c r="D54" s="169">
        <v>346000</v>
      </c>
      <c r="E54" s="169">
        <v>291000</v>
      </c>
      <c r="F54" s="169">
        <v>277000</v>
      </c>
      <c r="G54" s="169">
        <v>254000</v>
      </c>
      <c r="H54" s="187"/>
      <c r="I54" s="190"/>
    </row>
    <row r="55" spans="1:10" ht="13" x14ac:dyDescent="0.3">
      <c r="A55" s="148" t="s">
        <v>12</v>
      </c>
      <c r="B55" s="195"/>
      <c r="C55" s="169">
        <v>18000</v>
      </c>
      <c r="D55" s="169">
        <v>18000</v>
      </c>
      <c r="E55" s="169">
        <v>18100</v>
      </c>
      <c r="F55" s="169">
        <v>18100</v>
      </c>
      <c r="G55" s="169">
        <v>18100</v>
      </c>
      <c r="H55" s="187"/>
      <c r="I55" s="190"/>
    </row>
    <row r="56" spans="1:10" ht="13" x14ac:dyDescent="0.3">
      <c r="A56" s="148" t="s">
        <v>13</v>
      </c>
      <c r="B56" s="195"/>
      <c r="C56" s="157">
        <v>206900</v>
      </c>
      <c r="D56" s="157">
        <v>-146200</v>
      </c>
      <c r="E56" s="157">
        <v>-220000</v>
      </c>
      <c r="F56" s="157">
        <v>-38300</v>
      </c>
      <c r="G56" s="157">
        <v>85500</v>
      </c>
      <c r="H56" s="187"/>
      <c r="I56" s="190"/>
    </row>
    <row r="57" spans="1:10" x14ac:dyDescent="0.25">
      <c r="B57" s="169"/>
    </row>
    <row r="58" spans="1:10" x14ac:dyDescent="0.25">
      <c r="A58" s="173" t="s">
        <v>35</v>
      </c>
      <c r="B58" s="190"/>
      <c r="C58" s="190">
        <f>C53/C51</f>
        <v>1.5539631584617042</v>
      </c>
      <c r="D58" s="190">
        <f t="shared" ref="D58:G58" si="16">D53/D51</f>
        <v>0.50555345632362747</v>
      </c>
      <c r="E58" s="190">
        <f t="shared" si="16"/>
        <v>0</v>
      </c>
      <c r="F58" s="190">
        <f t="shared" si="16"/>
        <v>0.52760252365930593</v>
      </c>
      <c r="G58" s="190">
        <f t="shared" si="16"/>
        <v>0.44392944600205841</v>
      </c>
    </row>
    <row r="59" spans="1:10" x14ac:dyDescent="0.25">
      <c r="A59" s="173" t="s">
        <v>36</v>
      </c>
      <c r="B59" s="190">
        <f>B53/B52</f>
        <v>0.6464875098230658</v>
      </c>
      <c r="C59" s="190">
        <f>C53/C52</f>
        <v>1.5658881826995583</v>
      </c>
      <c r="D59" s="190">
        <f t="shared" ref="D59:G59" si="17">D53/D52</f>
        <v>0.51052122693931978</v>
      </c>
      <c r="E59" s="190">
        <f t="shared" si="17"/>
        <v>0</v>
      </c>
      <c r="F59" s="190">
        <f t="shared" si="17"/>
        <v>0.53197039553506431</v>
      </c>
      <c r="G59" s="190">
        <f t="shared" si="17"/>
        <v>0.4484845796216772</v>
      </c>
    </row>
    <row r="62" spans="1:10" x14ac:dyDescent="0.25">
      <c r="B62" s="142">
        <v>2016</v>
      </c>
      <c r="C62" s="142">
        <f>B62+1</f>
        <v>2017</v>
      </c>
      <c r="D62" s="142">
        <f t="shared" ref="D62:G62" si="18">C62+1</f>
        <v>2018</v>
      </c>
      <c r="E62" s="142">
        <f t="shared" si="18"/>
        <v>2019</v>
      </c>
      <c r="F62" s="142">
        <f t="shared" si="18"/>
        <v>2020</v>
      </c>
      <c r="G62" s="142">
        <f t="shared" si="18"/>
        <v>2021</v>
      </c>
    </row>
    <row r="63" spans="1:10" x14ac:dyDescent="0.25">
      <c r="A63" s="148" t="s">
        <v>251</v>
      </c>
      <c r="B63" s="181">
        <f>G13</f>
        <v>16844100</v>
      </c>
      <c r="C63" s="181">
        <f>F13</f>
        <v>17650700</v>
      </c>
      <c r="D63" s="181">
        <f>E13</f>
        <v>19690300</v>
      </c>
      <c r="E63" s="181">
        <f>D13</f>
        <v>21544400</v>
      </c>
      <c r="F63" s="181">
        <f>C13</f>
        <v>19164600</v>
      </c>
      <c r="G63" s="181">
        <f>B13</f>
        <v>24607000</v>
      </c>
    </row>
    <row r="64" spans="1:10" x14ac:dyDescent="0.25">
      <c r="A64" s="148" t="s">
        <v>252</v>
      </c>
      <c r="B64" s="181">
        <f t="shared" ref="B64:B66" si="19">G14</f>
        <v>2154200</v>
      </c>
      <c r="C64" s="181">
        <f t="shared" ref="C64:C66" si="20">F14</f>
        <v>2355000</v>
      </c>
      <c r="D64" s="181">
        <f t="shared" ref="D64:D66" si="21">E14</f>
        <v>2652200</v>
      </c>
      <c r="E64" s="181">
        <f t="shared" ref="E64:E66" si="22">D14</f>
        <v>2875000</v>
      </c>
      <c r="F64" s="181">
        <f t="shared" ref="F64:F66" si="23">C14</f>
        <v>2327100</v>
      </c>
      <c r="G64" s="181">
        <f t="shared" ref="G64:G66" si="24">B14</f>
        <v>2683600</v>
      </c>
    </row>
    <row r="65" spans="1:7" x14ac:dyDescent="0.25">
      <c r="A65" s="186" t="s">
        <v>329</v>
      </c>
      <c r="B65" s="181">
        <f t="shared" si="19"/>
        <v>2317600</v>
      </c>
      <c r="C65" s="181">
        <f t="shared" si="20"/>
        <v>2381100</v>
      </c>
      <c r="D65" s="181">
        <f t="shared" si="21"/>
        <v>2377000</v>
      </c>
      <c r="E65" s="181">
        <f t="shared" si="22"/>
        <v>2089200</v>
      </c>
      <c r="F65" s="181">
        <f t="shared" si="23"/>
        <v>2026300</v>
      </c>
      <c r="G65" s="181">
        <f t="shared" si="24"/>
        <v>1770000</v>
      </c>
    </row>
    <row r="66" spans="1:7" ht="13" x14ac:dyDescent="0.3">
      <c r="A66" s="161" t="s">
        <v>253</v>
      </c>
      <c r="B66" s="181">
        <f t="shared" si="19"/>
        <v>21315900</v>
      </c>
      <c r="C66" s="181">
        <f t="shared" si="20"/>
        <v>22386800</v>
      </c>
      <c r="D66" s="181">
        <f t="shared" si="21"/>
        <v>24719500</v>
      </c>
      <c r="E66" s="181">
        <f t="shared" si="22"/>
        <v>26508600</v>
      </c>
      <c r="F66" s="181">
        <f t="shared" si="23"/>
        <v>23518000</v>
      </c>
      <c r="G66" s="181">
        <f t="shared" si="24"/>
        <v>29060600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H11:H12"/>
    <mergeCell ref="I11:I12"/>
    <mergeCell ref="J11:J12"/>
    <mergeCell ref="K11:K12"/>
  </mergeCells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H64"/>
  <sheetViews>
    <sheetView topLeftCell="A33" workbookViewId="0">
      <selection activeCell="F54" sqref="F54"/>
    </sheetView>
  </sheetViews>
  <sheetFormatPr defaultColWidth="8.7265625" defaultRowHeight="12.5" x14ac:dyDescent="0.25"/>
  <cols>
    <col min="1" max="1" width="76.453125" style="142" bestFit="1" customWidth="1"/>
    <col min="2" max="2" width="12" style="142" customWidth="1"/>
    <col min="3" max="3" width="12.81640625" style="142" bestFit="1" customWidth="1"/>
    <col min="4" max="196" width="12" style="142" customWidth="1"/>
    <col min="197" max="16384" width="8.7265625" style="142"/>
  </cols>
  <sheetData>
    <row r="4" spans="1:7" x14ac:dyDescent="0.25">
      <c r="A4" s="143" t="s">
        <v>190</v>
      </c>
    </row>
    <row r="5" spans="1:7" ht="20" x14ac:dyDescent="0.4">
      <c r="A5" s="144" t="s">
        <v>191</v>
      </c>
    </row>
    <row r="7" spans="1:7" x14ac:dyDescent="0.25">
      <c r="A7" s="145" t="s">
        <v>0</v>
      </c>
    </row>
    <row r="9" spans="1:7" x14ac:dyDescent="0.25">
      <c r="A9" s="173" t="s">
        <v>326</v>
      </c>
    </row>
    <row r="10" spans="1:7" ht="13" x14ac:dyDescent="0.25">
      <c r="A10" s="177" t="s">
        <v>327</v>
      </c>
    </row>
    <row r="11" spans="1:7" ht="13" x14ac:dyDescent="0.25">
      <c r="A11" s="146" t="s">
        <v>1</v>
      </c>
      <c r="B11" s="147" t="s">
        <v>192</v>
      </c>
      <c r="C11" s="147" t="s">
        <v>193</v>
      </c>
      <c r="D11" s="147" t="s">
        <v>194</v>
      </c>
      <c r="E11" s="147" t="s">
        <v>195</v>
      </c>
      <c r="F11" s="147" t="s">
        <v>196</v>
      </c>
      <c r="G11" s="146"/>
    </row>
    <row r="12" spans="1:7" ht="13" x14ac:dyDescent="0.25">
      <c r="A12" s="146" t="s">
        <v>2</v>
      </c>
      <c r="B12" s="147" t="s">
        <v>3</v>
      </c>
      <c r="C12" s="147" t="s">
        <v>3</v>
      </c>
      <c r="D12" s="147" t="s">
        <v>3</v>
      </c>
      <c r="E12" s="147" t="s">
        <v>3</v>
      </c>
      <c r="F12" s="147" t="s">
        <v>3</v>
      </c>
      <c r="G12" s="146"/>
    </row>
    <row r="13" spans="1:7" ht="13" x14ac:dyDescent="0.25">
      <c r="A13" s="146"/>
      <c r="B13" s="147"/>
      <c r="C13" s="147"/>
      <c r="D13" s="147"/>
      <c r="E13" s="147"/>
      <c r="F13" s="147"/>
      <c r="G13" s="146"/>
    </row>
    <row r="14" spans="1:7" ht="13" x14ac:dyDescent="0.3">
      <c r="A14" s="162" t="s">
        <v>277</v>
      </c>
      <c r="B14" s="163">
        <f>'SBUX_Income Statement'!C44</f>
        <v>924700</v>
      </c>
      <c r="C14" s="163">
        <f>'SBUX_Income Statement'!D44</f>
        <v>3594600</v>
      </c>
      <c r="D14" s="163">
        <f>'SBUX_Income Statement'!E44</f>
        <v>4518000</v>
      </c>
      <c r="E14" s="163">
        <f>'SBUX_Income Statement'!F44</f>
        <v>2884900</v>
      </c>
      <c r="F14" s="163">
        <f>'SBUX_Income Statement'!G44</f>
        <v>2818900</v>
      </c>
      <c r="G14" s="148"/>
    </row>
    <row r="15" spans="1:7" x14ac:dyDescent="0.25">
      <c r="A15" s="148" t="s">
        <v>5</v>
      </c>
      <c r="B15" s="183">
        <v>1503200</v>
      </c>
      <c r="C15" s="183">
        <v>1449300</v>
      </c>
      <c r="D15" s="183">
        <v>1305900</v>
      </c>
      <c r="E15" s="183">
        <v>1067100</v>
      </c>
      <c r="F15" s="183">
        <v>1030100</v>
      </c>
      <c r="G15" s="148"/>
    </row>
    <row r="16" spans="1:7" x14ac:dyDescent="0.25">
      <c r="A16" s="148" t="s">
        <v>219</v>
      </c>
      <c r="B16" s="183">
        <v>-25800</v>
      </c>
      <c r="C16" s="183">
        <v>-1495400</v>
      </c>
      <c r="D16" s="183">
        <v>714900</v>
      </c>
      <c r="E16" s="183">
        <v>95100</v>
      </c>
      <c r="F16" s="183">
        <v>265700</v>
      </c>
      <c r="G16" s="148"/>
    </row>
    <row r="17" spans="1:7" x14ac:dyDescent="0.25">
      <c r="A17" s="148" t="s">
        <v>283</v>
      </c>
      <c r="B17" s="183">
        <v>-280700</v>
      </c>
      <c r="C17" s="183">
        <v>-250600</v>
      </c>
      <c r="D17" s="183">
        <v>-242800</v>
      </c>
      <c r="E17" s="183">
        <v>-310200</v>
      </c>
      <c r="F17" s="183">
        <v>-250200</v>
      </c>
      <c r="G17" s="148"/>
    </row>
    <row r="18" spans="1:7" x14ac:dyDescent="0.25">
      <c r="A18" s="148" t="s">
        <v>284</v>
      </c>
      <c r="B18" s="183">
        <v>227700</v>
      </c>
      <c r="C18" s="183">
        <v>216800</v>
      </c>
      <c r="D18" s="183">
        <v>226800</v>
      </c>
      <c r="E18" s="183">
        <v>186600</v>
      </c>
      <c r="F18" s="183">
        <v>223300</v>
      </c>
      <c r="G18" s="148"/>
    </row>
    <row r="19" spans="1:7" x14ac:dyDescent="0.25">
      <c r="A19" s="148" t="s">
        <v>285</v>
      </c>
      <c r="B19" s="184">
        <v>0</v>
      </c>
      <c r="C19" s="184">
        <v>0</v>
      </c>
      <c r="D19" s="183">
        <v>-499200</v>
      </c>
      <c r="E19" s="183">
        <v>-93500</v>
      </c>
      <c r="F19" s="183">
        <v>-6100</v>
      </c>
      <c r="G19" s="148"/>
    </row>
    <row r="20" spans="1:7" x14ac:dyDescent="0.25">
      <c r="A20" s="148" t="s">
        <v>286</v>
      </c>
      <c r="B20" s="184">
        <f>-'SBUX_Income Statement'!C29</f>
        <v>0</v>
      </c>
      <c r="C20" s="183">
        <v>-622800</v>
      </c>
      <c r="D20" s="183">
        <v>-1376400</v>
      </c>
      <c r="E20" s="184">
        <f>-'SBUX_Income Statement'!F29</f>
        <v>0</v>
      </c>
      <c r="F20" s="184">
        <f>-'SBUX_Income Statement'!G29</f>
        <v>0</v>
      </c>
      <c r="G20" s="148"/>
    </row>
    <row r="21" spans="1:7" x14ac:dyDescent="0.25">
      <c r="A21" s="148" t="s">
        <v>287</v>
      </c>
      <c r="B21" s="183">
        <v>248600</v>
      </c>
      <c r="C21" s="183">
        <v>308000</v>
      </c>
      <c r="D21" s="183">
        <v>250300</v>
      </c>
      <c r="E21" s="183">
        <v>176000</v>
      </c>
      <c r="F21" s="183">
        <v>218100</v>
      </c>
      <c r="G21" s="148"/>
    </row>
    <row r="22" spans="1:7" x14ac:dyDescent="0.25">
      <c r="A22" s="148" t="s">
        <v>288</v>
      </c>
      <c r="B22" s="170">
        <v>0</v>
      </c>
      <c r="C22" s="170">
        <v>0</v>
      </c>
      <c r="D22" s="170" t="s">
        <v>6</v>
      </c>
      <c r="E22" s="169">
        <v>-77500</v>
      </c>
      <c r="F22" s="169">
        <v>-122800</v>
      </c>
      <c r="G22" s="148"/>
    </row>
    <row r="23" spans="1:7" x14ac:dyDescent="0.25">
      <c r="A23" s="148" t="s">
        <v>289</v>
      </c>
      <c r="B23" s="170">
        <v>0</v>
      </c>
      <c r="C23" s="169">
        <v>10500</v>
      </c>
      <c r="D23" s="169">
        <v>37600</v>
      </c>
      <c r="E23" s="169">
        <v>87200</v>
      </c>
      <c r="F23" s="170">
        <v>0</v>
      </c>
      <c r="G23" s="148"/>
    </row>
    <row r="24" spans="1:7" x14ac:dyDescent="0.25">
      <c r="A24" s="148" t="s">
        <v>290</v>
      </c>
      <c r="B24" s="169">
        <v>1197600</v>
      </c>
      <c r="C24" s="170">
        <v>0</v>
      </c>
      <c r="D24" s="170">
        <v>0</v>
      </c>
      <c r="E24" s="170">
        <v>0</v>
      </c>
      <c r="F24" s="170">
        <v>0</v>
      </c>
      <c r="G24" s="148"/>
    </row>
    <row r="25" spans="1:7" x14ac:dyDescent="0.25">
      <c r="A25" s="148" t="s">
        <v>291</v>
      </c>
      <c r="B25" s="169">
        <v>454400</v>
      </c>
      <c r="C25" s="170">
        <v>0</v>
      </c>
      <c r="D25" s="170">
        <v>0</v>
      </c>
      <c r="E25" s="170">
        <v>0</v>
      </c>
      <c r="F25" s="170">
        <v>0</v>
      </c>
      <c r="G25" s="148"/>
    </row>
    <row r="26" spans="1:7" x14ac:dyDescent="0.25">
      <c r="A26" s="148" t="s">
        <v>292</v>
      </c>
      <c r="B26" s="169">
        <v>24500</v>
      </c>
      <c r="C26" s="169">
        <v>187900</v>
      </c>
      <c r="D26" s="169">
        <v>89000</v>
      </c>
      <c r="E26" s="169">
        <v>68900</v>
      </c>
      <c r="F26" s="169">
        <v>45100</v>
      </c>
      <c r="G26" s="148"/>
    </row>
    <row r="27" spans="1:7" x14ac:dyDescent="0.25">
      <c r="A27" s="148" t="s">
        <v>15</v>
      </c>
      <c r="B27" s="169">
        <v>-2700</v>
      </c>
      <c r="C27" s="169">
        <v>-197700</v>
      </c>
      <c r="D27" s="169">
        <v>131000</v>
      </c>
      <c r="E27" s="169">
        <v>-96800</v>
      </c>
      <c r="F27" s="169">
        <v>-55600</v>
      </c>
      <c r="G27" s="148"/>
    </row>
    <row r="28" spans="1:7" x14ac:dyDescent="0.25">
      <c r="A28" s="148" t="s">
        <v>17</v>
      </c>
      <c r="B28" s="169">
        <v>-10900</v>
      </c>
      <c r="C28" s="169">
        <v>-173000</v>
      </c>
      <c r="D28" s="169">
        <v>-41200</v>
      </c>
      <c r="E28" s="169">
        <v>14000</v>
      </c>
      <c r="F28" s="169">
        <v>-67500</v>
      </c>
      <c r="G28" s="148"/>
    </row>
    <row r="29" spans="1:7" x14ac:dyDescent="0.25">
      <c r="A29" s="148" t="s">
        <v>206</v>
      </c>
      <c r="B29" s="169">
        <v>-317500</v>
      </c>
      <c r="C29" s="169">
        <v>922000</v>
      </c>
      <c r="D29" s="170">
        <v>0</v>
      </c>
      <c r="E29" s="170">
        <v>0</v>
      </c>
      <c r="F29" s="170">
        <v>0</v>
      </c>
      <c r="G29" s="148"/>
    </row>
    <row r="30" spans="1:7" x14ac:dyDescent="0.25">
      <c r="A30" s="148" t="s">
        <v>233</v>
      </c>
      <c r="B30" s="169">
        <v>-1214600</v>
      </c>
      <c r="C30" s="169">
        <v>1237100</v>
      </c>
      <c r="D30" s="170">
        <v>0</v>
      </c>
      <c r="E30" s="170">
        <v>0</v>
      </c>
      <c r="F30" s="170">
        <v>0</v>
      </c>
      <c r="G30" s="148"/>
    </row>
    <row r="31" spans="1:7" x14ac:dyDescent="0.25">
      <c r="A31" s="148" t="s">
        <v>24</v>
      </c>
      <c r="B31" s="169">
        <v>-210800</v>
      </c>
      <c r="C31" s="169">
        <v>31900</v>
      </c>
      <c r="D31" s="169">
        <v>391600</v>
      </c>
      <c r="E31" s="169">
        <v>46400</v>
      </c>
      <c r="F31" s="169">
        <v>46900</v>
      </c>
      <c r="G31" s="148"/>
    </row>
    <row r="32" spans="1:7" x14ac:dyDescent="0.25">
      <c r="A32" s="148" t="s">
        <v>235</v>
      </c>
      <c r="B32" s="169">
        <v>31000</v>
      </c>
      <c r="C32" s="170">
        <v>0</v>
      </c>
      <c r="D32" s="170">
        <v>0</v>
      </c>
      <c r="E32" s="170">
        <v>0</v>
      </c>
      <c r="F32" s="170">
        <v>0</v>
      </c>
      <c r="G32" s="148"/>
    </row>
    <row r="33" spans="1:8" x14ac:dyDescent="0.25">
      <c r="A33" s="148" t="s">
        <v>243</v>
      </c>
      <c r="B33" s="169">
        <v>-1231400</v>
      </c>
      <c r="C33" s="170">
        <v>0</v>
      </c>
      <c r="D33" s="170">
        <v>0</v>
      </c>
      <c r="E33" s="170">
        <v>0</v>
      </c>
      <c r="F33" s="170">
        <v>0</v>
      </c>
      <c r="G33" s="148"/>
    </row>
    <row r="34" spans="1:8" x14ac:dyDescent="0.25">
      <c r="A34" s="148" t="s">
        <v>232</v>
      </c>
      <c r="B34" s="170">
        <v>0</v>
      </c>
      <c r="C34" s="169">
        <v>-30500</v>
      </c>
      <c r="D34" s="169">
        <v>7109400</v>
      </c>
      <c r="E34" s="169">
        <v>130800</v>
      </c>
      <c r="F34" s="169">
        <v>180400</v>
      </c>
      <c r="G34" s="148"/>
    </row>
    <row r="35" spans="1:8" x14ac:dyDescent="0.25">
      <c r="A35" s="148" t="s">
        <v>293</v>
      </c>
      <c r="B35" s="169">
        <v>280500</v>
      </c>
      <c r="C35" s="169">
        <v>-141100</v>
      </c>
      <c r="D35" s="169">
        <v>-677100</v>
      </c>
      <c r="E35" s="169">
        <v>-4700</v>
      </c>
      <c r="F35" s="169">
        <v>248800</v>
      </c>
      <c r="G35" s="148"/>
    </row>
    <row r="36" spans="1:8" ht="13" x14ac:dyDescent="0.3">
      <c r="A36" s="161" t="s">
        <v>294</v>
      </c>
      <c r="B36" s="164">
        <f>SUM(B14:B35)</f>
        <v>1597800</v>
      </c>
      <c r="C36" s="164">
        <f>SUM(C14:C35)</f>
        <v>5047000</v>
      </c>
      <c r="D36" s="164">
        <f>SUM(D14:D35)</f>
        <v>11937800</v>
      </c>
      <c r="E36" s="164">
        <f>SUM(E14:E35)</f>
        <v>4174300</v>
      </c>
      <c r="F36" s="164">
        <f>SUM(F14:F35)</f>
        <v>4575100</v>
      </c>
      <c r="G36" s="185"/>
    </row>
    <row r="37" spans="1:8" ht="13" x14ac:dyDescent="0.3">
      <c r="A37" s="162"/>
      <c r="B37" s="165"/>
      <c r="C37" s="165"/>
      <c r="D37" s="165"/>
      <c r="E37" s="165"/>
      <c r="F37" s="165"/>
      <c r="G37" s="185"/>
    </row>
    <row r="38" spans="1:8" x14ac:dyDescent="0.25">
      <c r="A38" s="148" t="s">
        <v>295</v>
      </c>
      <c r="B38" s="169">
        <v>-443900</v>
      </c>
      <c r="C38" s="169">
        <v>-190400</v>
      </c>
      <c r="D38" s="169">
        <v>-191900</v>
      </c>
      <c r="E38" s="169">
        <v>-674400</v>
      </c>
      <c r="F38" s="169">
        <v>-1585700</v>
      </c>
      <c r="G38" s="148"/>
    </row>
    <row r="39" spans="1:8" x14ac:dyDescent="0.25">
      <c r="A39" s="148" t="s">
        <v>296</v>
      </c>
      <c r="B39" s="169">
        <v>186700</v>
      </c>
      <c r="C39" s="169">
        <v>298300</v>
      </c>
      <c r="D39" s="169">
        <v>459000</v>
      </c>
      <c r="E39" s="169">
        <v>1054500</v>
      </c>
      <c r="F39" s="169">
        <v>680700</v>
      </c>
      <c r="G39" s="148"/>
    </row>
    <row r="40" spans="1:8" x14ac:dyDescent="0.25">
      <c r="A40" s="148" t="s">
        <v>297</v>
      </c>
      <c r="B40" s="169">
        <v>73700</v>
      </c>
      <c r="C40" s="169">
        <v>59800</v>
      </c>
      <c r="D40" s="169">
        <v>45300</v>
      </c>
      <c r="E40" s="169">
        <v>149600</v>
      </c>
      <c r="F40" s="169">
        <v>27900</v>
      </c>
      <c r="G40" s="148"/>
    </row>
    <row r="41" spans="1:8" x14ac:dyDescent="0.25">
      <c r="A41" s="148" t="s">
        <v>298</v>
      </c>
      <c r="B41" s="170" t="s">
        <v>6</v>
      </c>
      <c r="C41" s="170" t="s">
        <v>6</v>
      </c>
      <c r="D41" s="169">
        <v>-1311300</v>
      </c>
      <c r="E41" s="170" t="s">
        <v>6</v>
      </c>
      <c r="F41" s="170" t="s">
        <v>6</v>
      </c>
      <c r="G41" s="148"/>
    </row>
    <row r="42" spans="1:8" x14ac:dyDescent="0.25">
      <c r="A42" s="148" t="s">
        <v>299</v>
      </c>
      <c r="B42" s="169">
        <v>-1483600</v>
      </c>
      <c r="C42" s="169">
        <v>-1806600</v>
      </c>
      <c r="D42" s="169">
        <v>-1976400</v>
      </c>
      <c r="E42" s="169">
        <v>-1519400</v>
      </c>
      <c r="F42" s="169">
        <v>-1440300</v>
      </c>
      <c r="G42" s="148"/>
    </row>
    <row r="43" spans="1:8" x14ac:dyDescent="0.25">
      <c r="A43" s="148" t="s">
        <v>300</v>
      </c>
      <c r="B43" s="170" t="s">
        <v>6</v>
      </c>
      <c r="C43" s="169">
        <v>684300</v>
      </c>
      <c r="D43" s="169">
        <v>608200</v>
      </c>
      <c r="E43" s="169">
        <v>85400</v>
      </c>
      <c r="F43" s="169">
        <v>69600</v>
      </c>
      <c r="G43" s="148"/>
    </row>
    <row r="44" spans="1:8" x14ac:dyDescent="0.25">
      <c r="A44" s="148" t="s">
        <v>301</v>
      </c>
      <c r="B44" s="169">
        <v>-44400</v>
      </c>
      <c r="C44" s="169">
        <v>-56200</v>
      </c>
      <c r="D44" s="169">
        <v>5600</v>
      </c>
      <c r="E44" s="169">
        <v>54300</v>
      </c>
      <c r="F44" s="169">
        <v>24900</v>
      </c>
      <c r="G44" s="148"/>
    </row>
    <row r="45" spans="1:8" ht="13" x14ac:dyDescent="0.3">
      <c r="A45" s="161" t="s">
        <v>302</v>
      </c>
      <c r="B45" s="164">
        <f>SUM(B38:B44)</f>
        <v>-1711500</v>
      </c>
      <c r="C45" s="164">
        <f>SUM(C38:C44)</f>
        <v>-1010800</v>
      </c>
      <c r="D45" s="164">
        <f>SUM(D38:D44)</f>
        <v>-2361500</v>
      </c>
      <c r="E45" s="164">
        <f>SUM(E38:E44)</f>
        <v>-850000</v>
      </c>
      <c r="F45" s="164">
        <f>SUM(F38:F44)</f>
        <v>-2222900</v>
      </c>
      <c r="G45" s="148"/>
      <c r="H45" s="181"/>
    </row>
    <row r="46" spans="1:8" ht="13" x14ac:dyDescent="0.3">
      <c r="A46" s="162"/>
      <c r="B46" s="165"/>
      <c r="C46" s="165"/>
      <c r="D46" s="165"/>
      <c r="E46" s="165"/>
      <c r="F46" s="165"/>
      <c r="G46" s="148"/>
      <c r="H46" s="181"/>
    </row>
    <row r="47" spans="1:8" x14ac:dyDescent="0.25">
      <c r="A47" s="148" t="s">
        <v>303</v>
      </c>
      <c r="B47" s="157">
        <v>4727600</v>
      </c>
      <c r="C47" s="157">
        <v>1996000</v>
      </c>
      <c r="D47" s="157">
        <v>5584100</v>
      </c>
      <c r="E47" s="157">
        <v>750200</v>
      </c>
      <c r="F47" s="157">
        <v>1254500</v>
      </c>
      <c r="G47" s="148"/>
    </row>
    <row r="48" spans="1:8" x14ac:dyDescent="0.25">
      <c r="A48" s="148" t="s">
        <v>304</v>
      </c>
      <c r="B48" s="158" t="s">
        <v>6</v>
      </c>
      <c r="C48" s="157">
        <v>-350000</v>
      </c>
      <c r="D48" s="158" t="s">
        <v>6</v>
      </c>
      <c r="E48" s="157">
        <v>-400000</v>
      </c>
      <c r="F48" s="158" t="s">
        <v>6</v>
      </c>
      <c r="G48" s="148"/>
    </row>
    <row r="49" spans="1:8" x14ac:dyDescent="0.25">
      <c r="A49" s="148" t="s">
        <v>305</v>
      </c>
      <c r="B49" s="157">
        <v>1406600</v>
      </c>
      <c r="C49" s="158" t="s">
        <v>6</v>
      </c>
      <c r="D49" s="158" t="s">
        <v>6</v>
      </c>
      <c r="E49" s="158" t="s">
        <v>6</v>
      </c>
      <c r="F49" s="158" t="s">
        <v>6</v>
      </c>
      <c r="G49" s="148"/>
    </row>
    <row r="50" spans="1:8" x14ac:dyDescent="0.25">
      <c r="A50" s="148" t="s">
        <v>306</v>
      </c>
      <c r="B50" s="157">
        <v>-967700</v>
      </c>
      <c r="C50" s="158" t="s">
        <v>6</v>
      </c>
      <c r="D50" s="158" t="s">
        <v>6</v>
      </c>
      <c r="E50" s="158" t="s">
        <v>6</v>
      </c>
      <c r="F50" s="158" t="s">
        <v>6</v>
      </c>
      <c r="G50" s="148"/>
    </row>
    <row r="51" spans="1:8" x14ac:dyDescent="0.25">
      <c r="A51" s="148" t="s">
        <v>307</v>
      </c>
      <c r="B51" s="157">
        <v>298800</v>
      </c>
      <c r="C51" s="157">
        <v>409800</v>
      </c>
      <c r="D51" s="157">
        <v>153900</v>
      </c>
      <c r="E51" s="157">
        <v>150800</v>
      </c>
      <c r="F51" s="157">
        <v>160700</v>
      </c>
      <c r="G51" s="148"/>
    </row>
    <row r="52" spans="1:8" x14ac:dyDescent="0.25">
      <c r="A52" s="148" t="s">
        <v>308</v>
      </c>
      <c r="B52" s="158" t="s">
        <v>6</v>
      </c>
      <c r="C52" s="158" t="s">
        <v>6</v>
      </c>
      <c r="D52" s="158" t="s">
        <v>6</v>
      </c>
      <c r="E52" s="157">
        <v>77500</v>
      </c>
      <c r="F52" s="157">
        <v>122800</v>
      </c>
      <c r="G52" s="148"/>
    </row>
    <row r="53" spans="1:8" x14ac:dyDescent="0.25">
      <c r="A53" s="148" t="s">
        <v>309</v>
      </c>
      <c r="B53" s="157">
        <v>-1923500</v>
      </c>
      <c r="C53" s="157">
        <v>-1761300</v>
      </c>
      <c r="D53" s="157">
        <v>-1743400</v>
      </c>
      <c r="E53" s="157">
        <v>-1450400</v>
      </c>
      <c r="F53" s="157">
        <v>-1178000</v>
      </c>
      <c r="G53" s="148"/>
    </row>
    <row r="54" spans="1:8" x14ac:dyDescent="0.25">
      <c r="A54" s="148" t="s">
        <v>310</v>
      </c>
      <c r="B54" s="157">
        <v>-1698900</v>
      </c>
      <c r="C54" s="157">
        <v>-10222300</v>
      </c>
      <c r="D54" s="157">
        <v>-7133500</v>
      </c>
      <c r="E54" s="157">
        <v>-2042500</v>
      </c>
      <c r="F54" s="157">
        <v>-1995600</v>
      </c>
      <c r="G54" s="148"/>
    </row>
    <row r="55" spans="1:8" x14ac:dyDescent="0.25">
      <c r="A55" s="148" t="s">
        <v>311</v>
      </c>
      <c r="B55" s="157">
        <v>-91900</v>
      </c>
      <c r="C55" s="157">
        <v>-111600</v>
      </c>
      <c r="D55" s="157">
        <v>-62700</v>
      </c>
      <c r="E55" s="157">
        <v>-82800</v>
      </c>
      <c r="F55" s="157">
        <v>-106000</v>
      </c>
      <c r="G55" s="148"/>
    </row>
    <row r="56" spans="1:8" x14ac:dyDescent="0.25">
      <c r="A56" s="148" t="s">
        <v>312</v>
      </c>
      <c r="B56" s="157">
        <v>-37700</v>
      </c>
      <c r="C56" s="157">
        <v>-17500</v>
      </c>
      <c r="D56" s="157">
        <v>-41200</v>
      </c>
      <c r="E56" s="157">
        <v>-4400</v>
      </c>
      <c r="F56" s="157">
        <v>-8400</v>
      </c>
      <c r="G56" s="148"/>
    </row>
    <row r="57" spans="1:8" ht="13" x14ac:dyDescent="0.3">
      <c r="A57" s="161" t="s">
        <v>313</v>
      </c>
      <c r="B57" s="164">
        <f>SUM(B47:B56)</f>
        <v>1713300</v>
      </c>
      <c r="C57" s="164">
        <f t="shared" ref="C57:F57" si="0">SUM(C47:C56)</f>
        <v>-10056900</v>
      </c>
      <c r="D57" s="164">
        <f t="shared" si="0"/>
        <v>-3242800</v>
      </c>
      <c r="E57" s="164">
        <f t="shared" si="0"/>
        <v>-3001600</v>
      </c>
      <c r="F57" s="164">
        <f t="shared" si="0"/>
        <v>-1750000</v>
      </c>
      <c r="G57" s="148"/>
      <c r="H57" s="160"/>
    </row>
    <row r="58" spans="1:8" ht="13" x14ac:dyDescent="0.3">
      <c r="A58" s="162"/>
      <c r="B58" s="165"/>
      <c r="C58" s="165"/>
      <c r="D58" s="165"/>
      <c r="E58" s="165"/>
      <c r="F58" s="165"/>
      <c r="G58" s="148"/>
      <c r="H58" s="160"/>
    </row>
    <row r="59" spans="1:8" x14ac:dyDescent="0.25">
      <c r="A59" s="148" t="s">
        <v>314</v>
      </c>
      <c r="B59" s="157">
        <v>64700</v>
      </c>
      <c r="C59" s="157">
        <v>-49000</v>
      </c>
      <c r="D59" s="157">
        <v>-39500</v>
      </c>
      <c r="E59" s="157">
        <v>10800</v>
      </c>
      <c r="F59" s="157">
        <v>-3500</v>
      </c>
      <c r="G59" s="148"/>
    </row>
    <row r="60" spans="1:8" ht="13" x14ac:dyDescent="0.3">
      <c r="A60" s="161" t="s">
        <v>315</v>
      </c>
      <c r="B60" s="164">
        <f>B36+B45+B57+B59</f>
        <v>1664300</v>
      </c>
      <c r="C60" s="164">
        <f>C36+C45+C57+C59</f>
        <v>-6069700</v>
      </c>
      <c r="D60" s="164">
        <f>D36+D45+D57+D59</f>
        <v>6294000</v>
      </c>
      <c r="E60" s="164">
        <f>E36+E45+E57+E59</f>
        <v>333500</v>
      </c>
      <c r="F60" s="164">
        <f>F36+F45+F57+F59</f>
        <v>598700</v>
      </c>
      <c r="G60" s="148"/>
      <c r="H60" s="160"/>
    </row>
    <row r="61" spans="1:8" x14ac:dyDescent="0.25">
      <c r="A61" s="148" t="s">
        <v>316</v>
      </c>
      <c r="B61" s="157">
        <f>SBUX_BS!D14</f>
        <v>2686600</v>
      </c>
      <c r="C61" s="157">
        <f>SBUX_BS!E14</f>
        <v>8756300</v>
      </c>
      <c r="D61" s="157">
        <f>SBUX_BS!F14</f>
        <v>2462300</v>
      </c>
      <c r="E61" s="157">
        <f>SBUX_BS!G14</f>
        <v>2128800</v>
      </c>
      <c r="F61" s="157">
        <v>1530100</v>
      </c>
      <c r="G61" s="148"/>
    </row>
    <row r="62" spans="1:8" x14ac:dyDescent="0.25">
      <c r="A62" s="148" t="s">
        <v>317</v>
      </c>
      <c r="B62" s="157">
        <f>SBUX_BS!C14</f>
        <v>4350900</v>
      </c>
      <c r="C62" s="157">
        <f>SBUX_BS!D14</f>
        <v>2686600</v>
      </c>
      <c r="D62" s="157">
        <f>SBUX_BS!E14</f>
        <v>8756300</v>
      </c>
      <c r="E62" s="157">
        <f>SBUX_BS!F14</f>
        <v>2462300</v>
      </c>
      <c r="F62" s="157">
        <f>SBUX_BS!G14</f>
        <v>2128800</v>
      </c>
      <c r="G62" s="148"/>
    </row>
    <row r="63" spans="1:8" x14ac:dyDescent="0.25">
      <c r="A63" s="148" t="s">
        <v>318</v>
      </c>
      <c r="B63" s="157">
        <v>396900</v>
      </c>
      <c r="C63" s="157">
        <v>299500</v>
      </c>
      <c r="D63" s="157">
        <v>137100</v>
      </c>
      <c r="E63" s="157">
        <v>96600</v>
      </c>
      <c r="F63" s="157">
        <v>74700</v>
      </c>
      <c r="G63" s="148"/>
    </row>
    <row r="64" spans="1:8" x14ac:dyDescent="0.25">
      <c r="A64" s="148" t="s">
        <v>319</v>
      </c>
      <c r="B64" s="157">
        <v>1699100</v>
      </c>
      <c r="C64" s="157">
        <v>470100</v>
      </c>
      <c r="D64" s="157">
        <v>1176900</v>
      </c>
      <c r="E64" s="157">
        <v>1389100</v>
      </c>
      <c r="F64" s="157">
        <v>878700</v>
      </c>
      <c r="G64" s="14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L52"/>
  <sheetViews>
    <sheetView showGridLines="0" topLeftCell="A5" zoomScale="80" zoomScaleNormal="80" workbookViewId="0">
      <selection activeCell="K39" sqref="K39"/>
    </sheetView>
  </sheetViews>
  <sheetFormatPr defaultColWidth="8.453125" defaultRowHeight="12.5" x14ac:dyDescent="0.25"/>
  <cols>
    <col min="1" max="1" width="3.81640625" style="6" customWidth="1"/>
    <col min="2" max="2" width="40.1796875" style="6" customWidth="1"/>
    <col min="3" max="3" width="14.54296875" style="6" bestFit="1" customWidth="1"/>
    <col min="4" max="8" width="12.81640625" style="6" customWidth="1"/>
    <col min="9" max="9" width="8.453125" style="20" customWidth="1"/>
    <col min="10" max="10" width="11" style="6" customWidth="1"/>
    <col min="11" max="11" width="10" style="6" customWidth="1"/>
    <col min="12" max="12" width="10" style="6" bestFit="1" customWidth="1"/>
    <col min="13" max="13" width="10.81640625" style="6" customWidth="1"/>
    <col min="14" max="243" width="8.453125" style="6"/>
    <col min="244" max="244" width="3.81640625" style="6" customWidth="1"/>
    <col min="245" max="245" width="23.1796875" style="6" customWidth="1"/>
    <col min="246" max="246" width="9.54296875" style="6" customWidth="1"/>
    <col min="247" max="251" width="10" style="6" customWidth="1"/>
    <col min="252" max="252" width="10.7265625" style="6" customWidth="1"/>
    <col min="253" max="253" width="10" style="6" bestFit="1" customWidth="1"/>
    <col min="254" max="254" width="12.7265625" style="6" customWidth="1"/>
    <col min="255" max="259" width="10" style="6" bestFit="1" customWidth="1"/>
    <col min="260" max="260" width="12" style="6" customWidth="1"/>
    <col min="261" max="261" width="12.81640625" style="6" customWidth="1"/>
    <col min="262" max="263" width="11.54296875" style="6" customWidth="1"/>
    <col min="264" max="264" width="12.26953125" style="6" customWidth="1"/>
    <col min="265" max="265" width="11.54296875" style="6" customWidth="1"/>
    <col min="266" max="266" width="10" style="6" bestFit="1" customWidth="1"/>
    <col min="267" max="267" width="11.54296875" style="6" customWidth="1"/>
    <col min="268" max="268" width="10" style="6" bestFit="1" customWidth="1"/>
    <col min="269" max="269" width="10.81640625" style="6" customWidth="1"/>
    <col min="270" max="499" width="8.453125" style="6"/>
    <col min="500" max="500" width="3.81640625" style="6" customWidth="1"/>
    <col min="501" max="501" width="23.1796875" style="6" customWidth="1"/>
    <col min="502" max="502" width="9.54296875" style="6" customWidth="1"/>
    <col min="503" max="507" width="10" style="6" customWidth="1"/>
    <col min="508" max="508" width="10.7265625" style="6" customWidth="1"/>
    <col min="509" max="509" width="10" style="6" bestFit="1" customWidth="1"/>
    <col min="510" max="510" width="12.7265625" style="6" customWidth="1"/>
    <col min="511" max="515" width="10" style="6" bestFit="1" customWidth="1"/>
    <col min="516" max="516" width="12" style="6" customWidth="1"/>
    <col min="517" max="517" width="12.81640625" style="6" customWidth="1"/>
    <col min="518" max="519" width="11.54296875" style="6" customWidth="1"/>
    <col min="520" max="520" width="12.26953125" style="6" customWidth="1"/>
    <col min="521" max="521" width="11.54296875" style="6" customWidth="1"/>
    <col min="522" max="522" width="10" style="6" bestFit="1" customWidth="1"/>
    <col min="523" max="523" width="11.54296875" style="6" customWidth="1"/>
    <col min="524" max="524" width="10" style="6" bestFit="1" customWidth="1"/>
    <col min="525" max="525" width="10.81640625" style="6" customWidth="1"/>
    <col min="526" max="755" width="8.453125" style="6"/>
    <col min="756" max="756" width="3.81640625" style="6" customWidth="1"/>
    <col min="757" max="757" width="23.1796875" style="6" customWidth="1"/>
    <col min="758" max="758" width="9.54296875" style="6" customWidth="1"/>
    <col min="759" max="763" width="10" style="6" customWidth="1"/>
    <col min="764" max="764" width="10.7265625" style="6" customWidth="1"/>
    <col min="765" max="765" width="10" style="6" bestFit="1" customWidth="1"/>
    <col min="766" max="766" width="12.7265625" style="6" customWidth="1"/>
    <col min="767" max="771" width="10" style="6" bestFit="1" customWidth="1"/>
    <col min="772" max="772" width="12" style="6" customWidth="1"/>
    <col min="773" max="773" width="12.81640625" style="6" customWidth="1"/>
    <col min="774" max="775" width="11.54296875" style="6" customWidth="1"/>
    <col min="776" max="776" width="12.26953125" style="6" customWidth="1"/>
    <col min="777" max="777" width="11.54296875" style="6" customWidth="1"/>
    <col min="778" max="778" width="10" style="6" bestFit="1" customWidth="1"/>
    <col min="779" max="779" width="11.54296875" style="6" customWidth="1"/>
    <col min="780" max="780" width="10" style="6" bestFit="1" customWidth="1"/>
    <col min="781" max="781" width="10.81640625" style="6" customWidth="1"/>
    <col min="782" max="1011" width="8.453125" style="6"/>
    <col min="1012" max="1012" width="3.81640625" style="6" customWidth="1"/>
    <col min="1013" max="1013" width="23.1796875" style="6" customWidth="1"/>
    <col min="1014" max="1014" width="9.54296875" style="6" customWidth="1"/>
    <col min="1015" max="1019" width="10" style="6" customWidth="1"/>
    <col min="1020" max="1020" width="10.7265625" style="6" customWidth="1"/>
    <col min="1021" max="1021" width="10" style="6" bestFit="1" customWidth="1"/>
    <col min="1022" max="1022" width="12.7265625" style="6" customWidth="1"/>
    <col min="1023" max="1027" width="10" style="6" bestFit="1" customWidth="1"/>
    <col min="1028" max="1028" width="12" style="6" customWidth="1"/>
    <col min="1029" max="1029" width="12.81640625" style="6" customWidth="1"/>
    <col min="1030" max="1031" width="11.54296875" style="6" customWidth="1"/>
    <col min="1032" max="1032" width="12.26953125" style="6" customWidth="1"/>
    <col min="1033" max="1033" width="11.54296875" style="6" customWidth="1"/>
    <col min="1034" max="1034" width="10" style="6" bestFit="1" customWidth="1"/>
    <col min="1035" max="1035" width="11.54296875" style="6" customWidth="1"/>
    <col min="1036" max="1036" width="10" style="6" bestFit="1" customWidth="1"/>
    <col min="1037" max="1037" width="10.81640625" style="6" customWidth="1"/>
    <col min="1038" max="1267" width="8.453125" style="6"/>
    <col min="1268" max="1268" width="3.81640625" style="6" customWidth="1"/>
    <col min="1269" max="1269" width="23.1796875" style="6" customWidth="1"/>
    <col min="1270" max="1270" width="9.54296875" style="6" customWidth="1"/>
    <col min="1271" max="1275" width="10" style="6" customWidth="1"/>
    <col min="1276" max="1276" width="10.7265625" style="6" customWidth="1"/>
    <col min="1277" max="1277" width="10" style="6" bestFit="1" customWidth="1"/>
    <col min="1278" max="1278" width="12.7265625" style="6" customWidth="1"/>
    <col min="1279" max="1283" width="10" style="6" bestFit="1" customWidth="1"/>
    <col min="1284" max="1284" width="12" style="6" customWidth="1"/>
    <col min="1285" max="1285" width="12.81640625" style="6" customWidth="1"/>
    <col min="1286" max="1287" width="11.54296875" style="6" customWidth="1"/>
    <col min="1288" max="1288" width="12.26953125" style="6" customWidth="1"/>
    <col min="1289" max="1289" width="11.54296875" style="6" customWidth="1"/>
    <col min="1290" max="1290" width="10" style="6" bestFit="1" customWidth="1"/>
    <col min="1291" max="1291" width="11.54296875" style="6" customWidth="1"/>
    <col min="1292" max="1292" width="10" style="6" bestFit="1" customWidth="1"/>
    <col min="1293" max="1293" width="10.81640625" style="6" customWidth="1"/>
    <col min="1294" max="1523" width="8.453125" style="6"/>
    <col min="1524" max="1524" width="3.81640625" style="6" customWidth="1"/>
    <col min="1525" max="1525" width="23.1796875" style="6" customWidth="1"/>
    <col min="1526" max="1526" width="9.54296875" style="6" customWidth="1"/>
    <col min="1527" max="1531" width="10" style="6" customWidth="1"/>
    <col min="1532" max="1532" width="10.7265625" style="6" customWidth="1"/>
    <col min="1533" max="1533" width="10" style="6" bestFit="1" customWidth="1"/>
    <col min="1534" max="1534" width="12.7265625" style="6" customWidth="1"/>
    <col min="1535" max="1539" width="10" style="6" bestFit="1" customWidth="1"/>
    <col min="1540" max="1540" width="12" style="6" customWidth="1"/>
    <col min="1541" max="1541" width="12.81640625" style="6" customWidth="1"/>
    <col min="1542" max="1543" width="11.54296875" style="6" customWidth="1"/>
    <col min="1544" max="1544" width="12.26953125" style="6" customWidth="1"/>
    <col min="1545" max="1545" width="11.54296875" style="6" customWidth="1"/>
    <col min="1546" max="1546" width="10" style="6" bestFit="1" customWidth="1"/>
    <col min="1547" max="1547" width="11.54296875" style="6" customWidth="1"/>
    <col min="1548" max="1548" width="10" style="6" bestFit="1" customWidth="1"/>
    <col min="1549" max="1549" width="10.81640625" style="6" customWidth="1"/>
    <col min="1550" max="1779" width="8.453125" style="6"/>
    <col min="1780" max="1780" width="3.81640625" style="6" customWidth="1"/>
    <col min="1781" max="1781" width="23.1796875" style="6" customWidth="1"/>
    <col min="1782" max="1782" width="9.54296875" style="6" customWidth="1"/>
    <col min="1783" max="1787" width="10" style="6" customWidth="1"/>
    <col min="1788" max="1788" width="10.7265625" style="6" customWidth="1"/>
    <col min="1789" max="1789" width="10" style="6" bestFit="1" customWidth="1"/>
    <col min="1790" max="1790" width="12.7265625" style="6" customWidth="1"/>
    <col min="1791" max="1795" width="10" style="6" bestFit="1" customWidth="1"/>
    <col min="1796" max="1796" width="12" style="6" customWidth="1"/>
    <col min="1797" max="1797" width="12.81640625" style="6" customWidth="1"/>
    <col min="1798" max="1799" width="11.54296875" style="6" customWidth="1"/>
    <col min="1800" max="1800" width="12.26953125" style="6" customWidth="1"/>
    <col min="1801" max="1801" width="11.54296875" style="6" customWidth="1"/>
    <col min="1802" max="1802" width="10" style="6" bestFit="1" customWidth="1"/>
    <col min="1803" max="1803" width="11.54296875" style="6" customWidth="1"/>
    <col min="1804" max="1804" width="10" style="6" bestFit="1" customWidth="1"/>
    <col min="1805" max="1805" width="10.81640625" style="6" customWidth="1"/>
    <col min="1806" max="2035" width="8.453125" style="6"/>
    <col min="2036" max="2036" width="3.81640625" style="6" customWidth="1"/>
    <col min="2037" max="2037" width="23.1796875" style="6" customWidth="1"/>
    <col min="2038" max="2038" width="9.54296875" style="6" customWidth="1"/>
    <col min="2039" max="2043" width="10" style="6" customWidth="1"/>
    <col min="2044" max="2044" width="10.7265625" style="6" customWidth="1"/>
    <col min="2045" max="2045" width="10" style="6" bestFit="1" customWidth="1"/>
    <col min="2046" max="2046" width="12.7265625" style="6" customWidth="1"/>
    <col min="2047" max="2051" width="10" style="6" bestFit="1" customWidth="1"/>
    <col min="2052" max="2052" width="12" style="6" customWidth="1"/>
    <col min="2053" max="2053" width="12.81640625" style="6" customWidth="1"/>
    <col min="2054" max="2055" width="11.54296875" style="6" customWidth="1"/>
    <col min="2056" max="2056" width="12.26953125" style="6" customWidth="1"/>
    <col min="2057" max="2057" width="11.54296875" style="6" customWidth="1"/>
    <col min="2058" max="2058" width="10" style="6" bestFit="1" customWidth="1"/>
    <col min="2059" max="2059" width="11.54296875" style="6" customWidth="1"/>
    <col min="2060" max="2060" width="10" style="6" bestFit="1" customWidth="1"/>
    <col min="2061" max="2061" width="10.81640625" style="6" customWidth="1"/>
    <col min="2062" max="2291" width="8.453125" style="6"/>
    <col min="2292" max="2292" width="3.81640625" style="6" customWidth="1"/>
    <col min="2293" max="2293" width="23.1796875" style="6" customWidth="1"/>
    <col min="2294" max="2294" width="9.54296875" style="6" customWidth="1"/>
    <col min="2295" max="2299" width="10" style="6" customWidth="1"/>
    <col min="2300" max="2300" width="10.7265625" style="6" customWidth="1"/>
    <col min="2301" max="2301" width="10" style="6" bestFit="1" customWidth="1"/>
    <col min="2302" max="2302" width="12.7265625" style="6" customWidth="1"/>
    <col min="2303" max="2307" width="10" style="6" bestFit="1" customWidth="1"/>
    <col min="2308" max="2308" width="12" style="6" customWidth="1"/>
    <col min="2309" max="2309" width="12.81640625" style="6" customWidth="1"/>
    <col min="2310" max="2311" width="11.54296875" style="6" customWidth="1"/>
    <col min="2312" max="2312" width="12.26953125" style="6" customWidth="1"/>
    <col min="2313" max="2313" width="11.54296875" style="6" customWidth="1"/>
    <col min="2314" max="2314" width="10" style="6" bestFit="1" customWidth="1"/>
    <col min="2315" max="2315" width="11.54296875" style="6" customWidth="1"/>
    <col min="2316" max="2316" width="10" style="6" bestFit="1" customWidth="1"/>
    <col min="2317" max="2317" width="10.81640625" style="6" customWidth="1"/>
    <col min="2318" max="2547" width="8.453125" style="6"/>
    <col min="2548" max="2548" width="3.81640625" style="6" customWidth="1"/>
    <col min="2549" max="2549" width="23.1796875" style="6" customWidth="1"/>
    <col min="2550" max="2550" width="9.54296875" style="6" customWidth="1"/>
    <col min="2551" max="2555" width="10" style="6" customWidth="1"/>
    <col min="2556" max="2556" width="10.7265625" style="6" customWidth="1"/>
    <col min="2557" max="2557" width="10" style="6" bestFit="1" customWidth="1"/>
    <col min="2558" max="2558" width="12.7265625" style="6" customWidth="1"/>
    <col min="2559" max="2563" width="10" style="6" bestFit="1" customWidth="1"/>
    <col min="2564" max="2564" width="12" style="6" customWidth="1"/>
    <col min="2565" max="2565" width="12.81640625" style="6" customWidth="1"/>
    <col min="2566" max="2567" width="11.54296875" style="6" customWidth="1"/>
    <col min="2568" max="2568" width="12.26953125" style="6" customWidth="1"/>
    <col min="2569" max="2569" width="11.54296875" style="6" customWidth="1"/>
    <col min="2570" max="2570" width="10" style="6" bestFit="1" customWidth="1"/>
    <col min="2571" max="2571" width="11.54296875" style="6" customWidth="1"/>
    <col min="2572" max="2572" width="10" style="6" bestFit="1" customWidth="1"/>
    <col min="2573" max="2573" width="10.81640625" style="6" customWidth="1"/>
    <col min="2574" max="2803" width="8.453125" style="6"/>
    <col min="2804" max="2804" width="3.81640625" style="6" customWidth="1"/>
    <col min="2805" max="2805" width="23.1796875" style="6" customWidth="1"/>
    <col min="2806" max="2806" width="9.54296875" style="6" customWidth="1"/>
    <col min="2807" max="2811" width="10" style="6" customWidth="1"/>
    <col min="2812" max="2812" width="10.7265625" style="6" customWidth="1"/>
    <col min="2813" max="2813" width="10" style="6" bestFit="1" customWidth="1"/>
    <col min="2814" max="2814" width="12.7265625" style="6" customWidth="1"/>
    <col min="2815" max="2819" width="10" style="6" bestFit="1" customWidth="1"/>
    <col min="2820" max="2820" width="12" style="6" customWidth="1"/>
    <col min="2821" max="2821" width="12.81640625" style="6" customWidth="1"/>
    <col min="2822" max="2823" width="11.54296875" style="6" customWidth="1"/>
    <col min="2824" max="2824" width="12.26953125" style="6" customWidth="1"/>
    <col min="2825" max="2825" width="11.54296875" style="6" customWidth="1"/>
    <col min="2826" max="2826" width="10" style="6" bestFit="1" customWidth="1"/>
    <col min="2827" max="2827" width="11.54296875" style="6" customWidth="1"/>
    <col min="2828" max="2828" width="10" style="6" bestFit="1" customWidth="1"/>
    <col min="2829" max="2829" width="10.81640625" style="6" customWidth="1"/>
    <col min="2830" max="3059" width="8.453125" style="6"/>
    <col min="3060" max="3060" width="3.81640625" style="6" customWidth="1"/>
    <col min="3061" max="3061" width="23.1796875" style="6" customWidth="1"/>
    <col min="3062" max="3062" width="9.54296875" style="6" customWidth="1"/>
    <col min="3063" max="3067" width="10" style="6" customWidth="1"/>
    <col min="3068" max="3068" width="10.7265625" style="6" customWidth="1"/>
    <col min="3069" max="3069" width="10" style="6" bestFit="1" customWidth="1"/>
    <col min="3070" max="3070" width="12.7265625" style="6" customWidth="1"/>
    <col min="3071" max="3075" width="10" style="6" bestFit="1" customWidth="1"/>
    <col min="3076" max="3076" width="12" style="6" customWidth="1"/>
    <col min="3077" max="3077" width="12.81640625" style="6" customWidth="1"/>
    <col min="3078" max="3079" width="11.54296875" style="6" customWidth="1"/>
    <col min="3080" max="3080" width="12.26953125" style="6" customWidth="1"/>
    <col min="3081" max="3081" width="11.54296875" style="6" customWidth="1"/>
    <col min="3082" max="3082" width="10" style="6" bestFit="1" customWidth="1"/>
    <col min="3083" max="3083" width="11.54296875" style="6" customWidth="1"/>
    <col min="3084" max="3084" width="10" style="6" bestFit="1" customWidth="1"/>
    <col min="3085" max="3085" width="10.81640625" style="6" customWidth="1"/>
    <col min="3086" max="3315" width="8.453125" style="6"/>
    <col min="3316" max="3316" width="3.81640625" style="6" customWidth="1"/>
    <col min="3317" max="3317" width="23.1796875" style="6" customWidth="1"/>
    <col min="3318" max="3318" width="9.54296875" style="6" customWidth="1"/>
    <col min="3319" max="3323" width="10" style="6" customWidth="1"/>
    <col min="3324" max="3324" width="10.7265625" style="6" customWidth="1"/>
    <col min="3325" max="3325" width="10" style="6" bestFit="1" customWidth="1"/>
    <col min="3326" max="3326" width="12.7265625" style="6" customWidth="1"/>
    <col min="3327" max="3331" width="10" style="6" bestFit="1" customWidth="1"/>
    <col min="3332" max="3332" width="12" style="6" customWidth="1"/>
    <col min="3333" max="3333" width="12.81640625" style="6" customWidth="1"/>
    <col min="3334" max="3335" width="11.54296875" style="6" customWidth="1"/>
    <col min="3336" max="3336" width="12.26953125" style="6" customWidth="1"/>
    <col min="3337" max="3337" width="11.54296875" style="6" customWidth="1"/>
    <col min="3338" max="3338" width="10" style="6" bestFit="1" customWidth="1"/>
    <col min="3339" max="3339" width="11.54296875" style="6" customWidth="1"/>
    <col min="3340" max="3340" width="10" style="6" bestFit="1" customWidth="1"/>
    <col min="3341" max="3341" width="10.81640625" style="6" customWidth="1"/>
    <col min="3342" max="3571" width="8.453125" style="6"/>
    <col min="3572" max="3572" width="3.81640625" style="6" customWidth="1"/>
    <col min="3573" max="3573" width="23.1796875" style="6" customWidth="1"/>
    <col min="3574" max="3574" width="9.54296875" style="6" customWidth="1"/>
    <col min="3575" max="3579" width="10" style="6" customWidth="1"/>
    <col min="3580" max="3580" width="10.7265625" style="6" customWidth="1"/>
    <col min="3581" max="3581" width="10" style="6" bestFit="1" customWidth="1"/>
    <col min="3582" max="3582" width="12.7265625" style="6" customWidth="1"/>
    <col min="3583" max="3587" width="10" style="6" bestFit="1" customWidth="1"/>
    <col min="3588" max="3588" width="12" style="6" customWidth="1"/>
    <col min="3589" max="3589" width="12.81640625" style="6" customWidth="1"/>
    <col min="3590" max="3591" width="11.54296875" style="6" customWidth="1"/>
    <col min="3592" max="3592" width="12.26953125" style="6" customWidth="1"/>
    <col min="3593" max="3593" width="11.54296875" style="6" customWidth="1"/>
    <col min="3594" max="3594" width="10" style="6" bestFit="1" customWidth="1"/>
    <col min="3595" max="3595" width="11.54296875" style="6" customWidth="1"/>
    <col min="3596" max="3596" width="10" style="6" bestFit="1" customWidth="1"/>
    <col min="3597" max="3597" width="10.81640625" style="6" customWidth="1"/>
    <col min="3598" max="3827" width="8.453125" style="6"/>
    <col min="3828" max="3828" width="3.81640625" style="6" customWidth="1"/>
    <col min="3829" max="3829" width="23.1796875" style="6" customWidth="1"/>
    <col min="3830" max="3830" width="9.54296875" style="6" customWidth="1"/>
    <col min="3831" max="3835" width="10" style="6" customWidth="1"/>
    <col min="3836" max="3836" width="10.7265625" style="6" customWidth="1"/>
    <col min="3837" max="3837" width="10" style="6" bestFit="1" customWidth="1"/>
    <col min="3838" max="3838" width="12.7265625" style="6" customWidth="1"/>
    <col min="3839" max="3843" width="10" style="6" bestFit="1" customWidth="1"/>
    <col min="3844" max="3844" width="12" style="6" customWidth="1"/>
    <col min="3845" max="3845" width="12.81640625" style="6" customWidth="1"/>
    <col min="3846" max="3847" width="11.54296875" style="6" customWidth="1"/>
    <col min="3848" max="3848" width="12.26953125" style="6" customWidth="1"/>
    <col min="3849" max="3849" width="11.54296875" style="6" customWidth="1"/>
    <col min="3850" max="3850" width="10" style="6" bestFit="1" customWidth="1"/>
    <col min="3851" max="3851" width="11.54296875" style="6" customWidth="1"/>
    <col min="3852" max="3852" width="10" style="6" bestFit="1" customWidth="1"/>
    <col min="3853" max="3853" width="10.81640625" style="6" customWidth="1"/>
    <col min="3854" max="4083" width="8.453125" style="6"/>
    <col min="4084" max="4084" width="3.81640625" style="6" customWidth="1"/>
    <col min="4085" max="4085" width="23.1796875" style="6" customWidth="1"/>
    <col min="4086" max="4086" width="9.54296875" style="6" customWidth="1"/>
    <col min="4087" max="4091" width="10" style="6" customWidth="1"/>
    <col min="4092" max="4092" width="10.7265625" style="6" customWidth="1"/>
    <col min="4093" max="4093" width="10" style="6" bestFit="1" customWidth="1"/>
    <col min="4094" max="4094" width="12.7265625" style="6" customWidth="1"/>
    <col min="4095" max="4099" width="10" style="6" bestFit="1" customWidth="1"/>
    <col min="4100" max="4100" width="12" style="6" customWidth="1"/>
    <col min="4101" max="4101" width="12.81640625" style="6" customWidth="1"/>
    <col min="4102" max="4103" width="11.54296875" style="6" customWidth="1"/>
    <col min="4104" max="4104" width="12.26953125" style="6" customWidth="1"/>
    <col min="4105" max="4105" width="11.54296875" style="6" customWidth="1"/>
    <col min="4106" max="4106" width="10" style="6" bestFit="1" customWidth="1"/>
    <col min="4107" max="4107" width="11.54296875" style="6" customWidth="1"/>
    <col min="4108" max="4108" width="10" style="6" bestFit="1" customWidth="1"/>
    <col min="4109" max="4109" width="10.81640625" style="6" customWidth="1"/>
    <col min="4110" max="4339" width="8.453125" style="6"/>
    <col min="4340" max="4340" width="3.81640625" style="6" customWidth="1"/>
    <col min="4341" max="4341" width="23.1796875" style="6" customWidth="1"/>
    <col min="4342" max="4342" width="9.54296875" style="6" customWidth="1"/>
    <col min="4343" max="4347" width="10" style="6" customWidth="1"/>
    <col min="4348" max="4348" width="10.7265625" style="6" customWidth="1"/>
    <col min="4349" max="4349" width="10" style="6" bestFit="1" customWidth="1"/>
    <col min="4350" max="4350" width="12.7265625" style="6" customWidth="1"/>
    <col min="4351" max="4355" width="10" style="6" bestFit="1" customWidth="1"/>
    <col min="4356" max="4356" width="12" style="6" customWidth="1"/>
    <col min="4357" max="4357" width="12.81640625" style="6" customWidth="1"/>
    <col min="4358" max="4359" width="11.54296875" style="6" customWidth="1"/>
    <col min="4360" max="4360" width="12.26953125" style="6" customWidth="1"/>
    <col min="4361" max="4361" width="11.54296875" style="6" customWidth="1"/>
    <col min="4362" max="4362" width="10" style="6" bestFit="1" customWidth="1"/>
    <col min="4363" max="4363" width="11.54296875" style="6" customWidth="1"/>
    <col min="4364" max="4364" width="10" style="6" bestFit="1" customWidth="1"/>
    <col min="4365" max="4365" width="10.81640625" style="6" customWidth="1"/>
    <col min="4366" max="4595" width="8.453125" style="6"/>
    <col min="4596" max="4596" width="3.81640625" style="6" customWidth="1"/>
    <col min="4597" max="4597" width="23.1796875" style="6" customWidth="1"/>
    <col min="4598" max="4598" width="9.54296875" style="6" customWidth="1"/>
    <col min="4599" max="4603" width="10" style="6" customWidth="1"/>
    <col min="4604" max="4604" width="10.7265625" style="6" customWidth="1"/>
    <col min="4605" max="4605" width="10" style="6" bestFit="1" customWidth="1"/>
    <col min="4606" max="4606" width="12.7265625" style="6" customWidth="1"/>
    <col min="4607" max="4611" width="10" style="6" bestFit="1" customWidth="1"/>
    <col min="4612" max="4612" width="12" style="6" customWidth="1"/>
    <col min="4613" max="4613" width="12.81640625" style="6" customWidth="1"/>
    <col min="4614" max="4615" width="11.54296875" style="6" customWidth="1"/>
    <col min="4616" max="4616" width="12.26953125" style="6" customWidth="1"/>
    <col min="4617" max="4617" width="11.54296875" style="6" customWidth="1"/>
    <col min="4618" max="4618" width="10" style="6" bestFit="1" customWidth="1"/>
    <col min="4619" max="4619" width="11.54296875" style="6" customWidth="1"/>
    <col min="4620" max="4620" width="10" style="6" bestFit="1" customWidth="1"/>
    <col min="4621" max="4621" width="10.81640625" style="6" customWidth="1"/>
    <col min="4622" max="4851" width="8.453125" style="6"/>
    <col min="4852" max="4852" width="3.81640625" style="6" customWidth="1"/>
    <col min="4853" max="4853" width="23.1796875" style="6" customWidth="1"/>
    <col min="4854" max="4854" width="9.54296875" style="6" customWidth="1"/>
    <col min="4855" max="4859" width="10" style="6" customWidth="1"/>
    <col min="4860" max="4860" width="10.7265625" style="6" customWidth="1"/>
    <col min="4861" max="4861" width="10" style="6" bestFit="1" customWidth="1"/>
    <col min="4862" max="4862" width="12.7265625" style="6" customWidth="1"/>
    <col min="4863" max="4867" width="10" style="6" bestFit="1" customWidth="1"/>
    <col min="4868" max="4868" width="12" style="6" customWidth="1"/>
    <col min="4869" max="4869" width="12.81640625" style="6" customWidth="1"/>
    <col min="4870" max="4871" width="11.54296875" style="6" customWidth="1"/>
    <col min="4872" max="4872" width="12.26953125" style="6" customWidth="1"/>
    <col min="4873" max="4873" width="11.54296875" style="6" customWidth="1"/>
    <col min="4874" max="4874" width="10" style="6" bestFit="1" customWidth="1"/>
    <col min="4875" max="4875" width="11.54296875" style="6" customWidth="1"/>
    <col min="4876" max="4876" width="10" style="6" bestFit="1" customWidth="1"/>
    <col min="4877" max="4877" width="10.81640625" style="6" customWidth="1"/>
    <col min="4878" max="5107" width="8.453125" style="6"/>
    <col min="5108" max="5108" width="3.81640625" style="6" customWidth="1"/>
    <col min="5109" max="5109" width="23.1796875" style="6" customWidth="1"/>
    <col min="5110" max="5110" width="9.54296875" style="6" customWidth="1"/>
    <col min="5111" max="5115" width="10" style="6" customWidth="1"/>
    <col min="5116" max="5116" width="10.7265625" style="6" customWidth="1"/>
    <col min="5117" max="5117" width="10" style="6" bestFit="1" customWidth="1"/>
    <col min="5118" max="5118" width="12.7265625" style="6" customWidth="1"/>
    <col min="5119" max="5123" width="10" style="6" bestFit="1" customWidth="1"/>
    <col min="5124" max="5124" width="12" style="6" customWidth="1"/>
    <col min="5125" max="5125" width="12.81640625" style="6" customWidth="1"/>
    <col min="5126" max="5127" width="11.54296875" style="6" customWidth="1"/>
    <col min="5128" max="5128" width="12.26953125" style="6" customWidth="1"/>
    <col min="5129" max="5129" width="11.54296875" style="6" customWidth="1"/>
    <col min="5130" max="5130" width="10" style="6" bestFit="1" customWidth="1"/>
    <col min="5131" max="5131" width="11.54296875" style="6" customWidth="1"/>
    <col min="5132" max="5132" width="10" style="6" bestFit="1" customWidth="1"/>
    <col min="5133" max="5133" width="10.81640625" style="6" customWidth="1"/>
    <col min="5134" max="5363" width="8.453125" style="6"/>
    <col min="5364" max="5364" width="3.81640625" style="6" customWidth="1"/>
    <col min="5365" max="5365" width="23.1796875" style="6" customWidth="1"/>
    <col min="5366" max="5366" width="9.54296875" style="6" customWidth="1"/>
    <col min="5367" max="5371" width="10" style="6" customWidth="1"/>
    <col min="5372" max="5372" width="10.7265625" style="6" customWidth="1"/>
    <col min="5373" max="5373" width="10" style="6" bestFit="1" customWidth="1"/>
    <col min="5374" max="5374" width="12.7265625" style="6" customWidth="1"/>
    <col min="5375" max="5379" width="10" style="6" bestFit="1" customWidth="1"/>
    <col min="5380" max="5380" width="12" style="6" customWidth="1"/>
    <col min="5381" max="5381" width="12.81640625" style="6" customWidth="1"/>
    <col min="5382" max="5383" width="11.54296875" style="6" customWidth="1"/>
    <col min="5384" max="5384" width="12.26953125" style="6" customWidth="1"/>
    <col min="5385" max="5385" width="11.54296875" style="6" customWidth="1"/>
    <col min="5386" max="5386" width="10" style="6" bestFit="1" customWidth="1"/>
    <col min="5387" max="5387" width="11.54296875" style="6" customWidth="1"/>
    <col min="5388" max="5388" width="10" style="6" bestFit="1" customWidth="1"/>
    <col min="5389" max="5389" width="10.81640625" style="6" customWidth="1"/>
    <col min="5390" max="5619" width="8.453125" style="6"/>
    <col min="5620" max="5620" width="3.81640625" style="6" customWidth="1"/>
    <col min="5621" max="5621" width="23.1796875" style="6" customWidth="1"/>
    <col min="5622" max="5622" width="9.54296875" style="6" customWidth="1"/>
    <col min="5623" max="5627" width="10" style="6" customWidth="1"/>
    <col min="5628" max="5628" width="10.7265625" style="6" customWidth="1"/>
    <col min="5629" max="5629" width="10" style="6" bestFit="1" customWidth="1"/>
    <col min="5630" max="5630" width="12.7265625" style="6" customWidth="1"/>
    <col min="5631" max="5635" width="10" style="6" bestFit="1" customWidth="1"/>
    <col min="5636" max="5636" width="12" style="6" customWidth="1"/>
    <col min="5637" max="5637" width="12.81640625" style="6" customWidth="1"/>
    <col min="5638" max="5639" width="11.54296875" style="6" customWidth="1"/>
    <col min="5640" max="5640" width="12.26953125" style="6" customWidth="1"/>
    <col min="5641" max="5641" width="11.54296875" style="6" customWidth="1"/>
    <col min="5642" max="5642" width="10" style="6" bestFit="1" customWidth="1"/>
    <col min="5643" max="5643" width="11.54296875" style="6" customWidth="1"/>
    <col min="5644" max="5644" width="10" style="6" bestFit="1" customWidth="1"/>
    <col min="5645" max="5645" width="10.81640625" style="6" customWidth="1"/>
    <col min="5646" max="5875" width="8.453125" style="6"/>
    <col min="5876" max="5876" width="3.81640625" style="6" customWidth="1"/>
    <col min="5877" max="5877" width="23.1796875" style="6" customWidth="1"/>
    <col min="5878" max="5878" width="9.54296875" style="6" customWidth="1"/>
    <col min="5879" max="5883" width="10" style="6" customWidth="1"/>
    <col min="5884" max="5884" width="10.7265625" style="6" customWidth="1"/>
    <col min="5885" max="5885" width="10" style="6" bestFit="1" customWidth="1"/>
    <col min="5886" max="5886" width="12.7265625" style="6" customWidth="1"/>
    <col min="5887" max="5891" width="10" style="6" bestFit="1" customWidth="1"/>
    <col min="5892" max="5892" width="12" style="6" customWidth="1"/>
    <col min="5893" max="5893" width="12.81640625" style="6" customWidth="1"/>
    <col min="5894" max="5895" width="11.54296875" style="6" customWidth="1"/>
    <col min="5896" max="5896" width="12.26953125" style="6" customWidth="1"/>
    <col min="5897" max="5897" width="11.54296875" style="6" customWidth="1"/>
    <col min="5898" max="5898" width="10" style="6" bestFit="1" customWidth="1"/>
    <col min="5899" max="5899" width="11.54296875" style="6" customWidth="1"/>
    <col min="5900" max="5900" width="10" style="6" bestFit="1" customWidth="1"/>
    <col min="5901" max="5901" width="10.81640625" style="6" customWidth="1"/>
    <col min="5902" max="6131" width="8.453125" style="6"/>
    <col min="6132" max="6132" width="3.81640625" style="6" customWidth="1"/>
    <col min="6133" max="6133" width="23.1796875" style="6" customWidth="1"/>
    <col min="6134" max="6134" width="9.54296875" style="6" customWidth="1"/>
    <col min="6135" max="6139" width="10" style="6" customWidth="1"/>
    <col min="6140" max="6140" width="10.7265625" style="6" customWidth="1"/>
    <col min="6141" max="6141" width="10" style="6" bestFit="1" customWidth="1"/>
    <col min="6142" max="6142" width="12.7265625" style="6" customWidth="1"/>
    <col min="6143" max="6147" width="10" style="6" bestFit="1" customWidth="1"/>
    <col min="6148" max="6148" width="12" style="6" customWidth="1"/>
    <col min="6149" max="6149" width="12.81640625" style="6" customWidth="1"/>
    <col min="6150" max="6151" width="11.54296875" style="6" customWidth="1"/>
    <col min="6152" max="6152" width="12.26953125" style="6" customWidth="1"/>
    <col min="6153" max="6153" width="11.54296875" style="6" customWidth="1"/>
    <col min="6154" max="6154" width="10" style="6" bestFit="1" customWidth="1"/>
    <col min="6155" max="6155" width="11.54296875" style="6" customWidth="1"/>
    <col min="6156" max="6156" width="10" style="6" bestFit="1" customWidth="1"/>
    <col min="6157" max="6157" width="10.81640625" style="6" customWidth="1"/>
    <col min="6158" max="6387" width="8.453125" style="6"/>
    <col min="6388" max="6388" width="3.81640625" style="6" customWidth="1"/>
    <col min="6389" max="6389" width="23.1796875" style="6" customWidth="1"/>
    <col min="6390" max="6390" width="9.54296875" style="6" customWidth="1"/>
    <col min="6391" max="6395" width="10" style="6" customWidth="1"/>
    <col min="6396" max="6396" width="10.7265625" style="6" customWidth="1"/>
    <col min="6397" max="6397" width="10" style="6" bestFit="1" customWidth="1"/>
    <col min="6398" max="6398" width="12.7265625" style="6" customWidth="1"/>
    <col min="6399" max="6403" width="10" style="6" bestFit="1" customWidth="1"/>
    <col min="6404" max="6404" width="12" style="6" customWidth="1"/>
    <col min="6405" max="6405" width="12.81640625" style="6" customWidth="1"/>
    <col min="6406" max="6407" width="11.54296875" style="6" customWidth="1"/>
    <col min="6408" max="6408" width="12.26953125" style="6" customWidth="1"/>
    <col min="6409" max="6409" width="11.54296875" style="6" customWidth="1"/>
    <col min="6410" max="6410" width="10" style="6" bestFit="1" customWidth="1"/>
    <col min="6411" max="6411" width="11.54296875" style="6" customWidth="1"/>
    <col min="6412" max="6412" width="10" style="6" bestFit="1" customWidth="1"/>
    <col min="6413" max="6413" width="10.81640625" style="6" customWidth="1"/>
    <col min="6414" max="6643" width="8.453125" style="6"/>
    <col min="6644" max="6644" width="3.81640625" style="6" customWidth="1"/>
    <col min="6645" max="6645" width="23.1796875" style="6" customWidth="1"/>
    <col min="6646" max="6646" width="9.54296875" style="6" customWidth="1"/>
    <col min="6647" max="6651" width="10" style="6" customWidth="1"/>
    <col min="6652" max="6652" width="10.7265625" style="6" customWidth="1"/>
    <col min="6653" max="6653" width="10" style="6" bestFit="1" customWidth="1"/>
    <col min="6654" max="6654" width="12.7265625" style="6" customWidth="1"/>
    <col min="6655" max="6659" width="10" style="6" bestFit="1" customWidth="1"/>
    <col min="6660" max="6660" width="12" style="6" customWidth="1"/>
    <col min="6661" max="6661" width="12.81640625" style="6" customWidth="1"/>
    <col min="6662" max="6663" width="11.54296875" style="6" customWidth="1"/>
    <col min="6664" max="6664" width="12.26953125" style="6" customWidth="1"/>
    <col min="6665" max="6665" width="11.54296875" style="6" customWidth="1"/>
    <col min="6666" max="6666" width="10" style="6" bestFit="1" customWidth="1"/>
    <col min="6667" max="6667" width="11.54296875" style="6" customWidth="1"/>
    <col min="6668" max="6668" width="10" style="6" bestFit="1" customWidth="1"/>
    <col min="6669" max="6669" width="10.81640625" style="6" customWidth="1"/>
    <col min="6670" max="6899" width="8.453125" style="6"/>
    <col min="6900" max="6900" width="3.81640625" style="6" customWidth="1"/>
    <col min="6901" max="6901" width="23.1796875" style="6" customWidth="1"/>
    <col min="6902" max="6902" width="9.54296875" style="6" customWidth="1"/>
    <col min="6903" max="6907" width="10" style="6" customWidth="1"/>
    <col min="6908" max="6908" width="10.7265625" style="6" customWidth="1"/>
    <col min="6909" max="6909" width="10" style="6" bestFit="1" customWidth="1"/>
    <col min="6910" max="6910" width="12.7265625" style="6" customWidth="1"/>
    <col min="6911" max="6915" width="10" style="6" bestFit="1" customWidth="1"/>
    <col min="6916" max="6916" width="12" style="6" customWidth="1"/>
    <col min="6917" max="6917" width="12.81640625" style="6" customWidth="1"/>
    <col min="6918" max="6919" width="11.54296875" style="6" customWidth="1"/>
    <col min="6920" max="6920" width="12.26953125" style="6" customWidth="1"/>
    <col min="6921" max="6921" width="11.54296875" style="6" customWidth="1"/>
    <col min="6922" max="6922" width="10" style="6" bestFit="1" customWidth="1"/>
    <col min="6923" max="6923" width="11.54296875" style="6" customWidth="1"/>
    <col min="6924" max="6924" width="10" style="6" bestFit="1" customWidth="1"/>
    <col min="6925" max="6925" width="10.81640625" style="6" customWidth="1"/>
    <col min="6926" max="7155" width="8.453125" style="6"/>
    <col min="7156" max="7156" width="3.81640625" style="6" customWidth="1"/>
    <col min="7157" max="7157" width="23.1796875" style="6" customWidth="1"/>
    <col min="7158" max="7158" width="9.54296875" style="6" customWidth="1"/>
    <col min="7159" max="7163" width="10" style="6" customWidth="1"/>
    <col min="7164" max="7164" width="10.7265625" style="6" customWidth="1"/>
    <col min="7165" max="7165" width="10" style="6" bestFit="1" customWidth="1"/>
    <col min="7166" max="7166" width="12.7265625" style="6" customWidth="1"/>
    <col min="7167" max="7171" width="10" style="6" bestFit="1" customWidth="1"/>
    <col min="7172" max="7172" width="12" style="6" customWidth="1"/>
    <col min="7173" max="7173" width="12.81640625" style="6" customWidth="1"/>
    <col min="7174" max="7175" width="11.54296875" style="6" customWidth="1"/>
    <col min="7176" max="7176" width="12.26953125" style="6" customWidth="1"/>
    <col min="7177" max="7177" width="11.54296875" style="6" customWidth="1"/>
    <col min="7178" max="7178" width="10" style="6" bestFit="1" customWidth="1"/>
    <col min="7179" max="7179" width="11.54296875" style="6" customWidth="1"/>
    <col min="7180" max="7180" width="10" style="6" bestFit="1" customWidth="1"/>
    <col min="7181" max="7181" width="10.81640625" style="6" customWidth="1"/>
    <col min="7182" max="7411" width="8.453125" style="6"/>
    <col min="7412" max="7412" width="3.81640625" style="6" customWidth="1"/>
    <col min="7413" max="7413" width="23.1796875" style="6" customWidth="1"/>
    <col min="7414" max="7414" width="9.54296875" style="6" customWidth="1"/>
    <col min="7415" max="7419" width="10" style="6" customWidth="1"/>
    <col min="7420" max="7420" width="10.7265625" style="6" customWidth="1"/>
    <col min="7421" max="7421" width="10" style="6" bestFit="1" customWidth="1"/>
    <col min="7422" max="7422" width="12.7265625" style="6" customWidth="1"/>
    <col min="7423" max="7427" width="10" style="6" bestFit="1" customWidth="1"/>
    <col min="7428" max="7428" width="12" style="6" customWidth="1"/>
    <col min="7429" max="7429" width="12.81640625" style="6" customWidth="1"/>
    <col min="7430" max="7431" width="11.54296875" style="6" customWidth="1"/>
    <col min="7432" max="7432" width="12.26953125" style="6" customWidth="1"/>
    <col min="7433" max="7433" width="11.54296875" style="6" customWidth="1"/>
    <col min="7434" max="7434" width="10" style="6" bestFit="1" customWidth="1"/>
    <col min="7435" max="7435" width="11.54296875" style="6" customWidth="1"/>
    <col min="7436" max="7436" width="10" style="6" bestFit="1" customWidth="1"/>
    <col min="7437" max="7437" width="10.81640625" style="6" customWidth="1"/>
    <col min="7438" max="7667" width="8.453125" style="6"/>
    <col min="7668" max="7668" width="3.81640625" style="6" customWidth="1"/>
    <col min="7669" max="7669" width="23.1796875" style="6" customWidth="1"/>
    <col min="7670" max="7670" width="9.54296875" style="6" customWidth="1"/>
    <col min="7671" max="7675" width="10" style="6" customWidth="1"/>
    <col min="7676" max="7676" width="10.7265625" style="6" customWidth="1"/>
    <col min="7677" max="7677" width="10" style="6" bestFit="1" customWidth="1"/>
    <col min="7678" max="7678" width="12.7265625" style="6" customWidth="1"/>
    <col min="7679" max="7683" width="10" style="6" bestFit="1" customWidth="1"/>
    <col min="7684" max="7684" width="12" style="6" customWidth="1"/>
    <col min="7685" max="7685" width="12.81640625" style="6" customWidth="1"/>
    <col min="7686" max="7687" width="11.54296875" style="6" customWidth="1"/>
    <col min="7688" max="7688" width="12.26953125" style="6" customWidth="1"/>
    <col min="7689" max="7689" width="11.54296875" style="6" customWidth="1"/>
    <col min="7690" max="7690" width="10" style="6" bestFit="1" customWidth="1"/>
    <col min="7691" max="7691" width="11.54296875" style="6" customWidth="1"/>
    <col min="7692" max="7692" width="10" style="6" bestFit="1" customWidth="1"/>
    <col min="7693" max="7693" width="10.81640625" style="6" customWidth="1"/>
    <col min="7694" max="7923" width="8.453125" style="6"/>
    <col min="7924" max="7924" width="3.81640625" style="6" customWidth="1"/>
    <col min="7925" max="7925" width="23.1796875" style="6" customWidth="1"/>
    <col min="7926" max="7926" width="9.54296875" style="6" customWidth="1"/>
    <col min="7927" max="7931" width="10" style="6" customWidth="1"/>
    <col min="7932" max="7932" width="10.7265625" style="6" customWidth="1"/>
    <col min="7933" max="7933" width="10" style="6" bestFit="1" customWidth="1"/>
    <col min="7934" max="7934" width="12.7265625" style="6" customWidth="1"/>
    <col min="7935" max="7939" width="10" style="6" bestFit="1" customWidth="1"/>
    <col min="7940" max="7940" width="12" style="6" customWidth="1"/>
    <col min="7941" max="7941" width="12.81640625" style="6" customWidth="1"/>
    <col min="7942" max="7943" width="11.54296875" style="6" customWidth="1"/>
    <col min="7944" max="7944" width="12.26953125" style="6" customWidth="1"/>
    <col min="7945" max="7945" width="11.54296875" style="6" customWidth="1"/>
    <col min="7946" max="7946" width="10" style="6" bestFit="1" customWidth="1"/>
    <col min="7947" max="7947" width="11.54296875" style="6" customWidth="1"/>
    <col min="7948" max="7948" width="10" style="6" bestFit="1" customWidth="1"/>
    <col min="7949" max="7949" width="10.81640625" style="6" customWidth="1"/>
    <col min="7950" max="8179" width="8.453125" style="6"/>
    <col min="8180" max="8180" width="3.81640625" style="6" customWidth="1"/>
    <col min="8181" max="8181" width="23.1796875" style="6" customWidth="1"/>
    <col min="8182" max="8182" width="9.54296875" style="6" customWidth="1"/>
    <col min="8183" max="8187" width="10" style="6" customWidth="1"/>
    <col min="8188" max="8188" width="10.7265625" style="6" customWidth="1"/>
    <col min="8189" max="8189" width="10" style="6" bestFit="1" customWidth="1"/>
    <col min="8190" max="8190" width="12.7265625" style="6" customWidth="1"/>
    <col min="8191" max="8195" width="10" style="6" bestFit="1" customWidth="1"/>
    <col min="8196" max="8196" width="12" style="6" customWidth="1"/>
    <col min="8197" max="8197" width="12.81640625" style="6" customWidth="1"/>
    <col min="8198" max="8199" width="11.54296875" style="6" customWidth="1"/>
    <col min="8200" max="8200" width="12.26953125" style="6" customWidth="1"/>
    <col min="8201" max="8201" width="11.54296875" style="6" customWidth="1"/>
    <col min="8202" max="8202" width="10" style="6" bestFit="1" customWidth="1"/>
    <col min="8203" max="8203" width="11.54296875" style="6" customWidth="1"/>
    <col min="8204" max="8204" width="10" style="6" bestFit="1" customWidth="1"/>
    <col min="8205" max="8205" width="10.81640625" style="6" customWidth="1"/>
    <col min="8206" max="8435" width="8.453125" style="6"/>
    <col min="8436" max="8436" width="3.81640625" style="6" customWidth="1"/>
    <col min="8437" max="8437" width="23.1796875" style="6" customWidth="1"/>
    <col min="8438" max="8438" width="9.54296875" style="6" customWidth="1"/>
    <col min="8439" max="8443" width="10" style="6" customWidth="1"/>
    <col min="8444" max="8444" width="10.7265625" style="6" customWidth="1"/>
    <col min="8445" max="8445" width="10" style="6" bestFit="1" customWidth="1"/>
    <col min="8446" max="8446" width="12.7265625" style="6" customWidth="1"/>
    <col min="8447" max="8451" width="10" style="6" bestFit="1" customWidth="1"/>
    <col min="8452" max="8452" width="12" style="6" customWidth="1"/>
    <col min="8453" max="8453" width="12.81640625" style="6" customWidth="1"/>
    <col min="8454" max="8455" width="11.54296875" style="6" customWidth="1"/>
    <col min="8456" max="8456" width="12.26953125" style="6" customWidth="1"/>
    <col min="8457" max="8457" width="11.54296875" style="6" customWidth="1"/>
    <col min="8458" max="8458" width="10" style="6" bestFit="1" customWidth="1"/>
    <col min="8459" max="8459" width="11.54296875" style="6" customWidth="1"/>
    <col min="8460" max="8460" width="10" style="6" bestFit="1" customWidth="1"/>
    <col min="8461" max="8461" width="10.81640625" style="6" customWidth="1"/>
    <col min="8462" max="8691" width="8.453125" style="6"/>
    <col min="8692" max="8692" width="3.81640625" style="6" customWidth="1"/>
    <col min="8693" max="8693" width="23.1796875" style="6" customWidth="1"/>
    <col min="8694" max="8694" width="9.54296875" style="6" customWidth="1"/>
    <col min="8695" max="8699" width="10" style="6" customWidth="1"/>
    <col min="8700" max="8700" width="10.7265625" style="6" customWidth="1"/>
    <col min="8701" max="8701" width="10" style="6" bestFit="1" customWidth="1"/>
    <col min="8702" max="8702" width="12.7265625" style="6" customWidth="1"/>
    <col min="8703" max="8707" width="10" style="6" bestFit="1" customWidth="1"/>
    <col min="8708" max="8708" width="12" style="6" customWidth="1"/>
    <col min="8709" max="8709" width="12.81640625" style="6" customWidth="1"/>
    <col min="8710" max="8711" width="11.54296875" style="6" customWidth="1"/>
    <col min="8712" max="8712" width="12.26953125" style="6" customWidth="1"/>
    <col min="8713" max="8713" width="11.54296875" style="6" customWidth="1"/>
    <col min="8714" max="8714" width="10" style="6" bestFit="1" customWidth="1"/>
    <col min="8715" max="8715" width="11.54296875" style="6" customWidth="1"/>
    <col min="8716" max="8716" width="10" style="6" bestFit="1" customWidth="1"/>
    <col min="8717" max="8717" width="10.81640625" style="6" customWidth="1"/>
    <col min="8718" max="8947" width="8.453125" style="6"/>
    <col min="8948" max="8948" width="3.81640625" style="6" customWidth="1"/>
    <col min="8949" max="8949" width="23.1796875" style="6" customWidth="1"/>
    <col min="8950" max="8950" width="9.54296875" style="6" customWidth="1"/>
    <col min="8951" max="8955" width="10" style="6" customWidth="1"/>
    <col min="8956" max="8956" width="10.7265625" style="6" customWidth="1"/>
    <col min="8957" max="8957" width="10" style="6" bestFit="1" customWidth="1"/>
    <col min="8958" max="8958" width="12.7265625" style="6" customWidth="1"/>
    <col min="8959" max="8963" width="10" style="6" bestFit="1" customWidth="1"/>
    <col min="8964" max="8964" width="12" style="6" customWidth="1"/>
    <col min="8965" max="8965" width="12.81640625" style="6" customWidth="1"/>
    <col min="8966" max="8967" width="11.54296875" style="6" customWidth="1"/>
    <col min="8968" max="8968" width="12.26953125" style="6" customWidth="1"/>
    <col min="8969" max="8969" width="11.54296875" style="6" customWidth="1"/>
    <col min="8970" max="8970" width="10" style="6" bestFit="1" customWidth="1"/>
    <col min="8971" max="8971" width="11.54296875" style="6" customWidth="1"/>
    <col min="8972" max="8972" width="10" style="6" bestFit="1" customWidth="1"/>
    <col min="8973" max="8973" width="10.81640625" style="6" customWidth="1"/>
    <col min="8974" max="9203" width="8.453125" style="6"/>
    <col min="9204" max="9204" width="3.81640625" style="6" customWidth="1"/>
    <col min="9205" max="9205" width="23.1796875" style="6" customWidth="1"/>
    <col min="9206" max="9206" width="9.54296875" style="6" customWidth="1"/>
    <col min="9207" max="9211" width="10" style="6" customWidth="1"/>
    <col min="9212" max="9212" width="10.7265625" style="6" customWidth="1"/>
    <col min="9213" max="9213" width="10" style="6" bestFit="1" customWidth="1"/>
    <col min="9214" max="9214" width="12.7265625" style="6" customWidth="1"/>
    <col min="9215" max="9219" width="10" style="6" bestFit="1" customWidth="1"/>
    <col min="9220" max="9220" width="12" style="6" customWidth="1"/>
    <col min="9221" max="9221" width="12.81640625" style="6" customWidth="1"/>
    <col min="9222" max="9223" width="11.54296875" style="6" customWidth="1"/>
    <col min="9224" max="9224" width="12.26953125" style="6" customWidth="1"/>
    <col min="9225" max="9225" width="11.54296875" style="6" customWidth="1"/>
    <col min="9226" max="9226" width="10" style="6" bestFit="1" customWidth="1"/>
    <col min="9227" max="9227" width="11.54296875" style="6" customWidth="1"/>
    <col min="9228" max="9228" width="10" style="6" bestFit="1" customWidth="1"/>
    <col min="9229" max="9229" width="10.81640625" style="6" customWidth="1"/>
    <col min="9230" max="9459" width="8.453125" style="6"/>
    <col min="9460" max="9460" width="3.81640625" style="6" customWidth="1"/>
    <col min="9461" max="9461" width="23.1796875" style="6" customWidth="1"/>
    <col min="9462" max="9462" width="9.54296875" style="6" customWidth="1"/>
    <col min="9463" max="9467" width="10" style="6" customWidth="1"/>
    <col min="9468" max="9468" width="10.7265625" style="6" customWidth="1"/>
    <col min="9469" max="9469" width="10" style="6" bestFit="1" customWidth="1"/>
    <col min="9470" max="9470" width="12.7265625" style="6" customWidth="1"/>
    <col min="9471" max="9475" width="10" style="6" bestFit="1" customWidth="1"/>
    <col min="9476" max="9476" width="12" style="6" customWidth="1"/>
    <col min="9477" max="9477" width="12.81640625" style="6" customWidth="1"/>
    <col min="9478" max="9479" width="11.54296875" style="6" customWidth="1"/>
    <col min="9480" max="9480" width="12.26953125" style="6" customWidth="1"/>
    <col min="9481" max="9481" width="11.54296875" style="6" customWidth="1"/>
    <col min="9482" max="9482" width="10" style="6" bestFit="1" customWidth="1"/>
    <col min="9483" max="9483" width="11.54296875" style="6" customWidth="1"/>
    <col min="9484" max="9484" width="10" style="6" bestFit="1" customWidth="1"/>
    <col min="9485" max="9485" width="10.81640625" style="6" customWidth="1"/>
    <col min="9486" max="9715" width="8.453125" style="6"/>
    <col min="9716" max="9716" width="3.81640625" style="6" customWidth="1"/>
    <col min="9717" max="9717" width="23.1796875" style="6" customWidth="1"/>
    <col min="9718" max="9718" width="9.54296875" style="6" customWidth="1"/>
    <col min="9719" max="9723" width="10" style="6" customWidth="1"/>
    <col min="9724" max="9724" width="10.7265625" style="6" customWidth="1"/>
    <col min="9725" max="9725" width="10" style="6" bestFit="1" customWidth="1"/>
    <col min="9726" max="9726" width="12.7265625" style="6" customWidth="1"/>
    <col min="9727" max="9731" width="10" style="6" bestFit="1" customWidth="1"/>
    <col min="9732" max="9732" width="12" style="6" customWidth="1"/>
    <col min="9733" max="9733" width="12.81640625" style="6" customWidth="1"/>
    <col min="9734" max="9735" width="11.54296875" style="6" customWidth="1"/>
    <col min="9736" max="9736" width="12.26953125" style="6" customWidth="1"/>
    <col min="9737" max="9737" width="11.54296875" style="6" customWidth="1"/>
    <col min="9738" max="9738" width="10" style="6" bestFit="1" customWidth="1"/>
    <col min="9739" max="9739" width="11.54296875" style="6" customWidth="1"/>
    <col min="9740" max="9740" width="10" style="6" bestFit="1" customWidth="1"/>
    <col min="9741" max="9741" width="10.81640625" style="6" customWidth="1"/>
    <col min="9742" max="9971" width="8.453125" style="6"/>
    <col min="9972" max="9972" width="3.81640625" style="6" customWidth="1"/>
    <col min="9973" max="9973" width="23.1796875" style="6" customWidth="1"/>
    <col min="9974" max="9974" width="9.54296875" style="6" customWidth="1"/>
    <col min="9975" max="9979" width="10" style="6" customWidth="1"/>
    <col min="9980" max="9980" width="10.7265625" style="6" customWidth="1"/>
    <col min="9981" max="9981" width="10" style="6" bestFit="1" customWidth="1"/>
    <col min="9982" max="9982" width="12.7265625" style="6" customWidth="1"/>
    <col min="9983" max="9987" width="10" style="6" bestFit="1" customWidth="1"/>
    <col min="9988" max="9988" width="12" style="6" customWidth="1"/>
    <col min="9989" max="9989" width="12.81640625" style="6" customWidth="1"/>
    <col min="9990" max="9991" width="11.54296875" style="6" customWidth="1"/>
    <col min="9992" max="9992" width="12.26953125" style="6" customWidth="1"/>
    <col min="9993" max="9993" width="11.54296875" style="6" customWidth="1"/>
    <col min="9994" max="9994" width="10" style="6" bestFit="1" customWidth="1"/>
    <col min="9995" max="9995" width="11.54296875" style="6" customWidth="1"/>
    <col min="9996" max="9996" width="10" style="6" bestFit="1" customWidth="1"/>
    <col min="9997" max="9997" width="10.81640625" style="6" customWidth="1"/>
    <col min="9998" max="10227" width="8.453125" style="6"/>
    <col min="10228" max="10228" width="3.81640625" style="6" customWidth="1"/>
    <col min="10229" max="10229" width="23.1796875" style="6" customWidth="1"/>
    <col min="10230" max="10230" width="9.54296875" style="6" customWidth="1"/>
    <col min="10231" max="10235" width="10" style="6" customWidth="1"/>
    <col min="10236" max="10236" width="10.7265625" style="6" customWidth="1"/>
    <col min="10237" max="10237" width="10" style="6" bestFit="1" customWidth="1"/>
    <col min="10238" max="10238" width="12.7265625" style="6" customWidth="1"/>
    <col min="10239" max="10243" width="10" style="6" bestFit="1" customWidth="1"/>
    <col min="10244" max="10244" width="12" style="6" customWidth="1"/>
    <col min="10245" max="10245" width="12.81640625" style="6" customWidth="1"/>
    <col min="10246" max="10247" width="11.54296875" style="6" customWidth="1"/>
    <col min="10248" max="10248" width="12.26953125" style="6" customWidth="1"/>
    <col min="10249" max="10249" width="11.54296875" style="6" customWidth="1"/>
    <col min="10250" max="10250" width="10" style="6" bestFit="1" customWidth="1"/>
    <col min="10251" max="10251" width="11.54296875" style="6" customWidth="1"/>
    <col min="10252" max="10252" width="10" style="6" bestFit="1" customWidth="1"/>
    <col min="10253" max="10253" width="10.81640625" style="6" customWidth="1"/>
    <col min="10254" max="10483" width="8.453125" style="6"/>
    <col min="10484" max="10484" width="3.81640625" style="6" customWidth="1"/>
    <col min="10485" max="10485" width="23.1796875" style="6" customWidth="1"/>
    <col min="10486" max="10486" width="9.54296875" style="6" customWidth="1"/>
    <col min="10487" max="10491" width="10" style="6" customWidth="1"/>
    <col min="10492" max="10492" width="10.7265625" style="6" customWidth="1"/>
    <col min="10493" max="10493" width="10" style="6" bestFit="1" customWidth="1"/>
    <col min="10494" max="10494" width="12.7265625" style="6" customWidth="1"/>
    <col min="10495" max="10499" width="10" style="6" bestFit="1" customWidth="1"/>
    <col min="10500" max="10500" width="12" style="6" customWidth="1"/>
    <col min="10501" max="10501" width="12.81640625" style="6" customWidth="1"/>
    <col min="10502" max="10503" width="11.54296875" style="6" customWidth="1"/>
    <col min="10504" max="10504" width="12.26953125" style="6" customWidth="1"/>
    <col min="10505" max="10505" width="11.54296875" style="6" customWidth="1"/>
    <col min="10506" max="10506" width="10" style="6" bestFit="1" customWidth="1"/>
    <col min="10507" max="10507" width="11.54296875" style="6" customWidth="1"/>
    <col min="10508" max="10508" width="10" style="6" bestFit="1" customWidth="1"/>
    <col min="10509" max="10509" width="10.81640625" style="6" customWidth="1"/>
    <col min="10510" max="10739" width="8.453125" style="6"/>
    <col min="10740" max="10740" width="3.81640625" style="6" customWidth="1"/>
    <col min="10741" max="10741" width="23.1796875" style="6" customWidth="1"/>
    <col min="10742" max="10742" width="9.54296875" style="6" customWidth="1"/>
    <col min="10743" max="10747" width="10" style="6" customWidth="1"/>
    <col min="10748" max="10748" width="10.7265625" style="6" customWidth="1"/>
    <col min="10749" max="10749" width="10" style="6" bestFit="1" customWidth="1"/>
    <col min="10750" max="10750" width="12.7265625" style="6" customWidth="1"/>
    <col min="10751" max="10755" width="10" style="6" bestFit="1" customWidth="1"/>
    <col min="10756" max="10756" width="12" style="6" customWidth="1"/>
    <col min="10757" max="10757" width="12.81640625" style="6" customWidth="1"/>
    <col min="10758" max="10759" width="11.54296875" style="6" customWidth="1"/>
    <col min="10760" max="10760" width="12.26953125" style="6" customWidth="1"/>
    <col min="10761" max="10761" width="11.54296875" style="6" customWidth="1"/>
    <col min="10762" max="10762" width="10" style="6" bestFit="1" customWidth="1"/>
    <col min="10763" max="10763" width="11.54296875" style="6" customWidth="1"/>
    <col min="10764" max="10764" width="10" style="6" bestFit="1" customWidth="1"/>
    <col min="10765" max="10765" width="10.81640625" style="6" customWidth="1"/>
    <col min="10766" max="10995" width="8.453125" style="6"/>
    <col min="10996" max="10996" width="3.81640625" style="6" customWidth="1"/>
    <col min="10997" max="10997" width="23.1796875" style="6" customWidth="1"/>
    <col min="10998" max="10998" width="9.54296875" style="6" customWidth="1"/>
    <col min="10999" max="11003" width="10" style="6" customWidth="1"/>
    <col min="11004" max="11004" width="10.7265625" style="6" customWidth="1"/>
    <col min="11005" max="11005" width="10" style="6" bestFit="1" customWidth="1"/>
    <col min="11006" max="11006" width="12.7265625" style="6" customWidth="1"/>
    <col min="11007" max="11011" width="10" style="6" bestFit="1" customWidth="1"/>
    <col min="11012" max="11012" width="12" style="6" customWidth="1"/>
    <col min="11013" max="11013" width="12.81640625" style="6" customWidth="1"/>
    <col min="11014" max="11015" width="11.54296875" style="6" customWidth="1"/>
    <col min="11016" max="11016" width="12.26953125" style="6" customWidth="1"/>
    <col min="11017" max="11017" width="11.54296875" style="6" customWidth="1"/>
    <col min="11018" max="11018" width="10" style="6" bestFit="1" customWidth="1"/>
    <col min="11019" max="11019" width="11.54296875" style="6" customWidth="1"/>
    <col min="11020" max="11020" width="10" style="6" bestFit="1" customWidth="1"/>
    <col min="11021" max="11021" width="10.81640625" style="6" customWidth="1"/>
    <col min="11022" max="11251" width="8.453125" style="6"/>
    <col min="11252" max="11252" width="3.81640625" style="6" customWidth="1"/>
    <col min="11253" max="11253" width="23.1796875" style="6" customWidth="1"/>
    <col min="11254" max="11254" width="9.54296875" style="6" customWidth="1"/>
    <col min="11255" max="11259" width="10" style="6" customWidth="1"/>
    <col min="11260" max="11260" width="10.7265625" style="6" customWidth="1"/>
    <col min="11261" max="11261" width="10" style="6" bestFit="1" customWidth="1"/>
    <col min="11262" max="11262" width="12.7265625" style="6" customWidth="1"/>
    <col min="11263" max="11267" width="10" style="6" bestFit="1" customWidth="1"/>
    <col min="11268" max="11268" width="12" style="6" customWidth="1"/>
    <col min="11269" max="11269" width="12.81640625" style="6" customWidth="1"/>
    <col min="11270" max="11271" width="11.54296875" style="6" customWidth="1"/>
    <col min="11272" max="11272" width="12.26953125" style="6" customWidth="1"/>
    <col min="11273" max="11273" width="11.54296875" style="6" customWidth="1"/>
    <col min="11274" max="11274" width="10" style="6" bestFit="1" customWidth="1"/>
    <col min="11275" max="11275" width="11.54296875" style="6" customWidth="1"/>
    <col min="11276" max="11276" width="10" style="6" bestFit="1" customWidth="1"/>
    <col min="11277" max="11277" width="10.81640625" style="6" customWidth="1"/>
    <col min="11278" max="11507" width="8.453125" style="6"/>
    <col min="11508" max="11508" width="3.81640625" style="6" customWidth="1"/>
    <col min="11509" max="11509" width="23.1796875" style="6" customWidth="1"/>
    <col min="11510" max="11510" width="9.54296875" style="6" customWidth="1"/>
    <col min="11511" max="11515" width="10" style="6" customWidth="1"/>
    <col min="11516" max="11516" width="10.7265625" style="6" customWidth="1"/>
    <col min="11517" max="11517" width="10" style="6" bestFit="1" customWidth="1"/>
    <col min="11518" max="11518" width="12.7265625" style="6" customWidth="1"/>
    <col min="11519" max="11523" width="10" style="6" bestFit="1" customWidth="1"/>
    <col min="11524" max="11524" width="12" style="6" customWidth="1"/>
    <col min="11525" max="11525" width="12.81640625" style="6" customWidth="1"/>
    <col min="11526" max="11527" width="11.54296875" style="6" customWidth="1"/>
    <col min="11528" max="11528" width="12.26953125" style="6" customWidth="1"/>
    <col min="11529" max="11529" width="11.54296875" style="6" customWidth="1"/>
    <col min="11530" max="11530" width="10" style="6" bestFit="1" customWidth="1"/>
    <col min="11531" max="11531" width="11.54296875" style="6" customWidth="1"/>
    <col min="11532" max="11532" width="10" style="6" bestFit="1" customWidth="1"/>
    <col min="11533" max="11533" width="10.81640625" style="6" customWidth="1"/>
    <col min="11534" max="11763" width="8.453125" style="6"/>
    <col min="11764" max="11764" width="3.81640625" style="6" customWidth="1"/>
    <col min="11765" max="11765" width="23.1796875" style="6" customWidth="1"/>
    <col min="11766" max="11766" width="9.54296875" style="6" customWidth="1"/>
    <col min="11767" max="11771" width="10" style="6" customWidth="1"/>
    <col min="11772" max="11772" width="10.7265625" style="6" customWidth="1"/>
    <col min="11773" max="11773" width="10" style="6" bestFit="1" customWidth="1"/>
    <col min="11774" max="11774" width="12.7265625" style="6" customWidth="1"/>
    <col min="11775" max="11779" width="10" style="6" bestFit="1" customWidth="1"/>
    <col min="11780" max="11780" width="12" style="6" customWidth="1"/>
    <col min="11781" max="11781" width="12.81640625" style="6" customWidth="1"/>
    <col min="11782" max="11783" width="11.54296875" style="6" customWidth="1"/>
    <col min="11784" max="11784" width="12.26953125" style="6" customWidth="1"/>
    <col min="11785" max="11785" width="11.54296875" style="6" customWidth="1"/>
    <col min="11786" max="11786" width="10" style="6" bestFit="1" customWidth="1"/>
    <col min="11787" max="11787" width="11.54296875" style="6" customWidth="1"/>
    <col min="11788" max="11788" width="10" style="6" bestFit="1" customWidth="1"/>
    <col min="11789" max="11789" width="10.81640625" style="6" customWidth="1"/>
    <col min="11790" max="12019" width="8.453125" style="6"/>
    <col min="12020" max="12020" width="3.81640625" style="6" customWidth="1"/>
    <col min="12021" max="12021" width="23.1796875" style="6" customWidth="1"/>
    <col min="12022" max="12022" width="9.54296875" style="6" customWidth="1"/>
    <col min="12023" max="12027" width="10" style="6" customWidth="1"/>
    <col min="12028" max="12028" width="10.7265625" style="6" customWidth="1"/>
    <col min="12029" max="12029" width="10" style="6" bestFit="1" customWidth="1"/>
    <col min="12030" max="12030" width="12.7265625" style="6" customWidth="1"/>
    <col min="12031" max="12035" width="10" style="6" bestFit="1" customWidth="1"/>
    <col min="12036" max="12036" width="12" style="6" customWidth="1"/>
    <col min="12037" max="12037" width="12.81640625" style="6" customWidth="1"/>
    <col min="12038" max="12039" width="11.54296875" style="6" customWidth="1"/>
    <col min="12040" max="12040" width="12.26953125" style="6" customWidth="1"/>
    <col min="12041" max="12041" width="11.54296875" style="6" customWidth="1"/>
    <col min="12042" max="12042" width="10" style="6" bestFit="1" customWidth="1"/>
    <col min="12043" max="12043" width="11.54296875" style="6" customWidth="1"/>
    <col min="12044" max="12044" width="10" style="6" bestFit="1" customWidth="1"/>
    <col min="12045" max="12045" width="10.81640625" style="6" customWidth="1"/>
    <col min="12046" max="12275" width="8.453125" style="6"/>
    <col min="12276" max="12276" width="3.81640625" style="6" customWidth="1"/>
    <col min="12277" max="12277" width="23.1796875" style="6" customWidth="1"/>
    <col min="12278" max="12278" width="9.54296875" style="6" customWidth="1"/>
    <col min="12279" max="12283" width="10" style="6" customWidth="1"/>
    <col min="12284" max="12284" width="10.7265625" style="6" customWidth="1"/>
    <col min="12285" max="12285" width="10" style="6" bestFit="1" customWidth="1"/>
    <col min="12286" max="12286" width="12.7265625" style="6" customWidth="1"/>
    <col min="12287" max="12291" width="10" style="6" bestFit="1" customWidth="1"/>
    <col min="12292" max="12292" width="12" style="6" customWidth="1"/>
    <col min="12293" max="12293" width="12.81640625" style="6" customWidth="1"/>
    <col min="12294" max="12295" width="11.54296875" style="6" customWidth="1"/>
    <col min="12296" max="12296" width="12.26953125" style="6" customWidth="1"/>
    <col min="12297" max="12297" width="11.54296875" style="6" customWidth="1"/>
    <col min="12298" max="12298" width="10" style="6" bestFit="1" customWidth="1"/>
    <col min="12299" max="12299" width="11.54296875" style="6" customWidth="1"/>
    <col min="12300" max="12300" width="10" style="6" bestFit="1" customWidth="1"/>
    <col min="12301" max="12301" width="10.81640625" style="6" customWidth="1"/>
    <col min="12302" max="12531" width="8.453125" style="6"/>
    <col min="12532" max="12532" width="3.81640625" style="6" customWidth="1"/>
    <col min="12533" max="12533" width="23.1796875" style="6" customWidth="1"/>
    <col min="12534" max="12534" width="9.54296875" style="6" customWidth="1"/>
    <col min="12535" max="12539" width="10" style="6" customWidth="1"/>
    <col min="12540" max="12540" width="10.7265625" style="6" customWidth="1"/>
    <col min="12541" max="12541" width="10" style="6" bestFit="1" customWidth="1"/>
    <col min="12542" max="12542" width="12.7265625" style="6" customWidth="1"/>
    <col min="12543" max="12547" width="10" style="6" bestFit="1" customWidth="1"/>
    <col min="12548" max="12548" width="12" style="6" customWidth="1"/>
    <col min="12549" max="12549" width="12.81640625" style="6" customWidth="1"/>
    <col min="12550" max="12551" width="11.54296875" style="6" customWidth="1"/>
    <col min="12552" max="12552" width="12.26953125" style="6" customWidth="1"/>
    <col min="12553" max="12553" width="11.54296875" style="6" customWidth="1"/>
    <col min="12554" max="12554" width="10" style="6" bestFit="1" customWidth="1"/>
    <col min="12555" max="12555" width="11.54296875" style="6" customWidth="1"/>
    <col min="12556" max="12556" width="10" style="6" bestFit="1" customWidth="1"/>
    <col min="12557" max="12557" width="10.81640625" style="6" customWidth="1"/>
    <col min="12558" max="12787" width="8.453125" style="6"/>
    <col min="12788" max="12788" width="3.81640625" style="6" customWidth="1"/>
    <col min="12789" max="12789" width="23.1796875" style="6" customWidth="1"/>
    <col min="12790" max="12790" width="9.54296875" style="6" customWidth="1"/>
    <col min="12791" max="12795" width="10" style="6" customWidth="1"/>
    <col min="12796" max="12796" width="10.7265625" style="6" customWidth="1"/>
    <col min="12797" max="12797" width="10" style="6" bestFit="1" customWidth="1"/>
    <col min="12798" max="12798" width="12.7265625" style="6" customWidth="1"/>
    <col min="12799" max="12803" width="10" style="6" bestFit="1" customWidth="1"/>
    <col min="12804" max="12804" width="12" style="6" customWidth="1"/>
    <col min="12805" max="12805" width="12.81640625" style="6" customWidth="1"/>
    <col min="12806" max="12807" width="11.54296875" style="6" customWidth="1"/>
    <col min="12808" max="12808" width="12.26953125" style="6" customWidth="1"/>
    <col min="12809" max="12809" width="11.54296875" style="6" customWidth="1"/>
    <col min="12810" max="12810" width="10" style="6" bestFit="1" customWidth="1"/>
    <col min="12811" max="12811" width="11.54296875" style="6" customWidth="1"/>
    <col min="12812" max="12812" width="10" style="6" bestFit="1" customWidth="1"/>
    <col min="12813" max="12813" width="10.81640625" style="6" customWidth="1"/>
    <col min="12814" max="13043" width="8.453125" style="6"/>
    <col min="13044" max="13044" width="3.81640625" style="6" customWidth="1"/>
    <col min="13045" max="13045" width="23.1796875" style="6" customWidth="1"/>
    <col min="13046" max="13046" width="9.54296875" style="6" customWidth="1"/>
    <col min="13047" max="13051" width="10" style="6" customWidth="1"/>
    <col min="13052" max="13052" width="10.7265625" style="6" customWidth="1"/>
    <col min="13053" max="13053" width="10" style="6" bestFit="1" customWidth="1"/>
    <col min="13054" max="13054" width="12.7265625" style="6" customWidth="1"/>
    <col min="13055" max="13059" width="10" style="6" bestFit="1" customWidth="1"/>
    <col min="13060" max="13060" width="12" style="6" customWidth="1"/>
    <col min="13061" max="13061" width="12.81640625" style="6" customWidth="1"/>
    <col min="13062" max="13063" width="11.54296875" style="6" customWidth="1"/>
    <col min="13064" max="13064" width="12.26953125" style="6" customWidth="1"/>
    <col min="13065" max="13065" width="11.54296875" style="6" customWidth="1"/>
    <col min="13066" max="13066" width="10" style="6" bestFit="1" customWidth="1"/>
    <col min="13067" max="13067" width="11.54296875" style="6" customWidth="1"/>
    <col min="13068" max="13068" width="10" style="6" bestFit="1" customWidth="1"/>
    <col min="13069" max="13069" width="10.81640625" style="6" customWidth="1"/>
    <col min="13070" max="13299" width="8.453125" style="6"/>
    <col min="13300" max="13300" width="3.81640625" style="6" customWidth="1"/>
    <col min="13301" max="13301" width="23.1796875" style="6" customWidth="1"/>
    <col min="13302" max="13302" width="9.54296875" style="6" customWidth="1"/>
    <col min="13303" max="13307" width="10" style="6" customWidth="1"/>
    <col min="13308" max="13308" width="10.7265625" style="6" customWidth="1"/>
    <col min="13309" max="13309" width="10" style="6" bestFit="1" customWidth="1"/>
    <col min="13310" max="13310" width="12.7265625" style="6" customWidth="1"/>
    <col min="13311" max="13315" width="10" style="6" bestFit="1" customWidth="1"/>
    <col min="13316" max="13316" width="12" style="6" customWidth="1"/>
    <col min="13317" max="13317" width="12.81640625" style="6" customWidth="1"/>
    <col min="13318" max="13319" width="11.54296875" style="6" customWidth="1"/>
    <col min="13320" max="13320" width="12.26953125" style="6" customWidth="1"/>
    <col min="13321" max="13321" width="11.54296875" style="6" customWidth="1"/>
    <col min="13322" max="13322" width="10" style="6" bestFit="1" customWidth="1"/>
    <col min="13323" max="13323" width="11.54296875" style="6" customWidth="1"/>
    <col min="13324" max="13324" width="10" style="6" bestFit="1" customWidth="1"/>
    <col min="13325" max="13325" width="10.81640625" style="6" customWidth="1"/>
    <col min="13326" max="13555" width="8.453125" style="6"/>
    <col min="13556" max="13556" width="3.81640625" style="6" customWidth="1"/>
    <col min="13557" max="13557" width="23.1796875" style="6" customWidth="1"/>
    <col min="13558" max="13558" width="9.54296875" style="6" customWidth="1"/>
    <col min="13559" max="13563" width="10" style="6" customWidth="1"/>
    <col min="13564" max="13564" width="10.7265625" style="6" customWidth="1"/>
    <col min="13565" max="13565" width="10" style="6" bestFit="1" customWidth="1"/>
    <col min="13566" max="13566" width="12.7265625" style="6" customWidth="1"/>
    <col min="13567" max="13571" width="10" style="6" bestFit="1" customWidth="1"/>
    <col min="13572" max="13572" width="12" style="6" customWidth="1"/>
    <col min="13573" max="13573" width="12.81640625" style="6" customWidth="1"/>
    <col min="13574" max="13575" width="11.54296875" style="6" customWidth="1"/>
    <col min="13576" max="13576" width="12.26953125" style="6" customWidth="1"/>
    <col min="13577" max="13577" width="11.54296875" style="6" customWidth="1"/>
    <col min="13578" max="13578" width="10" style="6" bestFit="1" customWidth="1"/>
    <col min="13579" max="13579" width="11.54296875" style="6" customWidth="1"/>
    <col min="13580" max="13580" width="10" style="6" bestFit="1" customWidth="1"/>
    <col min="13581" max="13581" width="10.81640625" style="6" customWidth="1"/>
    <col min="13582" max="13811" width="8.453125" style="6"/>
    <col min="13812" max="13812" width="3.81640625" style="6" customWidth="1"/>
    <col min="13813" max="13813" width="23.1796875" style="6" customWidth="1"/>
    <col min="13814" max="13814" width="9.54296875" style="6" customWidth="1"/>
    <col min="13815" max="13819" width="10" style="6" customWidth="1"/>
    <col min="13820" max="13820" width="10.7265625" style="6" customWidth="1"/>
    <col min="13821" max="13821" width="10" style="6" bestFit="1" customWidth="1"/>
    <col min="13822" max="13822" width="12.7265625" style="6" customWidth="1"/>
    <col min="13823" max="13827" width="10" style="6" bestFit="1" customWidth="1"/>
    <col min="13828" max="13828" width="12" style="6" customWidth="1"/>
    <col min="13829" max="13829" width="12.81640625" style="6" customWidth="1"/>
    <col min="13830" max="13831" width="11.54296875" style="6" customWidth="1"/>
    <col min="13832" max="13832" width="12.26953125" style="6" customWidth="1"/>
    <col min="13833" max="13833" width="11.54296875" style="6" customWidth="1"/>
    <col min="13834" max="13834" width="10" style="6" bestFit="1" customWidth="1"/>
    <col min="13835" max="13835" width="11.54296875" style="6" customWidth="1"/>
    <col min="13836" max="13836" width="10" style="6" bestFit="1" customWidth="1"/>
    <col min="13837" max="13837" width="10.81640625" style="6" customWidth="1"/>
    <col min="13838" max="14067" width="8.453125" style="6"/>
    <col min="14068" max="14068" width="3.81640625" style="6" customWidth="1"/>
    <col min="14069" max="14069" width="23.1796875" style="6" customWidth="1"/>
    <col min="14070" max="14070" width="9.54296875" style="6" customWidth="1"/>
    <col min="14071" max="14075" width="10" style="6" customWidth="1"/>
    <col min="14076" max="14076" width="10.7265625" style="6" customWidth="1"/>
    <col min="14077" max="14077" width="10" style="6" bestFit="1" customWidth="1"/>
    <col min="14078" max="14078" width="12.7265625" style="6" customWidth="1"/>
    <col min="14079" max="14083" width="10" style="6" bestFit="1" customWidth="1"/>
    <col min="14084" max="14084" width="12" style="6" customWidth="1"/>
    <col min="14085" max="14085" width="12.81640625" style="6" customWidth="1"/>
    <col min="14086" max="14087" width="11.54296875" style="6" customWidth="1"/>
    <col min="14088" max="14088" width="12.26953125" style="6" customWidth="1"/>
    <col min="14089" max="14089" width="11.54296875" style="6" customWidth="1"/>
    <col min="14090" max="14090" width="10" style="6" bestFit="1" customWidth="1"/>
    <col min="14091" max="14091" width="11.54296875" style="6" customWidth="1"/>
    <col min="14092" max="14092" width="10" style="6" bestFit="1" customWidth="1"/>
    <col min="14093" max="14093" width="10.81640625" style="6" customWidth="1"/>
    <col min="14094" max="14323" width="8.453125" style="6"/>
    <col min="14324" max="14324" width="3.81640625" style="6" customWidth="1"/>
    <col min="14325" max="14325" width="23.1796875" style="6" customWidth="1"/>
    <col min="14326" max="14326" width="9.54296875" style="6" customWidth="1"/>
    <col min="14327" max="14331" width="10" style="6" customWidth="1"/>
    <col min="14332" max="14332" width="10.7265625" style="6" customWidth="1"/>
    <col min="14333" max="14333" width="10" style="6" bestFit="1" customWidth="1"/>
    <col min="14334" max="14334" width="12.7265625" style="6" customWidth="1"/>
    <col min="14335" max="14339" width="10" style="6" bestFit="1" customWidth="1"/>
    <col min="14340" max="14340" width="12" style="6" customWidth="1"/>
    <col min="14341" max="14341" width="12.81640625" style="6" customWidth="1"/>
    <col min="14342" max="14343" width="11.54296875" style="6" customWidth="1"/>
    <col min="14344" max="14344" width="12.26953125" style="6" customWidth="1"/>
    <col min="14345" max="14345" width="11.54296875" style="6" customWidth="1"/>
    <col min="14346" max="14346" width="10" style="6" bestFit="1" customWidth="1"/>
    <col min="14347" max="14347" width="11.54296875" style="6" customWidth="1"/>
    <col min="14348" max="14348" width="10" style="6" bestFit="1" customWidth="1"/>
    <col min="14349" max="14349" width="10.81640625" style="6" customWidth="1"/>
    <col min="14350" max="14579" width="8.453125" style="6"/>
    <col min="14580" max="14580" width="3.81640625" style="6" customWidth="1"/>
    <col min="14581" max="14581" width="23.1796875" style="6" customWidth="1"/>
    <col min="14582" max="14582" width="9.54296875" style="6" customWidth="1"/>
    <col min="14583" max="14587" width="10" style="6" customWidth="1"/>
    <col min="14588" max="14588" width="10.7265625" style="6" customWidth="1"/>
    <col min="14589" max="14589" width="10" style="6" bestFit="1" customWidth="1"/>
    <col min="14590" max="14590" width="12.7265625" style="6" customWidth="1"/>
    <col min="14591" max="14595" width="10" style="6" bestFit="1" customWidth="1"/>
    <col min="14596" max="14596" width="12" style="6" customWidth="1"/>
    <col min="14597" max="14597" width="12.81640625" style="6" customWidth="1"/>
    <col min="14598" max="14599" width="11.54296875" style="6" customWidth="1"/>
    <col min="14600" max="14600" width="12.26953125" style="6" customWidth="1"/>
    <col min="14601" max="14601" width="11.54296875" style="6" customWidth="1"/>
    <col min="14602" max="14602" width="10" style="6" bestFit="1" customWidth="1"/>
    <col min="14603" max="14603" width="11.54296875" style="6" customWidth="1"/>
    <col min="14604" max="14604" width="10" style="6" bestFit="1" customWidth="1"/>
    <col min="14605" max="14605" width="10.81640625" style="6" customWidth="1"/>
    <col min="14606" max="14835" width="8.453125" style="6"/>
    <col min="14836" max="14836" width="3.81640625" style="6" customWidth="1"/>
    <col min="14837" max="14837" width="23.1796875" style="6" customWidth="1"/>
    <col min="14838" max="14838" width="9.54296875" style="6" customWidth="1"/>
    <col min="14839" max="14843" width="10" style="6" customWidth="1"/>
    <col min="14844" max="14844" width="10.7265625" style="6" customWidth="1"/>
    <col min="14845" max="14845" width="10" style="6" bestFit="1" customWidth="1"/>
    <col min="14846" max="14846" width="12.7265625" style="6" customWidth="1"/>
    <col min="14847" max="14851" width="10" style="6" bestFit="1" customWidth="1"/>
    <col min="14852" max="14852" width="12" style="6" customWidth="1"/>
    <col min="14853" max="14853" width="12.81640625" style="6" customWidth="1"/>
    <col min="14854" max="14855" width="11.54296875" style="6" customWidth="1"/>
    <col min="14856" max="14856" width="12.26953125" style="6" customWidth="1"/>
    <col min="14857" max="14857" width="11.54296875" style="6" customWidth="1"/>
    <col min="14858" max="14858" width="10" style="6" bestFit="1" customWidth="1"/>
    <col min="14859" max="14859" width="11.54296875" style="6" customWidth="1"/>
    <col min="14860" max="14860" width="10" style="6" bestFit="1" customWidth="1"/>
    <col min="14861" max="14861" width="10.81640625" style="6" customWidth="1"/>
    <col min="14862" max="15091" width="8.453125" style="6"/>
    <col min="15092" max="15092" width="3.81640625" style="6" customWidth="1"/>
    <col min="15093" max="15093" width="23.1796875" style="6" customWidth="1"/>
    <col min="15094" max="15094" width="9.54296875" style="6" customWidth="1"/>
    <col min="15095" max="15099" width="10" style="6" customWidth="1"/>
    <col min="15100" max="15100" width="10.7265625" style="6" customWidth="1"/>
    <col min="15101" max="15101" width="10" style="6" bestFit="1" customWidth="1"/>
    <col min="15102" max="15102" width="12.7265625" style="6" customWidth="1"/>
    <col min="15103" max="15107" width="10" style="6" bestFit="1" customWidth="1"/>
    <col min="15108" max="15108" width="12" style="6" customWidth="1"/>
    <col min="15109" max="15109" width="12.81640625" style="6" customWidth="1"/>
    <col min="15110" max="15111" width="11.54296875" style="6" customWidth="1"/>
    <col min="15112" max="15112" width="12.26953125" style="6" customWidth="1"/>
    <col min="15113" max="15113" width="11.54296875" style="6" customWidth="1"/>
    <col min="15114" max="15114" width="10" style="6" bestFit="1" customWidth="1"/>
    <col min="15115" max="15115" width="11.54296875" style="6" customWidth="1"/>
    <col min="15116" max="15116" width="10" style="6" bestFit="1" customWidth="1"/>
    <col min="15117" max="15117" width="10.81640625" style="6" customWidth="1"/>
    <col min="15118" max="15347" width="8.453125" style="6"/>
    <col min="15348" max="15348" width="3.81640625" style="6" customWidth="1"/>
    <col min="15349" max="15349" width="23.1796875" style="6" customWidth="1"/>
    <col min="15350" max="15350" width="9.54296875" style="6" customWidth="1"/>
    <col min="15351" max="15355" width="10" style="6" customWidth="1"/>
    <col min="15356" max="15356" width="10.7265625" style="6" customWidth="1"/>
    <col min="15357" max="15357" width="10" style="6" bestFit="1" customWidth="1"/>
    <col min="15358" max="15358" width="12.7265625" style="6" customWidth="1"/>
    <col min="15359" max="15363" width="10" style="6" bestFit="1" customWidth="1"/>
    <col min="15364" max="15364" width="12" style="6" customWidth="1"/>
    <col min="15365" max="15365" width="12.81640625" style="6" customWidth="1"/>
    <col min="15366" max="15367" width="11.54296875" style="6" customWidth="1"/>
    <col min="15368" max="15368" width="12.26953125" style="6" customWidth="1"/>
    <col min="15369" max="15369" width="11.54296875" style="6" customWidth="1"/>
    <col min="15370" max="15370" width="10" style="6" bestFit="1" customWidth="1"/>
    <col min="15371" max="15371" width="11.54296875" style="6" customWidth="1"/>
    <col min="15372" max="15372" width="10" style="6" bestFit="1" customWidth="1"/>
    <col min="15373" max="15373" width="10.81640625" style="6" customWidth="1"/>
    <col min="15374" max="15603" width="8.453125" style="6"/>
    <col min="15604" max="15604" width="3.81640625" style="6" customWidth="1"/>
    <col min="15605" max="15605" width="23.1796875" style="6" customWidth="1"/>
    <col min="15606" max="15606" width="9.54296875" style="6" customWidth="1"/>
    <col min="15607" max="15611" width="10" style="6" customWidth="1"/>
    <col min="15612" max="15612" width="10.7265625" style="6" customWidth="1"/>
    <col min="15613" max="15613" width="10" style="6" bestFit="1" customWidth="1"/>
    <col min="15614" max="15614" width="12.7265625" style="6" customWidth="1"/>
    <col min="15615" max="15619" width="10" style="6" bestFit="1" customWidth="1"/>
    <col min="15620" max="15620" width="12" style="6" customWidth="1"/>
    <col min="15621" max="15621" width="12.81640625" style="6" customWidth="1"/>
    <col min="15622" max="15623" width="11.54296875" style="6" customWidth="1"/>
    <col min="15624" max="15624" width="12.26953125" style="6" customWidth="1"/>
    <col min="15625" max="15625" width="11.54296875" style="6" customWidth="1"/>
    <col min="15626" max="15626" width="10" style="6" bestFit="1" customWidth="1"/>
    <col min="15627" max="15627" width="11.54296875" style="6" customWidth="1"/>
    <col min="15628" max="15628" width="10" style="6" bestFit="1" customWidth="1"/>
    <col min="15629" max="15629" width="10.81640625" style="6" customWidth="1"/>
    <col min="15630" max="15859" width="8.453125" style="6"/>
    <col min="15860" max="15860" width="3.81640625" style="6" customWidth="1"/>
    <col min="15861" max="15861" width="23.1796875" style="6" customWidth="1"/>
    <col min="15862" max="15862" width="9.54296875" style="6" customWidth="1"/>
    <col min="15863" max="15867" width="10" style="6" customWidth="1"/>
    <col min="15868" max="15868" width="10.7265625" style="6" customWidth="1"/>
    <col min="15869" max="15869" width="10" style="6" bestFit="1" customWidth="1"/>
    <col min="15870" max="15870" width="12.7265625" style="6" customWidth="1"/>
    <col min="15871" max="15875" width="10" style="6" bestFit="1" customWidth="1"/>
    <col min="15876" max="15876" width="12" style="6" customWidth="1"/>
    <col min="15877" max="15877" width="12.81640625" style="6" customWidth="1"/>
    <col min="15878" max="15879" width="11.54296875" style="6" customWidth="1"/>
    <col min="15880" max="15880" width="12.26953125" style="6" customWidth="1"/>
    <col min="15881" max="15881" width="11.54296875" style="6" customWidth="1"/>
    <col min="15882" max="15882" width="10" style="6" bestFit="1" customWidth="1"/>
    <col min="15883" max="15883" width="11.54296875" style="6" customWidth="1"/>
    <col min="15884" max="15884" width="10" style="6" bestFit="1" customWidth="1"/>
    <col min="15885" max="15885" width="10.81640625" style="6" customWidth="1"/>
    <col min="15886" max="16115" width="8.453125" style="6"/>
    <col min="16116" max="16116" width="3.81640625" style="6" customWidth="1"/>
    <col min="16117" max="16117" width="23.1796875" style="6" customWidth="1"/>
    <col min="16118" max="16118" width="9.54296875" style="6" customWidth="1"/>
    <col min="16119" max="16123" width="10" style="6" customWidth="1"/>
    <col min="16124" max="16124" width="10.7265625" style="6" customWidth="1"/>
    <col min="16125" max="16125" width="10" style="6" bestFit="1" customWidth="1"/>
    <col min="16126" max="16126" width="12.7265625" style="6" customWidth="1"/>
    <col min="16127" max="16131" width="10" style="6" bestFit="1" customWidth="1"/>
    <col min="16132" max="16132" width="12" style="6" customWidth="1"/>
    <col min="16133" max="16133" width="12.81640625" style="6" customWidth="1"/>
    <col min="16134" max="16135" width="11.54296875" style="6" customWidth="1"/>
    <col min="16136" max="16136" width="12.26953125" style="6" customWidth="1"/>
    <col min="16137" max="16137" width="11.54296875" style="6" customWidth="1"/>
    <col min="16138" max="16138" width="10" style="6" bestFit="1" customWidth="1"/>
    <col min="16139" max="16139" width="11.54296875" style="6" customWidth="1"/>
    <col min="16140" max="16140" width="10" style="6" bestFit="1" customWidth="1"/>
    <col min="16141" max="16141" width="10.81640625" style="6" customWidth="1"/>
    <col min="16142" max="16384" width="8.453125" style="6"/>
  </cols>
  <sheetData>
    <row r="1" spans="1:11" ht="15.5" x14ac:dyDescent="0.35">
      <c r="E1" s="17" t="s">
        <v>47</v>
      </c>
      <c r="I1" s="6"/>
    </row>
    <row r="2" spans="1:11" ht="13" x14ac:dyDescent="0.3">
      <c r="E2" s="7"/>
      <c r="F2" s="7"/>
      <c r="G2" s="7"/>
      <c r="H2" s="7"/>
      <c r="I2" s="6"/>
    </row>
    <row r="3" spans="1:11" s="1" customFormat="1" ht="13.5" thickBot="1" x14ac:dyDescent="0.35">
      <c r="A3" s="258" t="s">
        <v>1</v>
      </c>
      <c r="B3" s="259"/>
      <c r="C3" s="260">
        <f>'SBUX_Income Statement'!B11</f>
        <v>44472</v>
      </c>
      <c r="D3" s="260" t="str">
        <f>'SBUX_Income Statement'!C11</f>
        <v>09/27/2020</v>
      </c>
      <c r="E3" s="260" t="str">
        <f>'SBUX_Income Statement'!D11</f>
        <v>09/29/2019</v>
      </c>
      <c r="F3" s="260" t="str">
        <f>'SBUX_Income Statement'!E11</f>
        <v>09/30/2018</v>
      </c>
      <c r="G3" s="260" t="str">
        <f>'SBUX_Income Statement'!F11</f>
        <v>10/01/2017</v>
      </c>
      <c r="H3" s="260" t="str">
        <f>'SBUX_Income Statement'!G11</f>
        <v>10/02/2016</v>
      </c>
      <c r="I3" s="261" t="s">
        <v>37</v>
      </c>
      <c r="J3" s="303" t="s">
        <v>182</v>
      </c>
      <c r="K3" s="302" t="s">
        <v>75</v>
      </c>
    </row>
    <row r="4" spans="1:11" s="8" customFormat="1" x14ac:dyDescent="0.25">
      <c r="A4" s="247"/>
      <c r="B4" s="6" t="s">
        <v>73</v>
      </c>
      <c r="C4" s="241">
        <f>(SBUX_BS!B27+SBUX_BS!C27-SBUX_BS!B17-SBUX_BS!C17)/2-(SBUX_BS!B58+SBUX_BS!B50+SBUX_BS!B59+SBUX_BS!B62+SBUX_BS!C50+SBUX_BS!C58+SBUX_BS!C59+SBUX_BS!C62)/2</f>
        <v>4930750</v>
      </c>
      <c r="D4" s="241">
        <f>(SBUX_BS!C27+SBUX_BS!D27-SBUX_BS!C17-SBUX_BS!D17)/2-(SBUX_BS!C58+SBUX_BS!C50+SBUX_BS!C59+SBUX_BS!C62+SBUX_BS!D50+SBUX_BS!D58+SBUX_BS!D59+SBUX_BS!D62)/2</f>
        <v>2628050</v>
      </c>
      <c r="E4" s="241">
        <f>(SBUX_BS!D27+SBUX_BS!E27-SBUX_BS!D17-SBUX_BS!E17)/2-(SBUX_BS!D58+SBUX_BS!D50+SBUX_BS!D59+SBUX_BS!D62+SBUX_BS!E50+SBUX_BS!E58+SBUX_BS!E59+SBUX_BS!E62)/2</f>
        <v>4759350</v>
      </c>
      <c r="F4" s="241">
        <f>(SBUX_BS!E27+SBUX_BS!F27-SBUX_BS!E17-SBUX_BS!F17)/2-(SBUX_BS!E58+SBUX_BS!E50+SBUX_BS!E59+SBUX_BS!E62+SBUX_BS!F50+SBUX_BS!F58+SBUX_BS!F59+SBUX_BS!F62)/2</f>
        <v>5586400</v>
      </c>
      <c r="G4" s="241">
        <f>(SBUX_BS!F27+SBUX_BS!G27-SBUX_BS!F17-SBUX_BS!G17)/2-(SBUX_BS!F58+SBUX_BS!F50+SBUX_BS!F59+SBUX_BS!F62+SBUX_BS!G50+SBUX_BS!G58+SBUX_BS!G59+SBUX_BS!G62)/2</f>
        <v>2117100</v>
      </c>
      <c r="H4" s="263"/>
      <c r="I4" s="264">
        <f>(C4/G4)^(1/(YEAR($C$3)-YEAR($G$3)))-1</f>
        <v>0.23535820140833241</v>
      </c>
      <c r="J4" s="133">
        <f>C4/G4-1</f>
        <v>1.329011383496292</v>
      </c>
    </row>
    <row r="5" spans="1:11" s="8" customFormat="1" x14ac:dyDescent="0.25">
      <c r="B5" s="6" t="s">
        <v>72</v>
      </c>
      <c r="C5" s="242">
        <f>(SBUX_BS!B14+SBUX_BS!C14)/2/((SBUX_BS!B48+SBUX_BS!C48)/2)</f>
        <v>0.17783636211041831</v>
      </c>
      <c r="D5" s="242">
        <f>(SBUX_BS!C14+SBUX_BS!D14)/2/((SBUX_BS!C48+SBUX_BS!D48)/2)</f>
        <v>0.14482210803369133</v>
      </c>
      <c r="E5" s="242">
        <f>(SBUX_BS!D14+SBUX_BS!E14)/2/((SBUX_BS!D48+SBUX_BS!E48)/2)</f>
        <v>0.26380717447436369</v>
      </c>
      <c r="F5" s="242">
        <f>(SBUX_BS!E14+SBUX_BS!F14)/2/((SBUX_BS!E48+SBUX_BS!F48)/2)</f>
        <v>0.29122579305332019</v>
      </c>
      <c r="G5" s="242">
        <f>(SBUX_BS!F14+SBUX_BS!G14)/2/((SBUX_BS!F48+SBUX_BS!G48)/2)</f>
        <v>0.15999595749797005</v>
      </c>
      <c r="H5" s="101"/>
      <c r="I5" s="133">
        <f>(C5/G5)^(1/(YEAR($C$3)-YEAR($G$3)))-1</f>
        <v>2.6781154321956047E-2</v>
      </c>
      <c r="J5" s="133">
        <f>C5/G5-1</f>
        <v>0.11150534608147589</v>
      </c>
    </row>
    <row r="6" spans="1:11" s="1" customFormat="1" ht="25" x14ac:dyDescent="0.25">
      <c r="A6" s="2"/>
      <c r="B6" s="16" t="s">
        <v>49</v>
      </c>
      <c r="C6" s="243">
        <f>(SBUX_BS!B86+SBUX_BS!C86)/2+(SBUX_BS!B65+SBUX_BS!B72+SBUX_BS!C65+SBUX_BS!C72)/2</f>
        <v>8699500</v>
      </c>
      <c r="D6" s="243">
        <f>(SBUX_BS!C86+SBUX_BS!D86)/2+(SBUX_BS!C65+SBUX_BS!C72+SBUX_BS!D65+SBUX_BS!D72)/2</f>
        <v>6519600</v>
      </c>
      <c r="E6" s="243">
        <f>(SBUX_BS!D86+SBUX_BS!E86)/2+(SBUX_BS!D65+SBUX_BS!D72+SBUX_BS!E65+SBUX_BS!E72)/2</f>
        <v>7772200</v>
      </c>
      <c r="F6" s="243">
        <f>(SBUX_BS!E86+SBUX_BS!F86)/2+(SBUX_BS!E65+SBUX_BS!E72+SBUX_BS!F65+SBUX_BS!F72)/2</f>
        <v>9996150</v>
      </c>
      <c r="G6" s="243">
        <f>(SBUX_BS!F86+SBUX_BS!G86)/2+(SBUX_BS!F65+SBUX_BS!F72+SBUX_BS!G65+SBUX_BS!G72)/2</f>
        <v>9634450</v>
      </c>
      <c r="H6" s="18"/>
      <c r="I6" s="133">
        <f>(C6/G6)^(1/(YEAR($C$3)-YEAR($G$3)))-1</f>
        <v>-2.5197035389492028E-2</v>
      </c>
      <c r="J6" s="133">
        <f>C6/G6-1</f>
        <v>-9.7042384360290446E-2</v>
      </c>
    </row>
    <row r="7" spans="1:11" s="1" customFormat="1" ht="13" x14ac:dyDescent="0.25">
      <c r="A7" s="2"/>
      <c r="B7" s="1" t="s">
        <v>50</v>
      </c>
      <c r="C7" s="244">
        <f>'SBUX_Income Statement'!B26-'SBUX_Income Statement'!B38</f>
        <v>3715500</v>
      </c>
      <c r="D7" s="244">
        <f>'SBUX_Income Statement'!C26-'SBUX_Income Statement'!C38</f>
        <v>1293500</v>
      </c>
      <c r="E7" s="244">
        <f>'SBUX_Income Statement'!D26-'SBUX_Income Statement'!D38</f>
        <v>1757500</v>
      </c>
      <c r="F7" s="244">
        <f>'SBUX_Income Statement'!E26-'SBUX_Income Statement'!E38</f>
        <v>3348100</v>
      </c>
      <c r="G7" s="244">
        <f>'SBUX_Income Statement'!F26-'SBUX_Income Statement'!F38</f>
        <v>2816300</v>
      </c>
      <c r="H7" s="221">
        <f>'SBUX_Income Statement'!G26-'SBUX_Income Statement'!G38</f>
        <v>3082800</v>
      </c>
      <c r="I7" s="133">
        <f t="shared" ref="I7:I26" si="0">(C7/H7)^(1/(YEAR($C$3)-YEAR($H$3)))-1</f>
        <v>3.8040702848866514E-2</v>
      </c>
      <c r="J7" s="133">
        <f t="shared" ref="J7:J26" si="1">C7/H7-1</f>
        <v>0.20523550019462822</v>
      </c>
    </row>
    <row r="8" spans="1:11" s="1" customFormat="1" ht="13" x14ac:dyDescent="0.25">
      <c r="A8" s="2"/>
      <c r="B8" s="1" t="s">
        <v>183</v>
      </c>
      <c r="C8" s="224">
        <f>'SBUX_Income Statement'!B21/((SBUX_BS!B42+SBUX_BS!C42)/2)</f>
        <v>0.22864347508901031</v>
      </c>
      <c r="D8" s="224">
        <f>'SBUX_Income Statement'!C21/((SBUX_BS!C42+SBUX_BS!D42)/2)</f>
        <v>0.2258800135720542</v>
      </c>
      <c r="E8" s="224">
        <f>'SBUX_Income Statement'!D21/((SBUX_BS!D42+SBUX_BS!E42)/2)</f>
        <v>0.22284965374409424</v>
      </c>
      <c r="F8" s="224">
        <f>'SBUX_Income Statement'!E21/((SBUX_BS!E42+SBUX_BS!F42)/2)</f>
        <v>0.2298914145604041</v>
      </c>
      <c r="G8" s="224">
        <f>'SBUX_Income Statement'!F21/((SBUX_BS!F42+SBUX_BS!G42)/2)</f>
        <v>0.21397818751123945</v>
      </c>
      <c r="H8" s="237"/>
      <c r="I8" s="133">
        <f>(C8/G8)^(1/(YEAR($C$3)-YEAR($G$3)))-1</f>
        <v>1.6710542602177192E-2</v>
      </c>
      <c r="J8" s="133">
        <f>C8/G8-1</f>
        <v>6.8536366946283067E-2</v>
      </c>
    </row>
    <row r="9" spans="1:11" s="1" customFormat="1" ht="13" x14ac:dyDescent="0.25">
      <c r="A9" s="2"/>
      <c r="B9" s="1" t="s">
        <v>141</v>
      </c>
      <c r="C9" s="225">
        <f>'SBUX_Income Statement'!B21/'SBUX_Income Statement'!B16</f>
        <v>4.9610125049035461E-2</v>
      </c>
      <c r="D9" s="225">
        <f>'SBUX_Income Statement'!C21/'SBUX_Income Statement'!C16</f>
        <v>6.0859766986988688E-2</v>
      </c>
      <c r="E9" s="225">
        <f>'SBUX_Income Statement'!D21/'SBUX_Income Statement'!D16</f>
        <v>5.1956723478418322E-2</v>
      </c>
      <c r="F9" s="225">
        <f>'SBUX_Income Statement'!E21/'SBUX_Income Statement'!E16</f>
        <v>5.0446004166750949E-2</v>
      </c>
      <c r="G9" s="225">
        <f>'SBUX_Income Statement'!F21/'SBUX_Income Statement'!F16</f>
        <v>4.5178408705129812E-2</v>
      </c>
      <c r="H9" s="3">
        <f>'SBUX_Income Statement'!G21/'SBUX_Income Statement'!G16</f>
        <v>4.6012600922316203E-2</v>
      </c>
      <c r="I9" s="133">
        <f t="shared" si="0"/>
        <v>1.5169842468260919E-2</v>
      </c>
      <c r="J9" s="133">
        <f t="shared" si="1"/>
        <v>7.8185628601891377E-2</v>
      </c>
      <c r="K9" s="266"/>
    </row>
    <row r="10" spans="1:11" s="1" customFormat="1" ht="13" x14ac:dyDescent="0.25">
      <c r="A10" s="2"/>
      <c r="B10" s="1" t="s">
        <v>149</v>
      </c>
      <c r="C10" s="225">
        <f>'SBUX_Income Statement'!B43/('SBUX_Income Statement'!B34-'SBUX_Income Statement'!B25)</f>
        <v>0.23264140317000565</v>
      </c>
      <c r="D10" s="225">
        <f>'SBUX_Income Statement'!C43/('SBUX_Income Statement'!C34-'SBUX_Income Statement'!C25)</f>
        <v>0.2847131488300273</v>
      </c>
      <c r="E10" s="225">
        <f>'SBUX_Income Statement'!D43/('SBUX_Income Statement'!D34-'SBUX_Income Statement'!D25)</f>
        <v>0.20910704860611296</v>
      </c>
      <c r="F10" s="225">
        <f>'SBUX_Income Statement'!E43/('SBUX_Income Statement'!E34-'SBUX_Income Statement'!E25)</f>
        <v>0.27890735502121639</v>
      </c>
      <c r="G10" s="225">
        <f>'SBUX_Income Statement'!F43/('SBUX_Income Statement'!F34-'SBUX_Income Statement'!F25)</f>
        <v>0.36489136802424799</v>
      </c>
      <c r="H10" s="3">
        <f>'SBUX_Income Statement'!G43/('SBUX_Income Statement'!G34-'SBUX_Income Statement'!G25)</f>
        <v>0.35555612823420268</v>
      </c>
      <c r="I10" s="133">
        <f t="shared" si="0"/>
        <v>-8.1337966835736353E-2</v>
      </c>
      <c r="J10" s="133">
        <f t="shared" si="1"/>
        <v>-0.34569710744300219</v>
      </c>
    </row>
    <row r="11" spans="1:11" s="1" customFormat="1" ht="13" x14ac:dyDescent="0.25">
      <c r="A11" s="2"/>
      <c r="B11" s="1" t="s">
        <v>70</v>
      </c>
      <c r="C11" s="268">
        <v>383000</v>
      </c>
      <c r="D11" s="245">
        <f>'SBUX_Income Statement'!C54</f>
        <v>349000</v>
      </c>
      <c r="E11" s="245">
        <f>'SBUX_Income Statement'!D54</f>
        <v>346000</v>
      </c>
      <c r="F11" s="245">
        <f>'SBUX_Income Statement'!E54</f>
        <v>291000</v>
      </c>
      <c r="G11" s="245">
        <f>'SBUX_Income Statement'!F54</f>
        <v>277000</v>
      </c>
      <c r="H11" s="19">
        <f>'SBUX_Income Statement'!G54</f>
        <v>254000</v>
      </c>
      <c r="I11" s="133">
        <f>(C11/H11)^(1/(YEAR($C$3)-YEAR($H$3)))-1</f>
        <v>8.5607941077861405E-2</v>
      </c>
      <c r="J11" s="133">
        <f>C11/H11-1</f>
        <v>0.50787401574803148</v>
      </c>
    </row>
    <row r="12" spans="1:11" ht="13.5" customHeight="1" thickBot="1" x14ac:dyDescent="0.35">
      <c r="A12" s="227" t="s">
        <v>48</v>
      </c>
      <c r="B12" s="250"/>
      <c r="C12" s="251"/>
      <c r="D12" s="251"/>
      <c r="E12" s="251"/>
      <c r="F12" s="251"/>
      <c r="G12" s="251"/>
      <c r="H12" s="252"/>
      <c r="I12" s="229"/>
      <c r="J12" s="229"/>
    </row>
    <row r="13" spans="1:11" s="14" customFormat="1" x14ac:dyDescent="0.25">
      <c r="A13" s="249"/>
      <c r="B13" s="6" t="s">
        <v>38</v>
      </c>
      <c r="C13" s="224">
        <f>(SBUX_BS!B27+SBUX_BS!C27)/2/((SBUX_BS!B67+SBUX_BS!C67)/2)</f>
        <v>1.1332154701836343</v>
      </c>
      <c r="D13" s="224">
        <f>(SBUX_BS!C27+SBUX_BS!D27)/2/((SBUX_BS!C67+SBUX_BS!D67)/2)</f>
        <v>0.99591580037734451</v>
      </c>
      <c r="E13" s="224">
        <f>(SBUX_BS!D27+SBUX_BS!E27)/2/((SBUX_BS!D67+SBUX_BS!E67)/2)</f>
        <v>1.531110529912511</v>
      </c>
      <c r="F13" s="224">
        <f>(SBUX_BS!E27+SBUX_BS!F27)/2/((SBUX_BS!E67+SBUX_BS!F67)/2)</f>
        <v>1.7948288220981534</v>
      </c>
      <c r="G13" s="224">
        <f>(SBUX_BS!F27+SBUX_BS!G27)/2/((SBUX_BS!F67+SBUX_BS!G67)/2)</f>
        <v>1.1455700533783475</v>
      </c>
      <c r="H13" s="21"/>
      <c r="I13" s="133">
        <f>(C13/G13)^(1/(YEAR($C$3)-YEAR($G$3)))-1</f>
        <v>-2.707137994510278E-3</v>
      </c>
      <c r="J13" s="133">
        <f>C13/G13-1</f>
        <v>-1.0784659705688759E-2</v>
      </c>
    </row>
    <row r="14" spans="1:11" s="14" customFormat="1" x14ac:dyDescent="0.25">
      <c r="B14" s="6" t="s">
        <v>39</v>
      </c>
      <c r="C14" s="224">
        <f>(SBUX_BS!B14+SBUX_BS!B17+SBUX_BS!B20+SBUX_BS!C14+SBUX_BS!C17+SBUX_BS!C20)/2/((SBUX_BS!B67+SBUX_BS!C67)/2)</f>
        <v>0.84354312113664809</v>
      </c>
      <c r="D14" s="224">
        <f>(SBUX_BS!C14+SBUX_BS!C17+SBUX_BS!C20+SBUX_BS!D14+SBUX_BS!D17+SBUX_BS!D20)/2/((SBUX_BS!C67+SBUX_BS!D67)/2)</f>
        <v>0.67713366135178132</v>
      </c>
      <c r="E14" s="224">
        <f>(SBUX_BS!D14+SBUX_BS!D17+SBUX_BS!D20+SBUX_BS!E14+SBUX_BS!E17+SBUX_BS!E20)/2/((SBUX_BS!D67+SBUX_BS!E67)/2)</f>
        <v>1.1193210100481739</v>
      </c>
      <c r="F14" s="224">
        <f>(SBUX_BS!E14+SBUX_BS!E17+SBUX_BS!E20+SBUX_BS!F14+SBUX_BS!F17+SBUX_BS!F20)/2/((SBUX_BS!E67+SBUX_BS!F67)/2)</f>
        <v>1.3318862381245646</v>
      </c>
      <c r="G14" s="224">
        <f>(SBUX_BS!F14+SBUX_BS!F17+SBUX_BS!F20+SBUX_BS!G14+SBUX_BS!G17+SBUX_BS!G20)/2/((SBUX_BS!F67+SBUX_BS!G67)/2)</f>
        <v>0.75200739084812263</v>
      </c>
      <c r="H14" s="21"/>
      <c r="I14" s="133">
        <f>(C14/G14)^(1/(YEAR($C$3)-YEAR($G$3)))-1</f>
        <v>2.9132503289224454E-2</v>
      </c>
      <c r="J14" s="133">
        <f>C14/G14-1</f>
        <v>0.121721849283011</v>
      </c>
    </row>
    <row r="15" spans="1:11" s="14" customFormat="1" x14ac:dyDescent="0.25">
      <c r="B15" s="6" t="s">
        <v>40</v>
      </c>
      <c r="C15" s="224">
        <f>(SBUX_BS!B14+SBUX_BS!C14)/2/((SBUX_BS!B67+SBUX_BS!C67)/2)</f>
        <v>0.69728097456478821</v>
      </c>
      <c r="D15" s="224">
        <f>(SBUX_BS!C14+SBUX_BS!D14)/2/((SBUX_BS!C67+SBUX_BS!D67)/2)</f>
        <v>0.520698457326773</v>
      </c>
      <c r="E15" s="224">
        <f>(SBUX_BS!D14+SBUX_BS!E14)/2/((SBUX_BS!D67+SBUX_BS!E67)/2)</f>
        <v>0.96540930911422518</v>
      </c>
      <c r="F15" s="224">
        <f>(SBUX_BS!E14+SBUX_BS!F14)/2/((SBUX_BS!E67+SBUX_BS!F67)/2)</f>
        <v>1.1326313238901957</v>
      </c>
      <c r="G15" s="224">
        <f>(SBUX_BS!F14+SBUX_BS!G14)/2/((SBUX_BS!F67+SBUX_BS!G67)/2)</f>
        <v>0.52364387061453532</v>
      </c>
      <c r="H15" s="21"/>
      <c r="I15" s="133">
        <f>(C15/G15)^(1/(YEAR($C$3)-YEAR($G$3)))-1</f>
        <v>7.4219292384395175E-2</v>
      </c>
      <c r="J15" s="133">
        <f>C15/G15-1</f>
        <v>0.33159388220562325</v>
      </c>
    </row>
    <row r="16" spans="1:11" ht="13.5" thickBot="1" x14ac:dyDescent="0.35">
      <c r="A16" s="227" t="s">
        <v>41</v>
      </c>
      <c r="B16" s="250"/>
      <c r="C16" s="250"/>
      <c r="D16" s="253"/>
      <c r="E16" s="253"/>
      <c r="F16" s="253"/>
      <c r="G16" s="253"/>
      <c r="H16" s="254"/>
      <c r="I16" s="229"/>
      <c r="J16" s="229"/>
    </row>
    <row r="17" spans="1:12" s="9" customFormat="1" x14ac:dyDescent="0.25">
      <c r="A17" s="236"/>
      <c r="B17" s="236" t="s">
        <v>340</v>
      </c>
      <c r="C17" s="236">
        <f>'SBUX_Income Statement'!B46/'Historical Ratios'!C6</f>
        <v>0.48270590263808266</v>
      </c>
      <c r="D17" s="236">
        <f>'SBUX_Income Statement'!C46/'Historical Ratios'!D6</f>
        <v>0.14238603595312596</v>
      </c>
      <c r="E17" s="236">
        <f>'SBUX_Income Statement'!D46/'Historical Ratios'!E6</f>
        <v>0.46308638480739045</v>
      </c>
      <c r="F17" s="236">
        <f>'SBUX_Income Statement'!E46/'Historical Ratios'!F6</f>
        <v>0.45200402154829611</v>
      </c>
      <c r="G17" s="236">
        <f>'SBUX_Income Statement'!F46/'Historical Ratios'!G6</f>
        <v>0.29941511970065754</v>
      </c>
      <c r="H17" s="22"/>
      <c r="I17" s="133">
        <f t="shared" ref="I17:I18" si="2">(C17/G17)^(1/(YEAR($C$3)-YEAR($G$3)))-1</f>
        <v>0.12681396456872562</v>
      </c>
      <c r="J17" s="133">
        <f t="shared" ref="J17:J18" si="3">C17/G17-1</f>
        <v>0.61216274956545758</v>
      </c>
    </row>
    <row r="18" spans="1:12" s="15" customFormat="1" x14ac:dyDescent="0.25">
      <c r="B18" s="15" t="s">
        <v>51</v>
      </c>
      <c r="C18" s="246">
        <f>'SBUX_Income Statement'!B46/((SBUX_BS!B48+SBUX_BS!C48)/2)</f>
        <v>0.1382096562119963</v>
      </c>
      <c r="D18" s="246">
        <f>'SBUX_Income Statement'!C46/((SBUX_BS!C48+SBUX_BS!D48)/2)</f>
        <v>3.8206284302003742E-2</v>
      </c>
      <c r="E18" s="246">
        <f>'SBUX_Income Statement'!D46/((SBUX_BS!D48+SBUX_BS!E48)/2)</f>
        <v>0.16595352268535596</v>
      </c>
      <c r="F18" s="246">
        <f>'SBUX_Income Statement'!E46/((SBUX_BS!E48+SBUX_BS!F48)/2)</f>
        <v>0.23458283578215047</v>
      </c>
      <c r="G18" s="246">
        <f>'SBUX_Income Statement'!F46/((SBUX_BS!F48+SBUX_BS!G48)/2)</f>
        <v>0.20105871734198522</v>
      </c>
      <c r="H18" s="23"/>
      <c r="I18" s="133">
        <f t="shared" si="2"/>
        <v>-8.9449851019486659E-2</v>
      </c>
      <c r="J18" s="133">
        <f t="shared" si="3"/>
        <v>-0.31259058030837605</v>
      </c>
    </row>
    <row r="19" spans="1:12" s="8" customFormat="1" x14ac:dyDescent="0.25">
      <c r="B19" s="262" t="s">
        <v>71</v>
      </c>
      <c r="C19" s="248">
        <f>'SBUX_Income Statement'!B16/'Historical Ratios'!C11</f>
        <v>75.876240208877292</v>
      </c>
      <c r="D19" s="248">
        <f>'SBUX_Income Statement'!C16/'Historical Ratios'!D11</f>
        <v>67.386819484240689</v>
      </c>
      <c r="E19" s="248">
        <f>'SBUX_Income Statement'!D16/'Historical Ratios'!E11</f>
        <v>76.614450867052028</v>
      </c>
      <c r="F19" s="248">
        <f>'SBUX_Income Statement'!E16/'Historical Ratios'!F11</f>
        <v>84.946735395189009</v>
      </c>
      <c r="G19" s="248">
        <f>'SBUX_Income Statement'!F16/'Historical Ratios'!G11</f>
        <v>80.818772563176893</v>
      </c>
      <c r="H19" s="27">
        <f>'SBUX_Income Statement'!G16/'Historical Ratios'!H11</f>
        <v>83.92086614173229</v>
      </c>
      <c r="I19" s="133">
        <f>(C19/G19)^(1/(YEAR($C$3)-YEAR($G$3)))-1</f>
        <v>-1.5652623563006896E-2</v>
      </c>
      <c r="J19" s="133">
        <f>C19/G19-1</f>
        <v>-6.1155746338958261E-2</v>
      </c>
    </row>
    <row r="20" spans="1:12" s="15" customFormat="1" ht="13.5" thickBot="1" x14ac:dyDescent="0.35">
      <c r="A20" s="255" t="s">
        <v>42</v>
      </c>
      <c r="B20" s="256"/>
      <c r="C20" s="256"/>
      <c r="D20" s="256"/>
      <c r="E20" s="256"/>
      <c r="F20" s="256"/>
      <c r="G20" s="256"/>
      <c r="H20" s="257"/>
      <c r="I20" s="229"/>
      <c r="J20" s="229"/>
    </row>
    <row r="21" spans="1:12" s="9" customFormat="1" x14ac:dyDescent="0.25">
      <c r="A21" s="236"/>
      <c r="B21" s="236" t="s">
        <v>52</v>
      </c>
      <c r="C21" s="236">
        <f>('SBUX_Income Statement'!B16-'SBUX_Income Statement'!B18)/'SBUX_Income Statement'!B16</f>
        <v>0.69929388932093628</v>
      </c>
      <c r="D21" s="236">
        <f>('SBUX_Income Statement'!C16-'SBUX_Income Statement'!C18)/'SBUX_Income Statement'!C16</f>
        <v>0.6728080619100264</v>
      </c>
      <c r="E21" s="236">
        <f>('SBUX_Income Statement'!D16-'SBUX_Income Statement'!D18)/'SBUX_Income Statement'!D16</f>
        <v>0.67833457821235377</v>
      </c>
      <c r="F21" s="236">
        <f>('SBUX_Income Statement'!E16-'SBUX_Income Statement'!E18)/'SBUX_Income Statement'!E16</f>
        <v>0.58840186896984159</v>
      </c>
      <c r="G21" s="236">
        <f>('SBUX_Income Statement'!F16-'SBUX_Income Statement'!F18)/'SBUX_Income Statement'!F16</f>
        <v>0.59627101684921469</v>
      </c>
      <c r="H21" s="236">
        <f>('SBUX_Income Statement'!G16-'SBUX_Income Statement'!G18)/'SBUX_Income Statement'!G16</f>
        <v>0.60071589752250665</v>
      </c>
      <c r="I21" s="133">
        <f t="shared" si="0"/>
        <v>3.0856281342531933E-2</v>
      </c>
      <c r="J21" s="133">
        <f t="shared" si="1"/>
        <v>0.16410085400600916</v>
      </c>
      <c r="K21" s="9">
        <f>AVERAGE(C21:E21)</f>
        <v>0.68347884314777207</v>
      </c>
    </row>
    <row r="22" spans="1:12" s="9" customFormat="1" x14ac:dyDescent="0.25">
      <c r="B22" s="9" t="s">
        <v>370</v>
      </c>
      <c r="C22" s="236">
        <f>('SBUX_Income Statement'!B24-'SBUX_Income Statement'!B21-'SBUX_Income Statement'!B18)/'SBUX_Income Statement'!B16</f>
        <v>0.49528915438772769</v>
      </c>
      <c r="D22" s="236">
        <f>('SBUX_Income Statement'!C24-'SBUX_Income Statement'!C21-'SBUX_Income Statement'!C18)/'SBUX_Income Statement'!C16</f>
        <v>0.5592567395186665</v>
      </c>
      <c r="E22" s="236">
        <f>('SBUX_Income Statement'!D24-'SBUX_Income Statement'!D21-'SBUX_Income Statement'!D18)/'SBUX_Income Statement'!D16</f>
        <v>0.48378639384954319</v>
      </c>
      <c r="F22" s="236">
        <f>('SBUX_Income Statement'!E24-'SBUX_Income Statement'!E21-'SBUX_Income Statement'!E18)/'SBUX_Income Statement'!E16</f>
        <v>0.39304597584902606</v>
      </c>
      <c r="G22" s="236">
        <f>('SBUX_Income Statement'!F24-'SBUX_Income Statement'!F21-'SBUX_Income Statement'!F18)/'SBUX_Income Statement'!F16</f>
        <v>0.38388246645344576</v>
      </c>
      <c r="H22" s="236">
        <f>('SBUX_Income Statement'!G24-'SBUX_Income Statement'!G21-'SBUX_Income Statement'!G18)/'SBUX_Income Statement'!G16</f>
        <v>0.37391336983190954</v>
      </c>
      <c r="I22" s="133">
        <f t="shared" si="0"/>
        <v>5.7834105064887842E-2</v>
      </c>
      <c r="J22" s="133">
        <v>0.69899999999999995</v>
      </c>
      <c r="K22" s="9">
        <f>AVERAGE(C22:H22)</f>
        <v>0.44819568331505316</v>
      </c>
    </row>
    <row r="23" spans="1:12" s="11" customFormat="1" x14ac:dyDescent="0.25">
      <c r="B23" s="11" t="s">
        <v>53</v>
      </c>
      <c r="C23" s="225">
        <f>('SBUX_Income Statement'!B16-'SBUX_Income Statement'!B18-'SBUX_Income Statement'!B19-'SBUX_Income Statement'!B20-'SBUX_Income Statement'!B22)/'SBUX_Income Statement'!B16</f>
        <v>0.20986834408098939</v>
      </c>
      <c r="D23" s="225">
        <f>('SBUX_Income Statement'!C16-'SBUX_Income Statement'!C18-'SBUX_Income Statement'!C19-'SBUX_Income Statement'!C20-'SBUX_Income Statement'!C22)/'SBUX_Income Statement'!C16</f>
        <v>0.1254018198826431</v>
      </c>
      <c r="E23" s="225">
        <f>('SBUX_Income Statement'!D16-'SBUX_Income Statement'!D18-'SBUX_Income Statement'!D19-'SBUX_Income Statement'!D20-'SBUX_Income Statement'!D22)/'SBUX_Income Statement'!D16</f>
        <v>0.19967105014976272</v>
      </c>
      <c r="F23" s="225">
        <f>('SBUX_Income Statement'!E16-'SBUX_Income Statement'!E18-'SBUX_Income Statement'!E19-'SBUX_Income Statement'!E20-'SBUX_Income Statement'!E22)/'SBUX_Income Statement'!E16</f>
        <v>0.20443374663727018</v>
      </c>
      <c r="G23" s="225">
        <f>('SBUX_Income Statement'!F16-'SBUX_Income Statement'!F18-'SBUX_Income Statement'!F19-'SBUX_Income Statement'!F20-'SBUX_Income Statement'!F22)/'SBUX_Income Statement'!F16</f>
        <v>0.21924526953383244</v>
      </c>
      <c r="H23" s="3">
        <f>('SBUX_Income Statement'!G16-'SBUX_Income Statement'!G18-'SBUX_Income Statement'!G19-'SBUX_Income Statement'!G20-'SBUX_Income Statement'!G22)/'SBUX_Income Statement'!G16</f>
        <v>0.22680252769059717</v>
      </c>
      <c r="I23" s="133">
        <f t="shared" si="0"/>
        <v>-1.5400050678623933E-2</v>
      </c>
      <c r="J23" s="133">
        <f t="shared" si="1"/>
        <v>-7.4664880422802393E-2</v>
      </c>
    </row>
    <row r="24" spans="1:12" s="11" customFormat="1" x14ac:dyDescent="0.25">
      <c r="B24" s="11" t="s">
        <v>55</v>
      </c>
      <c r="C24" s="225">
        <f>'SBUX_Income Statement'!B26/'SBUX_Income Statement'!B16</f>
        <v>0.1676531110851118</v>
      </c>
      <c r="D24" s="225">
        <f>'SBUX_Income Statement'!C26/'SBUX_Income Statement'!C16</f>
        <v>6.6404456161238204E-2</v>
      </c>
      <c r="E24" s="225">
        <f>'SBUX_Income Statement'!D26/'SBUX_Income Statement'!D16</f>
        <v>0.15383309567461126</v>
      </c>
      <c r="F24" s="225">
        <f>'SBUX_Income Statement'!E26/'SBUX_Income Statement'!E16</f>
        <v>0.15709460142802242</v>
      </c>
      <c r="G24" s="225">
        <f>'SBUX_Income Statement'!F26/'SBUX_Income Statement'!F16</f>
        <v>0.18469365876319974</v>
      </c>
      <c r="H24" s="3">
        <f>'SBUX_Income Statement'!G26/'SBUX_Income Statement'!G16</f>
        <v>0.19571775059931787</v>
      </c>
      <c r="I24" s="133">
        <f t="shared" si="0"/>
        <v>-3.0481098858865852E-2</v>
      </c>
      <c r="J24" s="133">
        <f t="shared" si="1"/>
        <v>-0.14339342971328772</v>
      </c>
    </row>
    <row r="25" spans="1:12" s="11" customFormat="1" x14ac:dyDescent="0.25">
      <c r="B25" s="11" t="s">
        <v>54</v>
      </c>
      <c r="C25" s="225">
        <f>'SBUX_Income Statement'!B46/'SBUX_Income Statement'!B16</f>
        <v>0.14450148998988321</v>
      </c>
      <c r="D25" s="225">
        <f>'SBUX_Income Statement'!C46/'SBUX_Income Statement'!C16</f>
        <v>3.9471893868526238E-2</v>
      </c>
      <c r="E25" s="225">
        <f>'SBUX_Income Statement'!D46/'SBUX_Income Statement'!D16</f>
        <v>0.13577480515757151</v>
      </c>
      <c r="F25" s="225">
        <f>'SBUX_Income Statement'!E46/'SBUX_Income Statement'!E16</f>
        <v>0.18278282327716985</v>
      </c>
      <c r="G25" s="225">
        <f>'SBUX_Income Statement'!F46/'SBUX_Income Statement'!F16</f>
        <v>0.12885718369753604</v>
      </c>
      <c r="H25" s="3">
        <f>'SBUX_Income Statement'!G46/'SBUX_Income Statement'!G16</f>
        <v>0.13218770964397469</v>
      </c>
      <c r="I25" s="133">
        <f t="shared" si="0"/>
        <v>1.7972977143067448E-2</v>
      </c>
      <c r="J25" s="133">
        <f t="shared" si="1"/>
        <v>9.3153746131721338E-2</v>
      </c>
      <c r="K25" s="3">
        <f>AVERAGE(C25:H25)</f>
        <v>0.12726265093911027</v>
      </c>
    </row>
    <row r="26" spans="1:12" s="9" customFormat="1" x14ac:dyDescent="0.25">
      <c r="B26" s="9" t="s">
        <v>56</v>
      </c>
      <c r="C26" s="236">
        <f>C7/'SBUX_Income Statement'!B16</f>
        <v>0.12785351988603125</v>
      </c>
      <c r="D26" s="236">
        <f>D7/'SBUX_Income Statement'!C16</f>
        <v>5.5000425206225022E-2</v>
      </c>
      <c r="E26" s="236">
        <f>E7/'SBUX_Income Statement'!D16</f>
        <v>6.6299238737617228E-2</v>
      </c>
      <c r="F26" s="236">
        <f>F7/'SBUX_Income Statement'!E16</f>
        <v>0.1354436780679221</v>
      </c>
      <c r="G26" s="236">
        <f>G7/'SBUX_Income Statement'!F16</f>
        <v>0.12580181178194294</v>
      </c>
      <c r="H26" s="9">
        <f>H7/'SBUX_Income Statement'!G16</f>
        <v>0.14462443528070595</v>
      </c>
      <c r="I26" s="133">
        <f t="shared" si="0"/>
        <v>-2.4349654786712027E-2</v>
      </c>
      <c r="J26" s="133">
        <f t="shared" si="1"/>
        <v>-0.11596183841356777</v>
      </c>
    </row>
    <row r="27" spans="1:12" s="11" customFormat="1" ht="13.5" thickBot="1" x14ac:dyDescent="0.35">
      <c r="A27" s="227" t="s">
        <v>57</v>
      </c>
      <c r="B27" s="228"/>
      <c r="C27" s="228"/>
      <c r="D27" s="228"/>
      <c r="E27" s="228"/>
      <c r="F27" s="228"/>
      <c r="G27" s="228"/>
      <c r="H27" s="238"/>
      <c r="I27" s="229"/>
      <c r="J27" s="229"/>
    </row>
    <row r="28" spans="1:12" x14ac:dyDescent="0.25">
      <c r="B28" s="6" t="s">
        <v>74</v>
      </c>
      <c r="C28" s="226">
        <f>'SBUX_Income Statement'!B16/((SBUX_BS!B42+SBUX_BS!C42)/2)</f>
        <v>4.6088066672481744</v>
      </c>
      <c r="D28" s="230">
        <f>'SBUX_Income Statement'!C16/((SBUX_BS!C42+SBUX_BS!D42)/2)</f>
        <v>3.7114833781789773</v>
      </c>
      <c r="E28" s="226">
        <f>'SBUX_Income Statement'!D16/((SBUX_BS!D42+SBUX_BS!E42)/2)</f>
        <v>4.2891398614976373</v>
      </c>
      <c r="F28" s="226">
        <f>'SBUX_Income Statement'!E16/((SBUX_BS!E42+SBUX_BS!F42)/2)</f>
        <v>4.557177884704017</v>
      </c>
      <c r="G28" s="226">
        <f>'SBUX_Income Statement'!F16/((SBUX_BS!F42+SBUX_BS!G42)/2)</f>
        <v>4.7362931463086966</v>
      </c>
      <c r="H28" s="24"/>
      <c r="I28" s="133">
        <f t="shared" ref="I28" si="4">(C28/G28)^(1/(YEAR($C$3)-YEAR($G$3)))-1</f>
        <v>-6.7982434376594458E-3</v>
      </c>
      <c r="J28" s="133">
        <f t="shared" ref="J28" si="5">C28/G28-1</f>
        <v>-2.6916931685252776E-2</v>
      </c>
      <c r="K28" s="267">
        <f>AVERAGE(C28:G28)</f>
        <v>4.3805801875875003</v>
      </c>
      <c r="L28" s="101">
        <f>1/K28</f>
        <v>0.22828026361291792</v>
      </c>
    </row>
    <row r="29" spans="1:12" x14ac:dyDescent="0.25">
      <c r="B29" s="6" t="s">
        <v>58</v>
      </c>
      <c r="C29" s="226">
        <f>'SBUX_Income Statement'!B16/((SBUX_BS!B48+SBUX_BS!C48)/2)</f>
        <v>0.95645834670405527</v>
      </c>
      <c r="D29" s="230">
        <f>'SBUX_Income Statement'!C16/((SBUX_BS!C48+SBUX_BS!D48)/2)</f>
        <v>0.96793643672791552</v>
      </c>
      <c r="E29" s="226">
        <f>'SBUX_Income Statement'!D16/((SBUX_BS!D48+SBUX_BS!E48)/2)</f>
        <v>1.2222703799336039</v>
      </c>
      <c r="F29" s="226">
        <f>'SBUX_Income Statement'!E16/((SBUX_BS!E48+SBUX_BS!F48)/2)</f>
        <v>1.2833965007008983</v>
      </c>
      <c r="G29" s="226">
        <f>'SBUX_Income Statement'!F16/((SBUX_BS!F48+SBUX_BS!G48)/2)</f>
        <v>1.5603221455928016</v>
      </c>
      <c r="H29" s="24"/>
      <c r="I29" s="133">
        <f t="shared" ref="I29" si="6">(C29/G29)^(1/(YEAR($C$3)-YEAR($G$3)))-1</f>
        <v>-0.11516366700776726</v>
      </c>
      <c r="J29" s="133">
        <f t="shared" ref="J29" si="7">C29/G29-1</f>
        <v>-0.38701225935579142</v>
      </c>
    </row>
    <row r="30" spans="1:12" s="12" customFormat="1" x14ac:dyDescent="0.25">
      <c r="B30" s="6" t="s">
        <v>61</v>
      </c>
      <c r="C30" s="226">
        <f>'SBUX_Income Statement'!B16/((SBUX_BS!B20+SBUX_BS!C20)/2)</f>
        <v>31.875178238455632</v>
      </c>
      <c r="D30" s="230">
        <f>'SBUX_Income Statement'!C16/((SBUX_BS!C20+SBUX_BS!D20)/2)</f>
        <v>26.685578123227049</v>
      </c>
      <c r="E30" s="226">
        <f>'SBUX_Income Statement'!D16/((SBUX_BS!D20+SBUX_BS!E20)/2)</f>
        <v>33.719519175729822</v>
      </c>
      <c r="F30" s="226">
        <f>'SBUX_Income Statement'!E16/((SBUX_BS!E20+SBUX_BS!F20)/2)</f>
        <v>31.620722737448034</v>
      </c>
      <c r="G30" s="226">
        <f>'SBUX_Income Statement'!F16/((SBUX_BS!F20+SBUX_BS!G20)/2)</f>
        <v>27.314299658369936</v>
      </c>
      <c r="H30" s="25"/>
      <c r="I30" s="133">
        <f t="shared" ref="I30:I39" si="8">(C30/G30)^(1/(YEAR($C$3)-YEAR($G$3)))-1</f>
        <v>3.9359136486128543E-2</v>
      </c>
      <c r="J30" s="133">
        <f t="shared" ref="J30:J39" si="9">C30/G30-1</f>
        <v>0.16697768704049865</v>
      </c>
      <c r="K30" s="12">
        <f>AVERAGE(C30:G30)</f>
        <v>30.243059586646098</v>
      </c>
    </row>
    <row r="31" spans="1:12" s="12" customFormat="1" x14ac:dyDescent="0.25">
      <c r="B31" s="6" t="s">
        <v>59</v>
      </c>
      <c r="C31" s="224">
        <f>365/C30</f>
        <v>11.4509163609836</v>
      </c>
      <c r="D31" s="231">
        <f>366/D30</f>
        <v>13.715273407602687</v>
      </c>
      <c r="E31" s="224">
        <f>365/E30</f>
        <v>10.82459088748557</v>
      </c>
      <c r="F31" s="224">
        <f>365/F30</f>
        <v>11.543063168753413</v>
      </c>
      <c r="G31" s="224">
        <f>365/G30</f>
        <v>13.362963889434846</v>
      </c>
      <c r="H31" s="25"/>
      <c r="I31" s="133">
        <f t="shared" si="8"/>
        <v>-3.7868658776786357E-2</v>
      </c>
      <c r="J31" s="133">
        <f t="shared" si="9"/>
        <v>-0.14308558672099447</v>
      </c>
    </row>
    <row r="32" spans="1:12" s="12" customFormat="1" x14ac:dyDescent="0.25">
      <c r="B32" s="6" t="s">
        <v>62</v>
      </c>
      <c r="C32" s="226">
        <f>'SBUX_Income Statement'!B18/((SBUX_BS!B25+SBUX_BS!C25)/2)</f>
        <v>5.5390612620036128</v>
      </c>
      <c r="D32" s="230">
        <f>'SBUX_Income Statement'!C18/((SBUX_BS!C25+SBUX_BS!D25)/2)</f>
        <v>4.9953908075824458</v>
      </c>
      <c r="E32" s="226">
        <f>'SBUX_Income Statement'!D18/((SBUX_BS!D25+SBUX_BS!E25)/2)</f>
        <v>5.8206082118843643</v>
      </c>
      <c r="F32" s="226">
        <f>'SBUX_Income Statement'!E18/((SBUX_BS!E25+SBUX_BS!F25)/2)</f>
        <v>7.3608247422680408</v>
      </c>
      <c r="G32" s="226">
        <f>'SBUX_Income Statement'!F18/((SBUX_BS!F25+SBUX_BS!G25)/2)</f>
        <v>6.5912123974475847</v>
      </c>
      <c r="H32" s="6"/>
      <c r="I32" s="133">
        <f t="shared" si="8"/>
        <v>-4.2546446266703231E-2</v>
      </c>
      <c r="J32" s="133">
        <f t="shared" si="9"/>
        <v>-0.15962937802632671</v>
      </c>
      <c r="K32" s="12">
        <f>AVERAGE(C32:E32)</f>
        <v>5.4516867604901407</v>
      </c>
    </row>
    <row r="33" spans="1:11" s="12" customFormat="1" x14ac:dyDescent="0.25">
      <c r="B33" s="6" t="s">
        <v>60</v>
      </c>
      <c r="C33" s="224">
        <f>365/C32</f>
        <v>65.895642372435262</v>
      </c>
      <c r="D33" s="231">
        <f>366/D32</f>
        <v>73.267540838737347</v>
      </c>
      <c r="E33" s="224">
        <f>365/E32</f>
        <v>62.708223387162981</v>
      </c>
      <c r="F33" s="224">
        <f>365/F32</f>
        <v>49.586834733893561</v>
      </c>
      <c r="G33" s="224">
        <f>365/G32</f>
        <v>55.37676196587816</v>
      </c>
      <c r="H33" s="25"/>
      <c r="I33" s="133">
        <f t="shared" si="8"/>
        <v>4.4437086374379708E-2</v>
      </c>
      <c r="J33" s="133">
        <f t="shared" si="9"/>
        <v>0.18995116422730862</v>
      </c>
    </row>
    <row r="34" spans="1:11" s="12" customFormat="1" x14ac:dyDescent="0.25">
      <c r="B34" s="6" t="s">
        <v>63</v>
      </c>
      <c r="C34" s="224">
        <f>'SBUX_Income Statement'!B18/((SBUX_BS!B50+SBUX_BS!C50)/2)</f>
        <v>7.9101154107264087</v>
      </c>
      <c r="D34" s="231">
        <f>'SBUX_Income Statement'!C18/((SBUX_BS!C50+SBUX_BS!D50)/2)</f>
        <v>7.0350155421466445</v>
      </c>
      <c r="E34" s="224">
        <f>'SBUX_Income Statement'!D18/((SBUX_BS!D50+SBUX_BS!E50)/2)</f>
        <v>7.1987336428872943</v>
      </c>
      <c r="F34" s="224">
        <f>'SBUX_Income Statement'!E18/((SBUX_BS!E50+SBUX_BS!F50)/2)</f>
        <v>10.372616984402081</v>
      </c>
      <c r="G34" s="224">
        <f>'SBUX_Income Statement'!F18/((SBUX_BS!F50+SBUX_BS!G50)/2)</f>
        <v>11.946599695988368</v>
      </c>
      <c r="H34" s="25"/>
      <c r="I34" s="133">
        <f t="shared" si="8"/>
        <v>-9.7941658057450476E-2</v>
      </c>
      <c r="J34" s="133">
        <f t="shared" si="9"/>
        <v>-0.337877252773222</v>
      </c>
    </row>
    <row r="35" spans="1:11" s="12" customFormat="1" x14ac:dyDescent="0.25">
      <c r="B35" s="6" t="s">
        <v>43</v>
      </c>
      <c r="C35" s="224">
        <f>365/C34</f>
        <v>46.143448110130798</v>
      </c>
      <c r="D35" s="231">
        <f>366/D34</f>
        <v>52.025471416132767</v>
      </c>
      <c r="E35" s="224">
        <f>365/E34</f>
        <v>50.703362300484351</v>
      </c>
      <c r="F35" s="224">
        <f>365/F34</f>
        <v>35.188805346700079</v>
      </c>
      <c r="G35" s="224">
        <f>365/G34</f>
        <v>30.55262662919608</v>
      </c>
      <c r="H35" s="25"/>
      <c r="I35" s="133">
        <f t="shared" si="8"/>
        <v>0.10857574671560233</v>
      </c>
      <c r="J35" s="133">
        <f t="shared" si="9"/>
        <v>0.51029398127217429</v>
      </c>
    </row>
    <row r="36" spans="1:11" s="12" customFormat="1" x14ac:dyDescent="0.25">
      <c r="B36" s="6" t="s">
        <v>366</v>
      </c>
      <c r="C36" s="224">
        <f>1/(((SBUX_BS!B14+SBUX_BS!C14+SBUX_BS!B17+SBUX_BS!C17)/2)/'SBUX_Income Statement'!B16)</f>
        <v>5.1663288888888887</v>
      </c>
      <c r="D36" s="224">
        <f>1/(((SBUX_BS!C14+SBUX_BS!D14+SBUX_BS!C17+SBUX_BS!D17)/2)/'SBUX_Income Statement'!C16)</f>
        <v>6.3655064147674985</v>
      </c>
      <c r="E36" s="224">
        <f>1/(((SBUX_BS!D14+SBUX_BS!E14+SBUX_BS!D17+SBUX_BS!E17)/2)/'SBUX_Income Statement'!D16)</f>
        <v>4.5333606956878638</v>
      </c>
      <c r="F36" s="224">
        <f>1/(((SBUX_BS!E14+SBUX_BS!F14+SBUX_BS!E17+SBUX_BS!F17)/2)/'SBUX_Income Statement'!E16)</f>
        <v>4.2514640501517791</v>
      </c>
      <c r="G36" s="224">
        <f>1/(((SBUX_BS!F14+SBUX_BS!G14+SBUX_BS!F17+SBUX_BS!G17)/2)/'SBUX_Income Statement'!F16)</f>
        <v>9.0376859570860493</v>
      </c>
      <c r="H36" s="26"/>
      <c r="I36" s="133">
        <f t="shared" si="8"/>
        <v>-0.13047674619636329</v>
      </c>
      <c r="J36" s="133">
        <f t="shared" si="9"/>
        <v>-0.42835711337832016</v>
      </c>
      <c r="K36" s="28"/>
    </row>
    <row r="37" spans="1:11" s="12" customFormat="1" x14ac:dyDescent="0.25">
      <c r="B37" s="6" t="s">
        <v>372</v>
      </c>
      <c r="C37" s="224">
        <f>1/C36</f>
        <v>0.19356104141001906</v>
      </c>
      <c r="D37" s="224">
        <f t="shared" ref="D37:G37" si="10">1/D36</f>
        <v>0.15709669189556935</v>
      </c>
      <c r="E37" s="224">
        <f t="shared" si="10"/>
        <v>0.22058690387270546</v>
      </c>
      <c r="F37" s="224">
        <f t="shared" si="10"/>
        <v>0.23521309087966993</v>
      </c>
      <c r="G37" s="224">
        <f t="shared" si="10"/>
        <v>0.11064779244912182</v>
      </c>
      <c r="H37" s="26"/>
      <c r="I37" s="133">
        <f t="shared" si="8"/>
        <v>0.15005549952299346</v>
      </c>
      <c r="J37" s="133">
        <f t="shared" si="9"/>
        <v>0.74934390579028043</v>
      </c>
      <c r="K37" s="28">
        <f>AVERAGE(C37:G37)</f>
        <v>0.18342110410141713</v>
      </c>
    </row>
    <row r="38" spans="1:11" s="12" customFormat="1" x14ac:dyDescent="0.25">
      <c r="B38" s="6" t="s">
        <v>373</v>
      </c>
      <c r="C38" s="224">
        <f>C33+C31-C35</f>
        <v>31.203110623288062</v>
      </c>
      <c r="D38" s="224">
        <f t="shared" ref="D38:G38" si="11">D33+D31-D35</f>
        <v>34.957342830207274</v>
      </c>
      <c r="E38" s="224">
        <f t="shared" si="11"/>
        <v>22.829451974164208</v>
      </c>
      <c r="F38" s="224">
        <f t="shared" si="11"/>
        <v>25.941092555946895</v>
      </c>
      <c r="G38" s="224">
        <f t="shared" si="11"/>
        <v>38.187099226116928</v>
      </c>
      <c r="H38" s="26"/>
      <c r="I38" s="133"/>
      <c r="J38" s="133"/>
      <c r="K38" s="28"/>
    </row>
    <row r="39" spans="1:11" s="12" customFormat="1" x14ac:dyDescent="0.25">
      <c r="B39" s="6" t="s">
        <v>173</v>
      </c>
      <c r="C39" s="224">
        <f>C4/'SBUX_Income Statement'!B16</f>
        <v>0.16967130754354692</v>
      </c>
      <c r="D39" s="231">
        <f>D4/'SBUX_Income Statement'!C16</f>
        <v>0.11174632196615358</v>
      </c>
      <c r="E39" s="224">
        <f>E4/'SBUX_Income Statement'!D16</f>
        <v>0.17953984744573459</v>
      </c>
      <c r="F39" s="224">
        <f>F4/'SBUX_Income Statement'!E16</f>
        <v>0.2259916260442161</v>
      </c>
      <c r="G39" s="224">
        <f>G4/'SBUX_Income Statement'!F16</f>
        <v>9.4569121089213282E-2</v>
      </c>
      <c r="H39" s="96"/>
      <c r="I39" s="133">
        <f t="shared" si="8"/>
        <v>0.15735012655627378</v>
      </c>
      <c r="J39" s="133">
        <f t="shared" si="9"/>
        <v>0.79415125771851902</v>
      </c>
      <c r="K39" s="28">
        <f>AVERAGE(C39:G39)</f>
        <v>0.1563036448177729</v>
      </c>
    </row>
    <row r="40" spans="1:11" s="11" customFormat="1" ht="13.5" thickBot="1" x14ac:dyDescent="0.35">
      <c r="A40" s="227" t="s">
        <v>44</v>
      </c>
      <c r="B40" s="228"/>
      <c r="C40" s="228"/>
      <c r="D40" s="228"/>
      <c r="E40" s="228"/>
      <c r="F40" s="228"/>
      <c r="G40" s="228"/>
      <c r="H40" s="238"/>
      <c r="I40" s="229"/>
      <c r="J40" s="229"/>
    </row>
    <row r="41" spans="1:11" s="9" customFormat="1" x14ac:dyDescent="0.25">
      <c r="A41" s="236"/>
      <c r="B41" s="236" t="s">
        <v>64</v>
      </c>
      <c r="C41" s="236">
        <f>'SBUX_Income Statement'!B16/'SBUX_Income Statement'!C16-1</f>
        <v>0.23567480227910531</v>
      </c>
      <c r="D41" s="236">
        <f>'SBUX_Income Statement'!C16/'SBUX_Income Statement'!D16-1</f>
        <v>-0.11281621813298326</v>
      </c>
      <c r="E41" s="236">
        <f>'SBUX_Income Statement'!D16/'SBUX_Income Statement'!E16-1</f>
        <v>7.2376059386314529E-2</v>
      </c>
      <c r="F41" s="236">
        <f>'SBUX_Income Statement'!E16/'SBUX_Income Statement'!F16-1</f>
        <v>0.10419979630853904</v>
      </c>
      <c r="G41" s="236">
        <f>'SBUX_Income Statement'!F16/'SBUX_Income Statement'!G16-1</f>
        <v>5.0239492585347101E-2</v>
      </c>
      <c r="H41" s="132"/>
      <c r="I41" s="133">
        <f t="shared" ref="I41:I42" si="12">(C41/G41)^(1/(YEAR($C$3)-YEAR($G$3)))-1</f>
        <v>0.47169216148155169</v>
      </c>
      <c r="J41" s="133">
        <f t="shared" ref="J41:J42" si="13">C41/G41-1</f>
        <v>3.6910267232245584</v>
      </c>
      <c r="K41" s="9">
        <f>AVERAGE(E41:G41)</f>
        <v>7.5605116093400218E-2</v>
      </c>
    </row>
    <row r="42" spans="1:11" s="9" customFormat="1" x14ac:dyDescent="0.25">
      <c r="B42" s="9" t="s">
        <v>65</v>
      </c>
      <c r="C42" s="236">
        <f>('SBUX_Income Statement'!B16-'SBUX_Income Statement'!B18)/('SBUX_Income Statement'!C16-'SBUX_Income Statement'!C18)-1</f>
        <v>0.28431849637555229</v>
      </c>
      <c r="D42" s="236">
        <f>('SBUX_Income Statement'!C16-'SBUX_Income Statement'!C18)/('SBUX_Income Statement'!D16-'SBUX_Income Statement'!D18)-1</f>
        <v>-0.1200442672272366</v>
      </c>
      <c r="E42" s="236">
        <f>('SBUX_Income Statement'!D16-'SBUX_Income Statement'!D18)/('SBUX_Income Statement'!E16-'SBUX_Income Statement'!E18)-1</f>
        <v>0.23628050876589901</v>
      </c>
      <c r="F42" s="236">
        <f>('SBUX_Income Statement'!E16-'SBUX_Income Statement'!E18)/('SBUX_Income Statement'!F16-'SBUX_Income Statement'!F18)-1</f>
        <v>8.9627376653731439E-2</v>
      </c>
      <c r="G42" s="236">
        <f>('SBUX_Income Statement'!F16-'SBUX_Income Statement'!F18)/('SBUX_Income Statement'!G16-'SBUX_Income Statement'!G18)-1</f>
        <v>4.2468449331500624E-2</v>
      </c>
      <c r="H42" s="239"/>
      <c r="I42" s="133">
        <f t="shared" si="12"/>
        <v>0.60855041662626652</v>
      </c>
      <c r="J42" s="133">
        <f t="shared" si="13"/>
        <v>5.6948169959354127</v>
      </c>
    </row>
    <row r="43" spans="1:11" s="9" customFormat="1" x14ac:dyDescent="0.25">
      <c r="B43" s="9" t="s">
        <v>66</v>
      </c>
      <c r="C43" s="236">
        <f>('SBUX_Income Statement'!B26+'SBUX_Income Statement'!B21)/('SBUX_Income Statement'!C26+'SBUX_Income Statement'!C21)-1</f>
        <v>1.1095222185098566</v>
      </c>
      <c r="D43" s="236">
        <f>('SBUX_Income Statement'!C26+'SBUX_Income Statement'!C21)/('SBUX_Income Statement'!D26+'SBUX_Income Statement'!D21)-1</f>
        <v>-0.45134917143276143</v>
      </c>
      <c r="E43" s="236">
        <f>('SBUX_Income Statement'!D26+'SBUX_Income Statement'!D21)/('SBUX_Income Statement'!E26+'SBUX_Income Statement'!E21)-1</f>
        <v>6.3329629846207824E-2</v>
      </c>
      <c r="F43" s="236">
        <f>('SBUX_Income Statement'!E26+'SBUX_Income Statement'!E21)/('SBUX_Income Statement'!F26+'SBUX_Income Statement'!F21)-1</f>
        <v>-3.0702862361788874E-3</v>
      </c>
      <c r="G43" s="236">
        <f>('SBUX_Income Statement'!F26+'SBUX_Income Statement'!F21)/('SBUX_Income Statement'!G26+'SBUX_Income Statement'!G21)-1</f>
        <v>-1.2808818677586542E-3</v>
      </c>
      <c r="H43" s="22"/>
      <c r="I43" s="133"/>
      <c r="J43" s="133"/>
    </row>
    <row r="44" spans="1:11" s="9" customFormat="1" x14ac:dyDescent="0.25">
      <c r="B44" s="9" t="s">
        <v>67</v>
      </c>
      <c r="C44" s="236">
        <f>'SBUX_Income Statement'!B26/'SBUX_Income Statement'!C26-1</f>
        <v>2.1197413075494653</v>
      </c>
      <c r="D44" s="236">
        <f>'SBUX_Income Statement'!C26/'SBUX_Income Statement'!D26-1</f>
        <v>-0.61703327693175414</v>
      </c>
      <c r="E44" s="236">
        <f>'SBUX_Income Statement'!D26/'SBUX_Income Statement'!E26-1</f>
        <v>5.0112018128910973E-2</v>
      </c>
      <c r="F44" s="236">
        <f>'SBUX_Income Statement'!E26/'SBUX_Income Statement'!F26-1</f>
        <v>-6.0802476600478883E-2</v>
      </c>
      <c r="G44" s="236">
        <f>'SBUX_Income Statement'!F26/'SBUX_Income Statement'!G26-1</f>
        <v>-8.9168004985737959E-3</v>
      </c>
      <c r="H44" s="240"/>
      <c r="I44" s="133"/>
      <c r="J44" s="133"/>
    </row>
    <row r="45" spans="1:11" s="9" customFormat="1" x14ac:dyDescent="0.25">
      <c r="B45" s="9" t="s">
        <v>68</v>
      </c>
      <c r="C45" s="236">
        <f>'SBUX_Income Statement'!B46/'SBUX_Income Statement'!C46-1</f>
        <v>3.523645373262954</v>
      </c>
      <c r="D45" s="236">
        <f>'SBUX_Income Statement'!C46/'SBUX_Income Statement'!D46-1</f>
        <v>-0.74208157368304062</v>
      </c>
      <c r="E45" s="236">
        <f>'SBUX_Income Statement'!D46/'SBUX_Income Statement'!E46-1</f>
        <v>-0.20341721443905891</v>
      </c>
      <c r="F45" s="236">
        <f>'SBUX_Income Statement'!E46/'SBUX_Income Statement'!F46-1</f>
        <v>0.5662980552570458</v>
      </c>
      <c r="G45" s="236">
        <f>'SBUX_Income Statement'!F46/'SBUX_Income Statement'!G46-1</f>
        <v>2.3778258863612178E-2</v>
      </c>
      <c r="H45" s="22"/>
      <c r="I45" s="133"/>
      <c r="J45" s="133"/>
    </row>
    <row r="46" spans="1:11" s="9" customFormat="1" ht="13.5" thickBot="1" x14ac:dyDescent="0.35">
      <c r="A46" s="233" t="s">
        <v>45</v>
      </c>
      <c r="B46" s="234"/>
      <c r="C46" s="234"/>
      <c r="D46" s="234"/>
      <c r="E46" s="234"/>
      <c r="F46" s="234"/>
      <c r="G46" s="234"/>
      <c r="H46" s="235"/>
      <c r="I46" s="229"/>
      <c r="J46" s="229"/>
    </row>
    <row r="47" spans="1:11" x14ac:dyDescent="0.25">
      <c r="B47" s="29" t="s">
        <v>69</v>
      </c>
      <c r="C47" s="232">
        <f>((SBUX_BS!B76+SBUX_BS!C76)/2)/((SBUX_BS!B89+SBUX_BS!C89)/2)</f>
        <v>1.2158059212962278</v>
      </c>
      <c r="D47" s="232">
        <f>((SBUX_BS!C76+SBUX_BS!D76)/2)/((SBUX_BS!C89+SBUX_BS!D89)/2)</f>
        <v>1.2887264091731301</v>
      </c>
      <c r="E47" s="232">
        <f>((SBUX_BS!D76+SBUX_BS!E76)/2)/((SBUX_BS!D89+SBUX_BS!E89)/2)</f>
        <v>1.11654371080782</v>
      </c>
      <c r="F47" s="232">
        <f>((SBUX_BS!E76+SBUX_BS!F76)/2)/((SBUX_BS!E89+SBUX_BS!F89)/2)</f>
        <v>0.82781787030787601</v>
      </c>
      <c r="G47" s="232">
        <f>((SBUX_BS!F76+SBUX_BS!G76)/2)/((SBUX_BS!F89+SBUX_BS!G89)/2)</f>
        <v>0.60454223891883985</v>
      </c>
      <c r="H47" s="24"/>
      <c r="I47" s="133">
        <f t="shared" ref="I47:I50" si="14">(C47/G47)^(1/(YEAR($C$3)-YEAR($G$3)))-1</f>
        <v>0.19085641643816031</v>
      </c>
      <c r="J47" s="133">
        <f t="shared" ref="J47:J50" si="15">C47/G47-1</f>
        <v>1.0111182362882842</v>
      </c>
    </row>
    <row r="48" spans="1:11" x14ac:dyDescent="0.25">
      <c r="B48" s="30" t="s">
        <v>46</v>
      </c>
      <c r="C48" s="232">
        <f>'SBUX_Income Statement'!B26/'SBUX_Income Statement'!B31</f>
        <v>10.370583226905065</v>
      </c>
      <c r="D48" s="232">
        <f>'SBUX_Income Statement'!C26/'SBUX_Income Statement'!C31</f>
        <v>3.5736842105263156</v>
      </c>
      <c r="E48" s="232">
        <f>'SBUX_Income Statement'!D26/'SBUX_Income Statement'!D31</f>
        <v>12.319939577039275</v>
      </c>
      <c r="F48" s="232">
        <f>'SBUX_Income Statement'!E26/'SBUX_Income Statement'!E31</f>
        <v>22.802701115678214</v>
      </c>
      <c r="G48" s="232">
        <f>'SBUX_Income Statement'!F26/'SBUX_Income Statement'!F31</f>
        <v>44.699459459459462</v>
      </c>
      <c r="H48" s="232">
        <f>'SBUX_Income Statement'!G26/'SBUX_Income Statement'!G31</f>
        <v>51.314883148831491</v>
      </c>
      <c r="I48" s="133">
        <f t="shared" si="14"/>
        <v>-0.30597481994099585</v>
      </c>
      <c r="J48" s="133">
        <f t="shared" si="15"/>
        <v>-0.76799309539054383</v>
      </c>
    </row>
    <row r="49" spans="2:10" x14ac:dyDescent="0.25">
      <c r="I49" s="133"/>
      <c r="J49" s="133"/>
    </row>
    <row r="50" spans="2:10" x14ac:dyDescent="0.25">
      <c r="B50" s="6" t="s">
        <v>374</v>
      </c>
      <c r="C50" s="304">
        <f>'SBUX_Income Statement'!B52</f>
        <v>3.5422184732180515</v>
      </c>
      <c r="D50" s="304">
        <f>'SBUX_Income Statement'!C52</f>
        <v>0.78549669994922999</v>
      </c>
      <c r="E50" s="304">
        <f>'SBUX_Income Statement'!D52</f>
        <v>2.9185857930587091</v>
      </c>
      <c r="F50" s="304">
        <f>'SBUX_Income Statement'!E52</f>
        <v>3.2398537214972034</v>
      </c>
      <c r="G50" s="304">
        <f>'SBUX_Income Statement'!F52</f>
        <v>1.9737940472117688</v>
      </c>
      <c r="H50" s="304">
        <f>'SBUX_Income Statement'!G52</f>
        <v>1.895271406470707</v>
      </c>
      <c r="I50" s="133">
        <f t="shared" si="14"/>
        <v>0.15742638170870871</v>
      </c>
      <c r="J50" s="133">
        <f t="shared" si="15"/>
        <v>0.79462415454230317</v>
      </c>
    </row>
    <row r="52" spans="2:10" ht="13" x14ac:dyDescent="0.3">
      <c r="D52" s="9"/>
      <c r="E52" s="9"/>
      <c r="F52" s="9"/>
      <c r="G52" s="9"/>
      <c r="H52" s="13"/>
      <c r="I52" s="132"/>
      <c r="J52" s="10"/>
    </row>
  </sheetData>
  <phoneticPr fontId="18" type="noConversion"/>
  <pageMargins left="0.75" right="0.75" top="1" bottom="1" header="0.5" footer="0.5"/>
  <pageSetup orientation="portrait" r:id="rId1"/>
  <headerFooter alignWithMargins="0"/>
  <ignoredErrors>
    <ignoredError sqref="D31:D32 C32:C34 E32:G34 D33:D35 I7:J7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O42"/>
  <sheetViews>
    <sheetView showGridLines="0" topLeftCell="G12" workbookViewId="0">
      <selection activeCell="J33" sqref="J33"/>
    </sheetView>
  </sheetViews>
  <sheetFormatPr defaultColWidth="8.7265625" defaultRowHeight="14" x14ac:dyDescent="0.3"/>
  <cols>
    <col min="1" max="1" width="37.453125" style="31" customWidth="1"/>
    <col min="2" max="2" width="10.81640625" style="31" bestFit="1" customWidth="1"/>
    <col min="3" max="3" width="12.1796875" style="31" customWidth="1"/>
    <col min="4" max="4" width="12.7265625" style="31" customWidth="1"/>
    <col min="5" max="5" width="17.7265625" style="31" customWidth="1"/>
    <col min="6" max="8" width="8.7265625" style="31"/>
    <col min="9" max="9" width="26.36328125" style="31" customWidth="1"/>
    <col min="10" max="10" width="15" style="31" customWidth="1"/>
    <col min="11" max="12" width="14.26953125" style="31" customWidth="1"/>
    <col min="13" max="13" width="27.6328125" style="31" customWidth="1"/>
    <col min="14" max="14" width="14.1796875" style="31" customWidth="1"/>
    <col min="15" max="15" width="12.453125" style="31" customWidth="1"/>
    <col min="16" max="16384" width="8.7265625" style="31"/>
  </cols>
  <sheetData>
    <row r="1" spans="1:15" ht="35.5" customHeight="1" x14ac:dyDescent="0.3">
      <c r="A1" s="35"/>
      <c r="B1" s="36" t="s">
        <v>76</v>
      </c>
      <c r="C1" s="36" t="s">
        <v>77</v>
      </c>
      <c r="D1" s="36" t="s">
        <v>78</v>
      </c>
      <c r="E1" s="36" t="s">
        <v>83</v>
      </c>
      <c r="I1" s="339"/>
      <c r="J1" s="340" t="s">
        <v>377</v>
      </c>
      <c r="K1" s="341" t="s">
        <v>392</v>
      </c>
      <c r="L1" s="312"/>
      <c r="M1" s="339"/>
      <c r="N1" s="340" t="str">
        <f>J1</f>
        <v>Starbucks</v>
      </c>
      <c r="O1" s="340" t="str">
        <f>K1</f>
        <v>McDonald's</v>
      </c>
    </row>
    <row r="2" spans="1:15" ht="15.65" customHeight="1" x14ac:dyDescent="0.3">
      <c r="A2" s="47" t="s">
        <v>115</v>
      </c>
      <c r="B2" s="48"/>
      <c r="C2" s="48"/>
      <c r="D2" s="48"/>
      <c r="E2" s="49"/>
      <c r="I2" s="321" t="s">
        <v>382</v>
      </c>
      <c r="J2" s="313">
        <f>('SBUX_Income Statement'!B26+'SBUX_Income Statement'!B21)/1000000</f>
        <v>6.3137999999999996</v>
      </c>
      <c r="K2" s="322">
        <v>11.22</v>
      </c>
      <c r="L2" s="313"/>
      <c r="M2" s="321" t="s">
        <v>393</v>
      </c>
      <c r="N2" s="308">
        <f>'SBUX_Income Statement'!B16/10^6</f>
        <v>29.060600000000001</v>
      </c>
      <c r="O2" s="335">
        <f>22527600/10^3</f>
        <v>22527.599999999999</v>
      </c>
    </row>
    <row r="3" spans="1:15" x14ac:dyDescent="0.3">
      <c r="A3" s="46" t="s">
        <v>113</v>
      </c>
      <c r="B3" s="42" t="s">
        <v>102</v>
      </c>
      <c r="C3" s="41" t="s">
        <v>102</v>
      </c>
      <c r="D3" s="41" t="s">
        <v>102</v>
      </c>
      <c r="E3" s="38"/>
      <c r="I3" s="323" t="s">
        <v>111</v>
      </c>
      <c r="J3" s="310"/>
      <c r="K3" s="324" t="s">
        <v>383</v>
      </c>
      <c r="L3" s="314"/>
      <c r="M3" s="323" t="s">
        <v>131</v>
      </c>
      <c r="N3" s="310"/>
      <c r="O3" s="349">
        <v>10.27</v>
      </c>
    </row>
    <row r="4" spans="1:15" x14ac:dyDescent="0.3">
      <c r="A4" s="44" t="s">
        <v>70</v>
      </c>
      <c r="B4" s="43">
        <v>201000</v>
      </c>
      <c r="C4" s="45">
        <v>184000</v>
      </c>
      <c r="D4" s="45">
        <v>268000</v>
      </c>
      <c r="E4" s="37"/>
      <c r="I4" s="417" t="s">
        <v>384</v>
      </c>
      <c r="J4" s="418"/>
      <c r="K4" s="419"/>
      <c r="L4" s="317"/>
      <c r="M4" s="417" t="s">
        <v>394</v>
      </c>
      <c r="N4" s="418"/>
      <c r="O4" s="419"/>
    </row>
    <row r="5" spans="1:15" ht="19.5" customHeight="1" x14ac:dyDescent="0.3">
      <c r="A5" s="47" t="s">
        <v>114</v>
      </c>
      <c r="B5" s="48"/>
      <c r="C5" s="48"/>
      <c r="D5" s="48"/>
      <c r="E5" s="49"/>
      <c r="I5" s="325" t="s">
        <v>385</v>
      </c>
      <c r="J5" s="424">
        <f>19.44*J2</f>
        <v>122.740272</v>
      </c>
      <c r="K5" s="425"/>
      <c r="L5" s="315"/>
      <c r="M5" s="325" t="s">
        <v>395</v>
      </c>
      <c r="N5" s="316"/>
      <c r="O5" s="350">
        <f>O3*N2</f>
        <v>298.45236199999999</v>
      </c>
    </row>
    <row r="6" spans="1:15" ht="28.5" customHeight="1" x14ac:dyDescent="0.3">
      <c r="A6" s="46" t="s">
        <v>106</v>
      </c>
      <c r="B6" s="54">
        <v>59434</v>
      </c>
      <c r="C6" s="55">
        <v>94507</v>
      </c>
      <c r="D6" s="55">
        <v>170756</v>
      </c>
      <c r="E6" s="38">
        <v>90708</v>
      </c>
      <c r="I6" s="330" t="s">
        <v>396</v>
      </c>
      <c r="J6" s="426">
        <f>SBUX_Bonds!C23/1000000000</f>
        <v>15.843260300000001</v>
      </c>
      <c r="K6" s="427"/>
      <c r="L6" s="311"/>
      <c r="M6" s="326" t="str">
        <f>I6</f>
        <v xml:space="preserve"> - Debt, $ billion</v>
      </c>
      <c r="N6" s="318"/>
      <c r="O6" s="351">
        <f>J6</f>
        <v>15.843260300000001</v>
      </c>
    </row>
    <row r="7" spans="1:15" x14ac:dyDescent="0.3">
      <c r="A7" s="46" t="s">
        <v>79</v>
      </c>
      <c r="B7" s="59">
        <v>0.05</v>
      </c>
      <c r="C7" s="60">
        <v>0.13</v>
      </c>
      <c r="D7" s="60">
        <v>0.11509999999999999</v>
      </c>
      <c r="E7" s="39">
        <v>4.1000000000000002E-2</v>
      </c>
      <c r="I7" s="330" t="s">
        <v>167</v>
      </c>
      <c r="J7" s="331"/>
      <c r="K7" s="332">
        <f>J5-J6</f>
        <v>106.89701170000001</v>
      </c>
      <c r="L7" s="316"/>
      <c r="M7" s="326" t="str">
        <f>I7</f>
        <v>Equity Value</v>
      </c>
      <c r="N7" s="318"/>
      <c r="O7" s="351">
        <f>O5-O6</f>
        <v>282.6091017</v>
      </c>
    </row>
    <row r="8" spans="1:15" x14ac:dyDescent="0.3">
      <c r="A8" s="46" t="s">
        <v>104</v>
      </c>
      <c r="B8" s="59">
        <v>0.44940000000000002</v>
      </c>
      <c r="C8" s="60">
        <v>0.68579999999999997</v>
      </c>
      <c r="D8" s="60">
        <v>0.53490000000000004</v>
      </c>
      <c r="E8" s="39"/>
      <c r="I8" s="333" t="s">
        <v>386</v>
      </c>
      <c r="J8" s="81"/>
      <c r="K8" s="327">
        <f>'Income Approach'!C32/1000000000</f>
        <v>1.1855</v>
      </c>
      <c r="L8" s="318"/>
      <c r="M8" s="333" t="s">
        <v>386</v>
      </c>
      <c r="N8" s="81"/>
      <c r="O8" s="327">
        <f>K8</f>
        <v>1.1855</v>
      </c>
    </row>
    <row r="9" spans="1:15" x14ac:dyDescent="0.3">
      <c r="A9" s="46" t="s">
        <v>107</v>
      </c>
      <c r="B9" s="54">
        <v>12598</v>
      </c>
      <c r="C9" s="55">
        <v>11731</v>
      </c>
      <c r="D9" s="55">
        <v>19370</v>
      </c>
      <c r="E9" s="38"/>
      <c r="I9" s="347" t="s">
        <v>127</v>
      </c>
      <c r="J9" s="329"/>
      <c r="K9" s="342">
        <f>K7/K8</f>
        <v>90.170402108814855</v>
      </c>
      <c r="L9" s="318"/>
      <c r="M9" s="328" t="s">
        <v>127</v>
      </c>
      <c r="N9" s="329"/>
      <c r="O9" s="342">
        <f>O7/O8</f>
        <v>238.38810771826235</v>
      </c>
    </row>
    <row r="10" spans="1:15" x14ac:dyDescent="0.3">
      <c r="A10" s="46" t="s">
        <v>103</v>
      </c>
      <c r="B10" s="59">
        <f>B9/B6</f>
        <v>0.21196621462462564</v>
      </c>
      <c r="C10" s="60">
        <f>C9/C6</f>
        <v>0.12412837144338515</v>
      </c>
      <c r="D10" s="60">
        <f>D9/D6</f>
        <v>0.11343671671859261</v>
      </c>
      <c r="E10" s="38"/>
      <c r="I10" s="81"/>
      <c r="J10" s="81"/>
      <c r="K10" s="81"/>
      <c r="L10" s="319"/>
      <c r="M10" s="81"/>
      <c r="N10" s="81"/>
      <c r="O10" s="81"/>
    </row>
    <row r="11" spans="1:15" x14ac:dyDescent="0.3">
      <c r="A11" s="46" t="s">
        <v>125</v>
      </c>
      <c r="B11" s="54">
        <v>18416</v>
      </c>
      <c r="C11" s="55">
        <v>27065</v>
      </c>
      <c r="D11" s="55">
        <v>52980</v>
      </c>
      <c r="E11" s="38"/>
      <c r="I11" s="81"/>
      <c r="J11" s="81"/>
      <c r="K11" s="81"/>
      <c r="L11" s="320"/>
      <c r="M11" s="81"/>
      <c r="N11" s="81"/>
      <c r="O11" s="81"/>
    </row>
    <row r="12" spans="1:15" x14ac:dyDescent="0.3">
      <c r="A12" s="46" t="s">
        <v>108</v>
      </c>
      <c r="B12" s="59">
        <f>B11/B6</f>
        <v>0.30985631120234208</v>
      </c>
      <c r="C12" s="60">
        <f>C11/C6</f>
        <v>0.28638090300189406</v>
      </c>
      <c r="D12" s="60">
        <f>D11/D6</f>
        <v>0.31026728196959402</v>
      </c>
      <c r="E12" s="38"/>
      <c r="I12" s="339"/>
      <c r="J12" s="340" t="str">
        <f>J1</f>
        <v>Starbucks</v>
      </c>
      <c r="K12" s="341" t="str">
        <f>K1</f>
        <v>McDonald's</v>
      </c>
      <c r="L12" s="81"/>
      <c r="M12" s="388" t="s">
        <v>391</v>
      </c>
      <c r="N12" s="389"/>
      <c r="O12" s="390" t="s">
        <v>126</v>
      </c>
    </row>
    <row r="13" spans="1:15" x14ac:dyDescent="0.3">
      <c r="A13" s="46" t="s">
        <v>121</v>
      </c>
      <c r="B13" s="59">
        <v>0.25</v>
      </c>
      <c r="C13" s="60">
        <v>0.20100000000000001</v>
      </c>
      <c r="D13" s="60">
        <v>0.185</v>
      </c>
      <c r="E13" s="38"/>
      <c r="I13" s="321" t="s">
        <v>382</v>
      </c>
      <c r="J13" s="308">
        <f>J2</f>
        <v>6.3137999999999996</v>
      </c>
      <c r="K13" s="335">
        <f>K2</f>
        <v>11.22</v>
      </c>
      <c r="L13" s="81"/>
      <c r="M13" s="345" t="s">
        <v>132</v>
      </c>
      <c r="N13" s="352"/>
      <c r="O13" s="350">
        <f>K26</f>
        <v>91.282970054829192</v>
      </c>
    </row>
    <row r="14" spans="1:15" x14ac:dyDescent="0.3">
      <c r="A14" s="32" t="s">
        <v>88</v>
      </c>
      <c r="B14" s="61">
        <v>0.13</v>
      </c>
      <c r="C14" s="62">
        <v>5.3999999999999999E-2</v>
      </c>
      <c r="D14" s="62">
        <v>0.04</v>
      </c>
      <c r="E14" s="32"/>
      <c r="I14" s="336" t="s">
        <v>388</v>
      </c>
      <c r="J14" s="308"/>
      <c r="K14" s="322">
        <v>250.01</v>
      </c>
      <c r="L14" s="312"/>
      <c r="M14" s="345" t="s">
        <v>133</v>
      </c>
      <c r="N14" s="353"/>
      <c r="O14" s="356">
        <f>K9</f>
        <v>90.170402108814855</v>
      </c>
    </row>
    <row r="15" spans="1:15" ht="16.5" customHeight="1" x14ac:dyDescent="0.3">
      <c r="A15" s="32" t="s">
        <v>89</v>
      </c>
      <c r="B15" s="61">
        <v>0.25800000000000001</v>
      </c>
      <c r="C15" s="62">
        <v>0.16400000000000001</v>
      </c>
      <c r="D15" s="62">
        <v>0.11899999999999999</v>
      </c>
      <c r="E15" s="32"/>
      <c r="I15" s="321" t="s">
        <v>387</v>
      </c>
      <c r="J15" s="334">
        <f>K8</f>
        <v>1.1855</v>
      </c>
      <c r="K15" s="335">
        <f>(186819000000/K14)/10^9</f>
        <v>0.74724611015559372</v>
      </c>
      <c r="L15" s="308"/>
      <c r="M15" s="345" t="s">
        <v>134</v>
      </c>
      <c r="N15" s="353"/>
      <c r="O15" s="356">
        <f>K18</f>
        <v>105.12814636363635</v>
      </c>
    </row>
    <row r="16" spans="1:15" x14ac:dyDescent="0.3">
      <c r="A16" s="46" t="s">
        <v>105</v>
      </c>
      <c r="B16" s="54">
        <v>1799.7</v>
      </c>
      <c r="C16" s="55">
        <v>4538.8</v>
      </c>
      <c r="D16" s="55">
        <v>7298.1</v>
      </c>
      <c r="E16" s="56"/>
      <c r="I16" s="323" t="s">
        <v>130</v>
      </c>
      <c r="J16" s="310"/>
      <c r="K16" s="337">
        <f>K14/(K13/K15)</f>
        <v>16.650534759358287</v>
      </c>
      <c r="L16" s="308"/>
      <c r="M16" s="345" t="s">
        <v>135</v>
      </c>
      <c r="N16" s="353"/>
      <c r="O16" s="356">
        <f>O9</f>
        <v>238.38810771826235</v>
      </c>
    </row>
    <row r="17" spans="1:15" x14ac:dyDescent="0.3">
      <c r="A17" s="46" t="s">
        <v>81</v>
      </c>
      <c r="B17" s="54">
        <v>8.92</v>
      </c>
      <c r="C17" s="55">
        <v>2.64</v>
      </c>
      <c r="D17" s="55">
        <v>2.65</v>
      </c>
      <c r="E17" s="40"/>
      <c r="I17" s="417" t="s">
        <v>390</v>
      </c>
      <c r="J17" s="418"/>
      <c r="K17" s="419"/>
      <c r="L17" s="309"/>
      <c r="M17" s="420" t="s">
        <v>136</v>
      </c>
      <c r="N17" s="354"/>
      <c r="O17" s="422">
        <f>AVERAGE(O13:O16)</f>
        <v>131.24240656138568</v>
      </c>
    </row>
    <row r="18" spans="1:15" ht="15" customHeight="1" x14ac:dyDescent="0.3">
      <c r="A18" s="47" t="s">
        <v>116</v>
      </c>
      <c r="B18" s="48"/>
      <c r="C18" s="48"/>
      <c r="D18" s="48"/>
      <c r="E18" s="49"/>
      <c r="I18" s="348" t="s">
        <v>391</v>
      </c>
      <c r="J18" s="338"/>
      <c r="K18" s="343">
        <f>K16*J13</f>
        <v>105.12814636363635</v>
      </c>
      <c r="L18" s="317"/>
      <c r="M18" s="421"/>
      <c r="N18" s="355"/>
      <c r="O18" s="423"/>
    </row>
    <row r="19" spans="1:15" ht="15" customHeight="1" x14ac:dyDescent="0.3">
      <c r="A19" s="50" t="s">
        <v>38</v>
      </c>
      <c r="B19" s="63">
        <v>1.2</v>
      </c>
      <c r="C19" s="64">
        <v>0.79</v>
      </c>
      <c r="D19" s="64">
        <v>1.03</v>
      </c>
      <c r="E19" s="51"/>
      <c r="I19" s="81"/>
      <c r="J19" s="81"/>
      <c r="K19" s="81"/>
      <c r="L19" s="310"/>
      <c r="M19" s="81"/>
      <c r="N19" s="81"/>
      <c r="O19" s="81"/>
    </row>
    <row r="20" spans="1:15" x14ac:dyDescent="0.3">
      <c r="A20" s="32" t="s">
        <v>39</v>
      </c>
      <c r="B20" s="65">
        <v>0.96</v>
      </c>
      <c r="C20" s="66">
        <v>0.54</v>
      </c>
      <c r="D20" s="66">
        <v>0.76</v>
      </c>
      <c r="E20" s="52"/>
      <c r="I20" s="81"/>
      <c r="J20" s="81"/>
      <c r="K20" s="81"/>
      <c r="L20" s="311"/>
      <c r="M20" s="81"/>
      <c r="N20" s="81"/>
      <c r="O20" s="81"/>
    </row>
    <row r="21" spans="1:15" ht="15" customHeight="1" x14ac:dyDescent="0.3">
      <c r="A21" s="47" t="s">
        <v>117</v>
      </c>
      <c r="B21" s="48"/>
      <c r="C21" s="48"/>
      <c r="D21" s="48"/>
      <c r="E21" s="49"/>
      <c r="I21" s="339"/>
      <c r="J21" s="340" t="str">
        <f>J12</f>
        <v>Starbucks</v>
      </c>
      <c r="K21" s="341" t="str">
        <f>K12</f>
        <v>McDonald's</v>
      </c>
      <c r="L21" s="306"/>
      <c r="M21" s="81"/>
      <c r="N21" s="81"/>
      <c r="O21" s="81"/>
    </row>
    <row r="22" spans="1:15" x14ac:dyDescent="0.3">
      <c r="A22" s="44" t="s">
        <v>118</v>
      </c>
      <c r="B22" s="65">
        <v>55</v>
      </c>
      <c r="C22" s="66">
        <f>365/9.62</f>
        <v>37.941787941787943</v>
      </c>
      <c r="D22" s="66">
        <v>47.3</v>
      </c>
      <c r="E22" s="52"/>
      <c r="I22" s="344" t="s">
        <v>128</v>
      </c>
      <c r="J22" s="308"/>
      <c r="K22" s="346" t="s">
        <v>389</v>
      </c>
      <c r="L22" s="81"/>
      <c r="M22" s="81"/>
      <c r="N22" s="81"/>
      <c r="O22" s="81"/>
    </row>
    <row r="23" spans="1:15" x14ac:dyDescent="0.3">
      <c r="A23" s="44" t="s">
        <v>119</v>
      </c>
      <c r="B23" s="57">
        <v>15.4</v>
      </c>
      <c r="C23" s="58" t="s">
        <v>120</v>
      </c>
      <c r="D23" s="58">
        <v>11.5</v>
      </c>
      <c r="E23" s="52"/>
      <c r="I23" s="344" t="s">
        <v>129</v>
      </c>
      <c r="J23" s="313">
        <f>'Historical Ratios'!C50</f>
        <v>3.5422184732180515</v>
      </c>
      <c r="K23" s="335"/>
      <c r="L23" s="81"/>
      <c r="M23" s="81"/>
      <c r="N23" s="81"/>
      <c r="O23" s="81"/>
    </row>
    <row r="24" spans="1:15" x14ac:dyDescent="0.3">
      <c r="A24" s="32" t="s">
        <v>90</v>
      </c>
      <c r="B24" s="65">
        <v>0.61</v>
      </c>
      <c r="C24" s="66">
        <v>0.4</v>
      </c>
      <c r="D24" s="66">
        <v>0.3</v>
      </c>
      <c r="E24" s="37"/>
      <c r="I24" s="323"/>
      <c r="J24" s="310"/>
      <c r="K24" s="337"/>
      <c r="L24" s="312"/>
      <c r="M24" s="81"/>
      <c r="N24" s="81"/>
      <c r="O24" s="81"/>
    </row>
    <row r="25" spans="1:15" x14ac:dyDescent="0.3">
      <c r="A25" s="44" t="s">
        <v>122</v>
      </c>
      <c r="B25" s="65">
        <v>-1.86</v>
      </c>
      <c r="C25" s="66" t="s">
        <v>120</v>
      </c>
      <c r="D25" s="66">
        <v>-58.7</v>
      </c>
      <c r="E25" s="37"/>
      <c r="I25" s="417" t="s">
        <v>439</v>
      </c>
      <c r="J25" s="418"/>
      <c r="K25" s="419"/>
      <c r="L25" s="307"/>
      <c r="M25" s="81"/>
      <c r="N25" s="81"/>
      <c r="O25" s="81"/>
    </row>
    <row r="26" spans="1:15" ht="15" customHeight="1" x14ac:dyDescent="0.3">
      <c r="A26" s="47" t="s">
        <v>123</v>
      </c>
      <c r="B26" s="48"/>
      <c r="C26" s="48"/>
      <c r="D26" s="48"/>
      <c r="E26" s="49"/>
      <c r="I26" s="348" t="s">
        <v>391</v>
      </c>
      <c r="J26" s="338"/>
      <c r="K26" s="343">
        <f>J23*25.77</f>
        <v>91.282970054829192</v>
      </c>
      <c r="L26" s="308"/>
      <c r="M26" s="81"/>
      <c r="N26" s="81"/>
      <c r="O26" s="81"/>
    </row>
    <row r="27" spans="1:15" x14ac:dyDescent="0.3">
      <c r="A27" s="46" t="s">
        <v>109</v>
      </c>
      <c r="B27" s="59">
        <v>0.35070000000000001</v>
      </c>
      <c r="C27" s="60">
        <v>0.59589999999999999</v>
      </c>
      <c r="D27" s="60">
        <v>0.50190000000000001</v>
      </c>
      <c r="E27" s="53"/>
      <c r="L27" s="309"/>
      <c r="M27" s="81"/>
      <c r="N27" s="81"/>
      <c r="O27" s="81"/>
    </row>
    <row r="28" spans="1:15" x14ac:dyDescent="0.3">
      <c r="A28" s="32" t="s">
        <v>69</v>
      </c>
      <c r="B28" s="65">
        <v>0.46</v>
      </c>
      <c r="C28" s="66">
        <v>0.70699999999999996</v>
      </c>
      <c r="D28" s="66">
        <v>0.63500000000000001</v>
      </c>
      <c r="E28" s="37"/>
      <c r="L28" s="317"/>
      <c r="M28" s="81"/>
      <c r="N28" s="81"/>
      <c r="O28" s="81"/>
    </row>
    <row r="29" spans="1:15" x14ac:dyDescent="0.3">
      <c r="A29" s="32" t="s">
        <v>91</v>
      </c>
      <c r="B29" s="67">
        <v>0.35</v>
      </c>
      <c r="C29" s="68">
        <v>1.454</v>
      </c>
      <c r="D29" s="68">
        <v>0.871</v>
      </c>
      <c r="E29" s="32"/>
      <c r="L29" s="310"/>
      <c r="M29" s="81"/>
      <c r="N29" s="81"/>
      <c r="O29" s="81"/>
    </row>
    <row r="30" spans="1:15" ht="15" customHeight="1" x14ac:dyDescent="0.3">
      <c r="A30" s="47" t="s">
        <v>124</v>
      </c>
      <c r="B30" s="48"/>
      <c r="C30" s="48"/>
      <c r="D30" s="48"/>
      <c r="E30" s="49"/>
      <c r="L30" s="311"/>
    </row>
    <row r="31" spans="1:15" x14ac:dyDescent="0.3">
      <c r="A31" s="33" t="s">
        <v>80</v>
      </c>
      <c r="B31" s="59">
        <v>0.188</v>
      </c>
      <c r="C31" s="60">
        <v>0.11799999999999999</v>
      </c>
      <c r="D31" s="60">
        <v>0.19700000000000001</v>
      </c>
      <c r="E31" s="39"/>
      <c r="L31" s="306"/>
    </row>
    <row r="32" spans="1:15" x14ac:dyDescent="0.3">
      <c r="A32" s="34" t="s">
        <v>85</v>
      </c>
      <c r="B32" s="54">
        <v>17063</v>
      </c>
      <c r="C32" s="55">
        <v>10686.1</v>
      </c>
      <c r="D32" s="55">
        <v>17855.3</v>
      </c>
      <c r="E32" s="38"/>
    </row>
    <row r="33" spans="1:15" x14ac:dyDescent="0.3">
      <c r="A33" s="32" t="s">
        <v>86</v>
      </c>
      <c r="B33" s="69">
        <v>3.2000000000000001E-2</v>
      </c>
      <c r="C33" s="70">
        <v>0.11600000000000001</v>
      </c>
      <c r="D33" s="70">
        <v>5.8000000000000003E-2</v>
      </c>
      <c r="E33" s="37"/>
    </row>
    <row r="34" spans="1:15" x14ac:dyDescent="0.3">
      <c r="A34" s="32" t="s">
        <v>87</v>
      </c>
      <c r="B34" s="77">
        <v>5126</v>
      </c>
      <c r="C34" s="78">
        <v>4140.3999999999996</v>
      </c>
      <c r="D34" s="78">
        <v>6752</v>
      </c>
      <c r="E34" s="37"/>
    </row>
    <row r="35" spans="1:15" x14ac:dyDescent="0.3">
      <c r="A35" s="76" t="s">
        <v>137</v>
      </c>
      <c r="B35" s="79">
        <v>1343</v>
      </c>
      <c r="C35" s="80">
        <v>21.99</v>
      </c>
      <c r="D35" s="80">
        <v>3.7</v>
      </c>
      <c r="E35" s="37"/>
    </row>
    <row r="36" spans="1:15" x14ac:dyDescent="0.3">
      <c r="A36" s="46" t="s">
        <v>110</v>
      </c>
      <c r="B36" s="54" t="s">
        <v>93</v>
      </c>
      <c r="C36" s="55" t="s">
        <v>94</v>
      </c>
      <c r="D36" s="55" t="s">
        <v>95</v>
      </c>
      <c r="E36" s="55" t="s">
        <v>92</v>
      </c>
      <c r="M36" s="75"/>
      <c r="N36" s="75"/>
      <c r="O36" s="75"/>
    </row>
    <row r="37" spans="1:15" x14ac:dyDescent="0.3">
      <c r="A37" s="46" t="s">
        <v>112</v>
      </c>
      <c r="B37" s="54"/>
      <c r="C37" s="55"/>
      <c r="D37" s="55"/>
      <c r="E37" s="56"/>
      <c r="I37" s="75"/>
      <c r="J37" s="75"/>
      <c r="K37" s="75"/>
    </row>
    <row r="38" spans="1:15" s="75" customFormat="1" x14ac:dyDescent="0.3">
      <c r="A38" s="71" t="s">
        <v>111</v>
      </c>
      <c r="B38" s="72" t="s">
        <v>100</v>
      </c>
      <c r="C38" s="73" t="s">
        <v>99</v>
      </c>
      <c r="D38" s="73" t="s">
        <v>97</v>
      </c>
      <c r="E38" s="74"/>
      <c r="I38" s="31"/>
      <c r="J38" s="31"/>
      <c r="K38" s="31"/>
      <c r="L38" s="31"/>
      <c r="M38" s="31"/>
      <c r="N38" s="31"/>
      <c r="O38" s="31"/>
    </row>
    <row r="39" spans="1:15" x14ac:dyDescent="0.3">
      <c r="A39" s="34" t="s">
        <v>84</v>
      </c>
      <c r="B39" s="54" t="s">
        <v>101</v>
      </c>
      <c r="C39" s="55" t="s">
        <v>98</v>
      </c>
      <c r="D39" s="55" t="s">
        <v>96</v>
      </c>
      <c r="E39" s="56"/>
    </row>
    <row r="40" spans="1:15" x14ac:dyDescent="0.3">
      <c r="A40" s="32"/>
      <c r="B40" s="69">
        <v>-4.2000000000000003E-2</v>
      </c>
      <c r="C40" s="70">
        <v>0.128</v>
      </c>
      <c r="D40" s="70">
        <v>7.6999999999999999E-2</v>
      </c>
      <c r="E40" s="37"/>
    </row>
    <row r="41" spans="1:15" x14ac:dyDescent="0.3">
      <c r="B41" s="31">
        <f>B32/B6</f>
        <v>0.28709156375138811</v>
      </c>
    </row>
    <row r="42" spans="1:15" x14ac:dyDescent="0.3">
      <c r="L42" s="75"/>
    </row>
  </sheetData>
  <mergeCells count="8">
    <mergeCell ref="I25:K25"/>
    <mergeCell ref="M4:O4"/>
    <mergeCell ref="M17:M18"/>
    <mergeCell ref="O17:O18"/>
    <mergeCell ref="I4:K4"/>
    <mergeCell ref="J5:K5"/>
    <mergeCell ref="J6:K6"/>
    <mergeCell ref="I17:K1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Q23"/>
  <sheetViews>
    <sheetView topLeftCell="F1" workbookViewId="0">
      <selection activeCell="C23" sqref="C23"/>
    </sheetView>
  </sheetViews>
  <sheetFormatPr defaultRowHeight="14.5" x14ac:dyDescent="0.35"/>
  <cols>
    <col min="1" max="1" width="15" customWidth="1"/>
    <col min="2" max="2" width="10.453125" bestFit="1" customWidth="1"/>
    <col min="3" max="3" width="19" bestFit="1" customWidth="1"/>
    <col min="5" max="5" width="13.1796875" bestFit="1" customWidth="1"/>
    <col min="6" max="6" width="10.1796875" bestFit="1" customWidth="1"/>
    <col min="8" max="8" width="11.1796875" bestFit="1" customWidth="1"/>
    <col min="9" max="9" width="10.26953125" bestFit="1" customWidth="1"/>
    <col min="10" max="10" width="10.26953125" customWidth="1"/>
    <col min="11" max="11" width="16.26953125" bestFit="1" customWidth="1"/>
    <col min="12" max="12" width="20.26953125" bestFit="1" customWidth="1"/>
    <col min="13" max="13" width="15" customWidth="1"/>
    <col min="15" max="15" width="16.1796875" bestFit="1" customWidth="1"/>
    <col min="16" max="16" width="11.54296875" customWidth="1"/>
    <col min="17" max="17" width="9.7265625" customWidth="1"/>
  </cols>
  <sheetData>
    <row r="2" spans="1:17" ht="15" thickBot="1" x14ac:dyDescent="0.4">
      <c r="A2" s="358"/>
      <c r="B2" s="359" t="s">
        <v>356</v>
      </c>
      <c r="C2" s="359" t="s">
        <v>343</v>
      </c>
      <c r="D2" s="359" t="s">
        <v>344</v>
      </c>
      <c r="E2" s="359"/>
      <c r="F2" s="359" t="s">
        <v>345</v>
      </c>
      <c r="G2" s="359"/>
      <c r="H2" s="359" t="s">
        <v>354</v>
      </c>
      <c r="I2" s="359" t="s">
        <v>346</v>
      </c>
      <c r="J2" s="359" t="s">
        <v>355</v>
      </c>
      <c r="K2" s="359" t="s">
        <v>359</v>
      </c>
      <c r="L2" s="359" t="s">
        <v>362</v>
      </c>
      <c r="M2" s="359" t="s">
        <v>360</v>
      </c>
      <c r="N2" s="359"/>
      <c r="O2" s="359" t="s">
        <v>357</v>
      </c>
      <c r="P2" s="359" t="s">
        <v>358</v>
      </c>
      <c r="Q2" s="358"/>
    </row>
    <row r="3" spans="1:17" x14ac:dyDescent="0.35">
      <c r="A3" s="270" t="s">
        <v>347</v>
      </c>
      <c r="B3" s="271">
        <v>2.5499999999999998</v>
      </c>
      <c r="C3" s="272">
        <v>47802</v>
      </c>
      <c r="D3" s="270" t="s">
        <v>348</v>
      </c>
      <c r="E3" s="270" t="s">
        <v>349</v>
      </c>
      <c r="F3" s="272">
        <v>43955</v>
      </c>
      <c r="G3" s="270" t="s">
        <v>3</v>
      </c>
      <c r="H3" s="271">
        <v>101.258</v>
      </c>
      <c r="I3" s="273">
        <f>H3*1000/100</f>
        <v>1012.58</v>
      </c>
      <c r="J3" s="273">
        <v>1000</v>
      </c>
      <c r="K3" s="275">
        <v>1250000000</v>
      </c>
      <c r="L3" s="275">
        <f>K3*(H3/100)</f>
        <v>1265725000</v>
      </c>
      <c r="M3" s="276">
        <f>K3/$K$22</f>
        <v>8.4709007617033968E-2</v>
      </c>
      <c r="N3" s="270" t="s">
        <v>350</v>
      </c>
      <c r="O3" s="274">
        <f ca="1">(C3-TODAY())/365</f>
        <v>7.7397260273972606</v>
      </c>
      <c r="P3" s="134">
        <f ca="1">RATE(O3*2,(B3/100)*J3/2,-I3,J3)*2</f>
        <v>2.371132670677013E-2</v>
      </c>
      <c r="Q3" s="134">
        <f ca="1">M3*P3</f>
        <v>2.0085629546137719E-3</v>
      </c>
    </row>
    <row r="4" spans="1:17" x14ac:dyDescent="0.35">
      <c r="A4" s="270" t="s">
        <v>347</v>
      </c>
      <c r="B4" s="271">
        <v>2</v>
      </c>
      <c r="C4" s="272">
        <v>46458</v>
      </c>
      <c r="D4" s="270" t="s">
        <v>348</v>
      </c>
      <c r="E4" s="270" t="s">
        <v>349</v>
      </c>
      <c r="F4" s="272">
        <v>43900</v>
      </c>
      <c r="G4" s="270" t="s">
        <v>3</v>
      </c>
      <c r="H4" s="271">
        <v>100.4</v>
      </c>
      <c r="I4" s="273">
        <f t="shared" ref="I4:I21" si="0">H4*1000/100</f>
        <v>1004</v>
      </c>
      <c r="J4" s="273">
        <v>1000</v>
      </c>
      <c r="K4" s="275">
        <v>500000000</v>
      </c>
      <c r="L4" s="275">
        <f t="shared" ref="L4:L21" si="1">K4*(H4/100)</f>
        <v>502000000</v>
      </c>
      <c r="M4" s="276">
        <f t="shared" ref="M4:M22" si="2">K4/$K$22</f>
        <v>3.3883603046813586E-2</v>
      </c>
      <c r="N4" s="270" t="s">
        <v>350</v>
      </c>
      <c r="O4" s="274">
        <f t="shared" ref="O4:O21" ca="1" si="3">(C4-TODAY())/365</f>
        <v>4.0575342465753428</v>
      </c>
      <c r="P4" s="134">
        <f t="shared" ref="P4:P21" ca="1" si="4">RATE(O4*2,(B4/100)*J4/2,-I4,J4)*2</f>
        <v>1.8971084846362798E-2</v>
      </c>
      <c r="Q4" s="134">
        <f t="shared" ref="Q4:Q21" ca="1" si="5">M4*P4</f>
        <v>6.4280870830157758E-4</v>
      </c>
    </row>
    <row r="5" spans="1:17" x14ac:dyDescent="0.35">
      <c r="A5" s="270" t="s">
        <v>347</v>
      </c>
      <c r="B5" s="271">
        <v>3.5</v>
      </c>
      <c r="C5" s="272">
        <v>55107</v>
      </c>
      <c r="D5" s="270" t="s">
        <v>348</v>
      </c>
      <c r="E5" s="270" t="s">
        <v>349</v>
      </c>
      <c r="F5" s="272">
        <v>43955</v>
      </c>
      <c r="G5" s="270" t="s">
        <v>3</v>
      </c>
      <c r="H5" s="271">
        <v>106.015</v>
      </c>
      <c r="I5" s="273">
        <f t="shared" si="0"/>
        <v>1060.1500000000001</v>
      </c>
      <c r="J5" s="273">
        <v>1000</v>
      </c>
      <c r="K5" s="275">
        <v>1250000000</v>
      </c>
      <c r="L5" s="275">
        <f t="shared" si="1"/>
        <v>1325187500</v>
      </c>
      <c r="M5" s="276">
        <f t="shared" si="2"/>
        <v>8.4709007617033968E-2</v>
      </c>
      <c r="N5" s="270" t="s">
        <v>350</v>
      </c>
      <c r="O5" s="274">
        <f t="shared" ca="1" si="3"/>
        <v>27.753424657534246</v>
      </c>
      <c r="P5" s="134">
        <f t="shared" ca="1" si="4"/>
        <v>3.1724273939392984E-2</v>
      </c>
      <c r="Q5" s="134">
        <f t="shared" ca="1" si="5"/>
        <v>2.6873317627769126E-3</v>
      </c>
    </row>
    <row r="6" spans="1:17" x14ac:dyDescent="0.35">
      <c r="A6" s="270" t="s">
        <v>347</v>
      </c>
      <c r="B6" s="271">
        <v>3.8</v>
      </c>
      <c r="C6" s="272">
        <v>45884</v>
      </c>
      <c r="D6" s="270" t="s">
        <v>348</v>
      </c>
      <c r="E6" s="270" t="s">
        <v>349</v>
      </c>
      <c r="F6" s="272">
        <v>43320</v>
      </c>
      <c r="G6" s="270" t="s">
        <v>3</v>
      </c>
      <c r="H6" s="271">
        <v>107.988</v>
      </c>
      <c r="I6" s="273">
        <f t="shared" si="0"/>
        <v>1079.8800000000001</v>
      </c>
      <c r="J6" s="273">
        <v>1000</v>
      </c>
      <c r="K6" s="275">
        <v>1250000000</v>
      </c>
      <c r="L6" s="275">
        <f t="shared" si="1"/>
        <v>1349850000</v>
      </c>
      <c r="M6" s="276">
        <f t="shared" si="2"/>
        <v>8.4709007617033968E-2</v>
      </c>
      <c r="N6" s="270" t="s">
        <v>350</v>
      </c>
      <c r="O6" s="274">
        <f t="shared" ca="1" si="3"/>
        <v>2.484931506849315</v>
      </c>
      <c r="P6" s="134">
        <f t="shared" ca="1" si="4"/>
        <v>5.5857651280130866E-3</v>
      </c>
      <c r="Q6" s="134">
        <f t="shared" ca="1" si="5"/>
        <v>4.7316462077582325E-4</v>
      </c>
    </row>
    <row r="7" spans="1:17" x14ac:dyDescent="0.35">
      <c r="A7" s="270" t="s">
        <v>347</v>
      </c>
      <c r="B7" s="271">
        <v>2.25</v>
      </c>
      <c r="C7" s="272">
        <v>47554</v>
      </c>
      <c r="D7" s="270" t="s">
        <v>348</v>
      </c>
      <c r="E7" s="270" t="s">
        <v>349</v>
      </c>
      <c r="F7" s="272">
        <v>43900</v>
      </c>
      <c r="G7" s="270" t="s">
        <v>3</v>
      </c>
      <c r="H7" s="271">
        <v>99.444999999999993</v>
      </c>
      <c r="I7" s="273">
        <f t="shared" si="0"/>
        <v>994.45</v>
      </c>
      <c r="J7" s="273">
        <v>1000</v>
      </c>
      <c r="K7" s="275">
        <v>750000000</v>
      </c>
      <c r="L7" s="275">
        <f t="shared" si="1"/>
        <v>745837500</v>
      </c>
      <c r="M7" s="276">
        <f t="shared" si="2"/>
        <v>5.0825404570220375E-2</v>
      </c>
      <c r="N7" s="270" t="s">
        <v>350</v>
      </c>
      <c r="O7" s="274">
        <f t="shared" ca="1" si="3"/>
        <v>7.0602739726027401</v>
      </c>
      <c r="P7" s="134">
        <f t="shared" ca="1" si="4"/>
        <v>2.335725654619402E-2</v>
      </c>
      <c r="Q7" s="134">
        <f t="shared" ca="1" si="5"/>
        <v>1.1871420136107392E-3</v>
      </c>
    </row>
    <row r="8" spans="1:17" x14ac:dyDescent="0.35">
      <c r="A8" s="270" t="s">
        <v>347</v>
      </c>
      <c r="B8" s="271">
        <v>3.55</v>
      </c>
      <c r="C8" s="272">
        <v>47345</v>
      </c>
      <c r="D8" s="270" t="s">
        <v>348</v>
      </c>
      <c r="E8" s="270" t="s">
        <v>349</v>
      </c>
      <c r="F8" s="272">
        <v>43587</v>
      </c>
      <c r="G8" s="270" t="s">
        <v>3</v>
      </c>
      <c r="H8" s="271">
        <v>109.178</v>
      </c>
      <c r="I8" s="273">
        <f t="shared" si="0"/>
        <v>1091.78</v>
      </c>
      <c r="J8" s="273">
        <v>1000</v>
      </c>
      <c r="K8" s="275">
        <v>1000000000</v>
      </c>
      <c r="L8" s="275">
        <f t="shared" si="1"/>
        <v>1091780000</v>
      </c>
      <c r="M8" s="276">
        <f t="shared" si="2"/>
        <v>6.7767206093627172E-2</v>
      </c>
      <c r="N8" s="270" t="s">
        <v>350</v>
      </c>
      <c r="O8" s="274">
        <f t="shared" ca="1" si="3"/>
        <v>6.4876712328767123</v>
      </c>
      <c r="P8" s="134">
        <f t="shared" ca="1" si="4"/>
        <v>2.0328140128831551E-2</v>
      </c>
      <c r="Q8" s="134">
        <f t="shared" ca="1" si="5"/>
        <v>1.3775812616106606E-3</v>
      </c>
    </row>
    <row r="9" spans="1:17" x14ac:dyDescent="0.35">
      <c r="A9" s="270" t="s">
        <v>347</v>
      </c>
      <c r="B9" s="271">
        <v>2.4500000000000002</v>
      </c>
      <c r="C9" s="272">
        <v>46188</v>
      </c>
      <c r="D9" s="270" t="s">
        <v>348</v>
      </c>
      <c r="E9" s="270" t="s">
        <v>349</v>
      </c>
      <c r="F9" s="272">
        <v>42501</v>
      </c>
      <c r="G9" s="270" t="s">
        <v>3</v>
      </c>
      <c r="H9" s="271">
        <v>103.773</v>
      </c>
      <c r="I9" s="273">
        <f t="shared" si="0"/>
        <v>1037.73</v>
      </c>
      <c r="J9" s="273">
        <v>1000</v>
      </c>
      <c r="K9" s="275">
        <v>500000000</v>
      </c>
      <c r="L9" s="275">
        <f t="shared" si="1"/>
        <v>518865000</v>
      </c>
      <c r="M9" s="276">
        <f t="shared" si="2"/>
        <v>3.3883603046813586E-2</v>
      </c>
      <c r="N9" s="270" t="s">
        <v>350</v>
      </c>
      <c r="O9" s="274">
        <f t="shared" ca="1" si="3"/>
        <v>3.3178082191780822</v>
      </c>
      <c r="P9" s="134">
        <f t="shared" ca="1" si="4"/>
        <v>1.2847464731445759E-2</v>
      </c>
      <c r="Q9" s="134">
        <f t="shared" ca="1" si="5"/>
        <v>4.353183951182456E-4</v>
      </c>
    </row>
    <row r="10" spans="1:17" x14ac:dyDescent="0.35">
      <c r="A10" s="270" t="s">
        <v>347</v>
      </c>
      <c r="B10" s="271">
        <v>1.3</v>
      </c>
      <c r="C10" s="272">
        <v>44688</v>
      </c>
      <c r="D10" s="270" t="s">
        <v>348</v>
      </c>
      <c r="E10" s="270" t="s">
        <v>351</v>
      </c>
      <c r="F10" s="272">
        <v>43955</v>
      </c>
      <c r="G10" s="270" t="s">
        <v>3</v>
      </c>
      <c r="H10" s="271">
        <v>100.449</v>
      </c>
      <c r="I10" s="273">
        <f t="shared" si="0"/>
        <v>1004.49</v>
      </c>
      <c r="J10" s="273">
        <v>1000</v>
      </c>
      <c r="K10" s="275">
        <v>500000000</v>
      </c>
      <c r="L10" s="275">
        <f t="shared" si="1"/>
        <v>502244999.99999994</v>
      </c>
      <c r="M10" s="276">
        <f t="shared" si="2"/>
        <v>3.3883603046813586E-2</v>
      </c>
      <c r="N10" s="270" t="s">
        <v>350</v>
      </c>
      <c r="O10" s="274">
        <f t="shared" ca="1" si="3"/>
        <v>-0.79178082191780819</v>
      </c>
      <c r="P10" s="134">
        <f t="shared" ca="1" si="4"/>
        <v>1.8655389163889813E-2</v>
      </c>
      <c r="Q10" s="134">
        <f t="shared" ca="1" si="5"/>
        <v>6.3211180111307007E-4</v>
      </c>
    </row>
    <row r="11" spans="1:17" x14ac:dyDescent="0.35">
      <c r="A11" s="270" t="s">
        <v>347</v>
      </c>
      <c r="B11" s="271">
        <v>3.35</v>
      </c>
      <c r="C11" s="272">
        <v>54859</v>
      </c>
      <c r="D11" s="270" t="s">
        <v>348</v>
      </c>
      <c r="E11" s="270" t="s">
        <v>349</v>
      </c>
      <c r="F11" s="272">
        <v>43900</v>
      </c>
      <c r="G11" s="270" t="s">
        <v>3</v>
      </c>
      <c r="H11" s="271">
        <v>103.49299999999999</v>
      </c>
      <c r="I11" s="273">
        <f t="shared" si="0"/>
        <v>1034.93</v>
      </c>
      <c r="J11" s="273">
        <v>1000</v>
      </c>
      <c r="K11" s="275">
        <v>500000000</v>
      </c>
      <c r="L11" s="275">
        <f t="shared" si="1"/>
        <v>517464999.99999994</v>
      </c>
      <c r="M11" s="276">
        <f t="shared" si="2"/>
        <v>3.3883603046813586E-2</v>
      </c>
      <c r="N11" s="270" t="s">
        <v>350</v>
      </c>
      <c r="O11" s="274">
        <f t="shared" ca="1" si="3"/>
        <v>27.073972602739726</v>
      </c>
      <c r="P11" s="134">
        <f t="shared" ca="1" si="4"/>
        <v>3.1571263231081878E-2</v>
      </c>
      <c r="Q11" s="134">
        <f t="shared" ca="1" si="5"/>
        <v>1.0697481510084396E-3</v>
      </c>
    </row>
    <row r="12" spans="1:17" x14ac:dyDescent="0.35">
      <c r="A12" s="270" t="s">
        <v>347</v>
      </c>
      <c r="B12" s="271">
        <v>4.45</v>
      </c>
      <c r="C12" s="272">
        <v>54650</v>
      </c>
      <c r="D12" s="270" t="s">
        <v>348</v>
      </c>
      <c r="E12" s="270" t="s">
        <v>349</v>
      </c>
      <c r="F12" s="272">
        <v>43587</v>
      </c>
      <c r="G12" s="270" t="s">
        <v>3</v>
      </c>
      <c r="H12" s="271">
        <v>122.015</v>
      </c>
      <c r="I12" s="273">
        <f t="shared" si="0"/>
        <v>1220.1500000000001</v>
      </c>
      <c r="J12" s="273">
        <v>1000</v>
      </c>
      <c r="K12" s="275">
        <v>1000000000</v>
      </c>
      <c r="L12" s="275">
        <f t="shared" si="1"/>
        <v>1220150000</v>
      </c>
      <c r="M12" s="276">
        <f t="shared" si="2"/>
        <v>6.7767206093627172E-2</v>
      </c>
      <c r="N12" s="270" t="s">
        <v>350</v>
      </c>
      <c r="O12" s="274">
        <f t="shared" ca="1" si="3"/>
        <v>26.5013698630137</v>
      </c>
      <c r="P12" s="134">
        <f t="shared" ca="1" si="4"/>
        <v>3.2101568321333131E-2</v>
      </c>
      <c r="Q12" s="134">
        <f t="shared" ca="1" si="5"/>
        <v>2.1754335963604355E-3</v>
      </c>
    </row>
    <row r="13" spans="1:17" x14ac:dyDescent="0.35">
      <c r="A13" s="270" t="s">
        <v>347</v>
      </c>
      <c r="B13" s="271">
        <v>4.5</v>
      </c>
      <c r="C13" s="272">
        <v>54377</v>
      </c>
      <c r="D13" s="270" t="s">
        <v>348</v>
      </c>
      <c r="E13" s="270" t="s">
        <v>349</v>
      </c>
      <c r="F13" s="272">
        <v>43320</v>
      </c>
      <c r="G13" s="270" t="s">
        <v>3</v>
      </c>
      <c r="H13" s="271">
        <v>122.789</v>
      </c>
      <c r="I13" s="273">
        <f t="shared" si="0"/>
        <v>1227.8900000000001</v>
      </c>
      <c r="J13" s="273">
        <v>1000</v>
      </c>
      <c r="K13" s="275">
        <v>1000000000</v>
      </c>
      <c r="L13" s="275">
        <f t="shared" si="1"/>
        <v>1227890000</v>
      </c>
      <c r="M13" s="276">
        <f t="shared" si="2"/>
        <v>6.7767206093627172E-2</v>
      </c>
      <c r="N13" s="270" t="s">
        <v>350</v>
      </c>
      <c r="O13" s="274">
        <f t="shared" ca="1" si="3"/>
        <v>25.753424657534246</v>
      </c>
      <c r="P13" s="134">
        <f t="shared" ca="1" si="4"/>
        <v>3.195013164238885E-2</v>
      </c>
      <c r="Q13" s="134">
        <f t="shared" ca="1" si="5"/>
        <v>2.165171155728284E-3</v>
      </c>
    </row>
    <row r="14" spans="1:17" x14ac:dyDescent="0.35">
      <c r="A14" s="270" t="s">
        <v>347</v>
      </c>
      <c r="B14" s="271">
        <v>4</v>
      </c>
      <c r="C14" s="272">
        <v>47072</v>
      </c>
      <c r="D14" s="270" t="s">
        <v>348</v>
      </c>
      <c r="E14" s="270" t="s">
        <v>349</v>
      </c>
      <c r="F14" s="272">
        <v>43320</v>
      </c>
      <c r="G14" s="270" t="s">
        <v>3</v>
      </c>
      <c r="H14" s="271">
        <v>112.053</v>
      </c>
      <c r="I14" s="273">
        <f t="shared" si="0"/>
        <v>1120.53</v>
      </c>
      <c r="J14" s="273">
        <v>1000</v>
      </c>
      <c r="K14" s="275">
        <v>750000000</v>
      </c>
      <c r="L14" s="275">
        <f t="shared" si="1"/>
        <v>840397500</v>
      </c>
      <c r="M14" s="276">
        <f t="shared" si="2"/>
        <v>5.0825404570220375E-2</v>
      </c>
      <c r="N14" s="270" t="s">
        <v>350</v>
      </c>
      <c r="O14" s="274">
        <f t="shared" ca="1" si="3"/>
        <v>5.7397260273972606</v>
      </c>
      <c r="P14" s="134">
        <f t="shared" ca="1" si="4"/>
        <v>1.7815486114288123E-2</v>
      </c>
      <c r="Q14" s="134">
        <f t="shared" ca="1" si="5"/>
        <v>9.0547928937383722E-4</v>
      </c>
    </row>
    <row r="15" spans="1:17" x14ac:dyDescent="0.35">
      <c r="A15" s="270" t="s">
        <v>347</v>
      </c>
      <c r="B15" s="271">
        <v>3.1</v>
      </c>
      <c r="C15" s="272">
        <v>44986</v>
      </c>
      <c r="D15" s="270" t="s">
        <v>348</v>
      </c>
      <c r="E15" s="270" t="s">
        <v>349</v>
      </c>
      <c r="F15" s="272">
        <v>43157</v>
      </c>
      <c r="G15" s="270" t="s">
        <v>3</v>
      </c>
      <c r="H15" s="271">
        <v>102.917</v>
      </c>
      <c r="I15" s="273">
        <f t="shared" si="0"/>
        <v>1029.17</v>
      </c>
      <c r="J15" s="273">
        <v>1000</v>
      </c>
      <c r="K15" s="275">
        <v>1000000000</v>
      </c>
      <c r="L15" s="275">
        <f t="shared" si="1"/>
        <v>1029169999.9999999</v>
      </c>
      <c r="M15" s="276">
        <f t="shared" si="2"/>
        <v>6.7767206093627172E-2</v>
      </c>
      <c r="N15" s="270" t="s">
        <v>350</v>
      </c>
      <c r="O15" s="274">
        <f t="shared" ca="1" si="3"/>
        <v>2.4657534246575342E-2</v>
      </c>
      <c r="P15" s="134">
        <f t="shared" ca="1" si="4"/>
        <v>-0.86106952430545203</v>
      </c>
      <c r="Q15" s="134">
        <f t="shared" ca="1" si="5"/>
        <v>-5.8352275914549077E-2</v>
      </c>
    </row>
    <row r="16" spans="1:17" x14ac:dyDescent="0.35">
      <c r="A16" s="270" t="s">
        <v>347</v>
      </c>
      <c r="B16" s="271">
        <v>3.5</v>
      </c>
      <c r="C16" s="272">
        <v>46813</v>
      </c>
      <c r="D16" s="270" t="s">
        <v>348</v>
      </c>
      <c r="E16" s="270" t="s">
        <v>349</v>
      </c>
      <c r="F16" s="272">
        <v>43157</v>
      </c>
      <c r="G16" s="270" t="s">
        <v>3</v>
      </c>
      <c r="H16" s="271">
        <v>108.56399999999999</v>
      </c>
      <c r="I16" s="273">
        <f t="shared" si="0"/>
        <v>1085.6400000000001</v>
      </c>
      <c r="J16" s="273">
        <v>1000</v>
      </c>
      <c r="K16" s="275">
        <v>600000000</v>
      </c>
      <c r="L16" s="275">
        <f t="shared" si="1"/>
        <v>651384000</v>
      </c>
      <c r="M16" s="276">
        <f t="shared" si="2"/>
        <v>4.0660323656176306E-2</v>
      </c>
      <c r="N16" s="270" t="s">
        <v>350</v>
      </c>
      <c r="O16" s="274">
        <f t="shared" ca="1" si="3"/>
        <v>5.0301369863013701</v>
      </c>
      <c r="P16" s="134">
        <f t="shared" ca="1" si="4"/>
        <v>1.7156535484975213E-2</v>
      </c>
      <c r="Q16" s="134">
        <f t="shared" ca="1" si="5"/>
        <v>6.9759028563776593E-4</v>
      </c>
    </row>
    <row r="17" spans="1:17" x14ac:dyDescent="0.35">
      <c r="A17" s="270" t="s">
        <v>347</v>
      </c>
      <c r="B17" s="271">
        <v>2.7</v>
      </c>
      <c r="C17" s="272">
        <v>44727</v>
      </c>
      <c r="D17" s="270" t="s">
        <v>348</v>
      </c>
      <c r="E17" s="270" t="s">
        <v>349</v>
      </c>
      <c r="F17" s="272">
        <v>42156</v>
      </c>
      <c r="G17" s="270" t="s">
        <v>3</v>
      </c>
      <c r="H17" s="271">
        <v>100.95099999999999</v>
      </c>
      <c r="I17" s="273">
        <f t="shared" si="0"/>
        <v>1009.51</v>
      </c>
      <c r="J17" s="273">
        <v>1000</v>
      </c>
      <c r="K17" s="275">
        <v>500000000</v>
      </c>
      <c r="L17" s="275">
        <f t="shared" si="1"/>
        <v>504754999.99999994</v>
      </c>
      <c r="M17" s="276">
        <f t="shared" si="2"/>
        <v>3.3883603046813586E-2</v>
      </c>
      <c r="N17" s="270" t="s">
        <v>350</v>
      </c>
      <c r="O17" s="274">
        <f t="shared" ca="1" si="3"/>
        <v>-0.68493150684931503</v>
      </c>
      <c r="P17" s="134">
        <f t="shared" ca="1" si="4"/>
        <v>4.0832595543559162E-2</v>
      </c>
      <c r="Q17" s="134">
        <f t="shared" ca="1" si="5"/>
        <v>1.383555458769048E-3</v>
      </c>
    </row>
    <row r="18" spans="1:17" x14ac:dyDescent="0.35">
      <c r="A18" s="270" t="s">
        <v>347</v>
      </c>
      <c r="B18" s="271">
        <v>3.75</v>
      </c>
      <c r="C18" s="272">
        <v>54027</v>
      </c>
      <c r="D18" s="270" t="s">
        <v>348</v>
      </c>
      <c r="E18" s="270" t="s">
        <v>349</v>
      </c>
      <c r="F18" s="272">
        <v>43059</v>
      </c>
      <c r="G18" s="270" t="s">
        <v>3</v>
      </c>
      <c r="H18" s="271">
        <v>109.158</v>
      </c>
      <c r="I18" s="273">
        <f t="shared" si="0"/>
        <v>1091.58</v>
      </c>
      <c r="J18" s="273">
        <v>1000</v>
      </c>
      <c r="K18" s="275">
        <v>500000000</v>
      </c>
      <c r="L18" s="275">
        <f t="shared" si="1"/>
        <v>545790000</v>
      </c>
      <c r="M18" s="276">
        <f t="shared" si="2"/>
        <v>3.3883603046813586E-2</v>
      </c>
      <c r="N18" s="270" t="s">
        <v>350</v>
      </c>
      <c r="O18" s="274">
        <f t="shared" ca="1" si="3"/>
        <v>24.794520547945204</v>
      </c>
      <c r="P18" s="134">
        <f t="shared" ca="1" si="4"/>
        <v>3.2114711491109713E-2</v>
      </c>
      <c r="Q18" s="134">
        <f t="shared" ca="1" si="5"/>
        <v>1.0881621361277043E-3</v>
      </c>
    </row>
    <row r="19" spans="1:17" x14ac:dyDescent="0.35">
      <c r="A19" s="270" t="s">
        <v>347</v>
      </c>
      <c r="B19" s="271">
        <v>3.85</v>
      </c>
      <c r="C19" s="272">
        <v>45200</v>
      </c>
      <c r="D19" s="270" t="s">
        <v>348</v>
      </c>
      <c r="E19" s="270" t="s">
        <v>349</v>
      </c>
      <c r="F19" s="272">
        <v>41520</v>
      </c>
      <c r="G19" s="270" t="s">
        <v>3</v>
      </c>
      <c r="H19" s="271">
        <v>105.086</v>
      </c>
      <c r="I19" s="273">
        <f t="shared" si="0"/>
        <v>1050.8599999999999</v>
      </c>
      <c r="J19" s="273">
        <v>1000</v>
      </c>
      <c r="K19" s="275">
        <v>750000000</v>
      </c>
      <c r="L19" s="275">
        <f t="shared" si="1"/>
        <v>788144999.99999988</v>
      </c>
      <c r="M19" s="276">
        <f t="shared" si="2"/>
        <v>5.0825404570220375E-2</v>
      </c>
      <c r="N19" s="270" t="s">
        <v>350</v>
      </c>
      <c r="O19" s="274">
        <f t="shared" ca="1" si="3"/>
        <v>0.61095890410958908</v>
      </c>
      <c r="P19" s="134">
        <f t="shared" ca="1" si="4"/>
        <v>-4.2770017794614437E-2</v>
      </c>
      <c r="Q19" s="134">
        <f t="shared" ca="1" si="5"/>
        <v>-2.1738034578868033E-3</v>
      </c>
    </row>
    <row r="20" spans="1:17" x14ac:dyDescent="0.35">
      <c r="A20" s="270" t="s">
        <v>347</v>
      </c>
      <c r="B20" s="271">
        <v>4.3</v>
      </c>
      <c r="C20" s="272">
        <v>53128</v>
      </c>
      <c r="D20" s="270" t="s">
        <v>348</v>
      </c>
      <c r="E20" s="270" t="s">
        <v>349</v>
      </c>
      <c r="F20" s="272">
        <v>42156</v>
      </c>
      <c r="G20" s="270" t="s">
        <v>3</v>
      </c>
      <c r="H20" s="271">
        <v>117.898</v>
      </c>
      <c r="I20" s="273">
        <f t="shared" si="0"/>
        <v>1178.98</v>
      </c>
      <c r="J20" s="273">
        <v>1000</v>
      </c>
      <c r="K20" s="275">
        <v>350000000</v>
      </c>
      <c r="L20" s="275">
        <f t="shared" si="1"/>
        <v>412643000</v>
      </c>
      <c r="M20" s="276">
        <f t="shared" si="2"/>
        <v>2.3718522132769509E-2</v>
      </c>
      <c r="N20" s="270" t="s">
        <v>350</v>
      </c>
      <c r="O20" s="274">
        <f t="shared" ca="1" si="3"/>
        <v>22.331506849315069</v>
      </c>
      <c r="P20" s="134">
        <f t="shared" ca="1" si="4"/>
        <v>3.1750135298931323E-2</v>
      </c>
      <c r="Q20" s="134">
        <f t="shared" ca="1" si="5"/>
        <v>7.5306628680612902E-4</v>
      </c>
    </row>
    <row r="21" spans="1:17" x14ac:dyDescent="0.35">
      <c r="A21" s="270" t="s">
        <v>347</v>
      </c>
      <c r="B21" s="271">
        <v>0.372</v>
      </c>
      <c r="C21" s="272">
        <v>45366</v>
      </c>
      <c r="D21" s="270" t="s">
        <v>348</v>
      </c>
      <c r="E21" s="270" t="s">
        <v>349</v>
      </c>
      <c r="F21" s="272">
        <v>42804</v>
      </c>
      <c r="G21" s="270" t="s">
        <v>352</v>
      </c>
      <c r="H21" s="271">
        <v>99.7</v>
      </c>
      <c r="I21" s="273">
        <f t="shared" si="0"/>
        <v>997</v>
      </c>
      <c r="J21" s="273">
        <v>1000</v>
      </c>
      <c r="K21" s="275">
        <v>806400000</v>
      </c>
      <c r="L21" s="275">
        <f t="shared" si="1"/>
        <v>803980800</v>
      </c>
      <c r="M21" s="276">
        <f t="shared" si="2"/>
        <v>5.4647474993900949E-2</v>
      </c>
      <c r="N21" s="270" t="s">
        <v>353</v>
      </c>
      <c r="O21" s="274">
        <f t="shared" ca="1" si="3"/>
        <v>1.0657534246575342</v>
      </c>
      <c r="P21" s="134">
        <f t="shared" ca="1" si="4"/>
        <v>6.5493519112271772E-3</v>
      </c>
      <c r="Q21" s="134">
        <f t="shared" ca="1" si="5"/>
        <v>3.5790554479504458E-4</v>
      </c>
    </row>
    <row r="22" spans="1:17" x14ac:dyDescent="0.35">
      <c r="K22" s="277">
        <f>SUM(K3:K21)</f>
        <v>14756400000</v>
      </c>
      <c r="L22" s="277">
        <f>SUM(L3:L21)</f>
        <v>15843260300</v>
      </c>
      <c r="M22" s="278">
        <f t="shared" si="2"/>
        <v>1</v>
      </c>
      <c r="O22" s="111" t="s">
        <v>376</v>
      </c>
      <c r="Q22" s="357">
        <f ca="1">SUM(Q3:Q21)</f>
        <v>-4.0485945949908383E-2</v>
      </c>
    </row>
    <row r="23" spans="1:17" x14ac:dyDescent="0.35">
      <c r="A23" s="279" t="s">
        <v>361</v>
      </c>
      <c r="C23" s="360">
        <f>L22</f>
        <v>15843260300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AD9C-1626-4A69-BE38-7E59ABD4E4AE}">
  <sheetPr>
    <tabColor rgb="FFFFC000"/>
  </sheetPr>
  <dimension ref="A1:I18"/>
  <sheetViews>
    <sheetView showGridLines="0" workbookViewId="0">
      <selection activeCell="F22" sqref="F22"/>
    </sheetView>
  </sheetViews>
  <sheetFormatPr defaultRowHeight="14.5" x14ac:dyDescent="0.35"/>
  <cols>
    <col min="1" max="1" width="15.90625" customWidth="1"/>
    <col min="2" max="2" width="14.08984375" customWidth="1"/>
    <col min="3" max="3" width="16.90625" customWidth="1"/>
    <col min="4" max="4" width="10.453125" customWidth="1"/>
    <col min="5" max="5" width="12.7265625" customWidth="1"/>
    <col min="6" max="6" width="12.453125" customWidth="1"/>
  </cols>
  <sheetData>
    <row r="1" spans="1:9" x14ac:dyDescent="0.35">
      <c r="A1" s="111" t="s">
        <v>409</v>
      </c>
      <c r="B1" s="111"/>
      <c r="C1" s="111"/>
    </row>
    <row r="2" spans="1:9" ht="15" thickBot="1" x14ac:dyDescent="0.4"/>
    <row r="3" spans="1:9" x14ac:dyDescent="0.35">
      <c r="A3" s="367" t="s">
        <v>410</v>
      </c>
      <c r="B3" s="367"/>
    </row>
    <row r="4" spans="1:9" x14ac:dyDescent="0.35">
      <c r="A4" t="s">
        <v>411</v>
      </c>
      <c r="B4">
        <v>0.564428113241218</v>
      </c>
    </row>
    <row r="5" spans="1:9" x14ac:dyDescent="0.35">
      <c r="A5" t="s">
        <v>412</v>
      </c>
      <c r="B5">
        <v>0.31857909501704118</v>
      </c>
    </row>
    <row r="6" spans="1:9" x14ac:dyDescent="0.35">
      <c r="A6" t="s">
        <v>413</v>
      </c>
      <c r="B6">
        <v>0.30683045872423154</v>
      </c>
    </row>
    <row r="7" spans="1:9" x14ac:dyDescent="0.35">
      <c r="A7" t="s">
        <v>414</v>
      </c>
      <c r="B7">
        <v>5.3290107291667645E-2</v>
      </c>
    </row>
    <row r="8" spans="1:9" ht="15" thickBot="1" x14ac:dyDescent="0.4">
      <c r="A8" s="358" t="s">
        <v>415</v>
      </c>
      <c r="B8" s="358">
        <v>60</v>
      </c>
    </row>
    <row r="10" spans="1:9" ht="15" thickBot="1" x14ac:dyDescent="0.4">
      <c r="A10" t="s">
        <v>416</v>
      </c>
    </row>
    <row r="11" spans="1:9" x14ac:dyDescent="0.35">
      <c r="A11" s="368"/>
      <c r="B11" s="368" t="s">
        <v>417</v>
      </c>
      <c r="C11" s="368" t="s">
        <v>418</v>
      </c>
      <c r="D11" s="368" t="s">
        <v>419</v>
      </c>
      <c r="E11" s="368" t="s">
        <v>420</v>
      </c>
      <c r="F11" s="368" t="s">
        <v>421</v>
      </c>
    </row>
    <row r="12" spans="1:9" x14ac:dyDescent="0.35">
      <c r="A12" t="s">
        <v>422</v>
      </c>
      <c r="B12">
        <v>1</v>
      </c>
      <c r="C12">
        <v>7.7005723237972251E-2</v>
      </c>
      <c r="D12">
        <v>7.7005723237972251E-2</v>
      </c>
      <c r="E12">
        <v>27.116261587910166</v>
      </c>
      <c r="F12">
        <v>2.6391248673208213E-6</v>
      </c>
    </row>
    <row r="13" spans="1:9" x14ac:dyDescent="0.35">
      <c r="A13" t="s">
        <v>423</v>
      </c>
      <c r="B13">
        <v>58</v>
      </c>
      <c r="C13">
        <v>0.16471046103913206</v>
      </c>
      <c r="D13">
        <v>2.8398355351574494E-3</v>
      </c>
    </row>
    <row r="14" spans="1:9" ht="15" thickBot="1" x14ac:dyDescent="0.4">
      <c r="A14" s="358" t="s">
        <v>359</v>
      </c>
      <c r="B14" s="358">
        <v>59</v>
      </c>
      <c r="C14" s="358">
        <v>0.24171618427710431</v>
      </c>
      <c r="D14" s="358"/>
      <c r="E14" s="358"/>
      <c r="F14" s="358"/>
    </row>
    <row r="15" spans="1:9" ht="15" thickBot="1" x14ac:dyDescent="0.4"/>
    <row r="16" spans="1:9" x14ac:dyDescent="0.35">
      <c r="A16" s="368"/>
      <c r="B16" s="368" t="s">
        <v>424</v>
      </c>
      <c r="C16" s="368" t="s">
        <v>414</v>
      </c>
      <c r="D16" s="368" t="s">
        <v>425</v>
      </c>
      <c r="E16" s="368" t="s">
        <v>426</v>
      </c>
      <c r="F16" s="368" t="s">
        <v>427</v>
      </c>
      <c r="G16" s="368" t="s">
        <v>428</v>
      </c>
      <c r="H16" s="368" t="s">
        <v>429</v>
      </c>
      <c r="I16" s="368" t="s">
        <v>430</v>
      </c>
    </row>
    <row r="17" spans="1:9" x14ac:dyDescent="0.35">
      <c r="A17" t="s">
        <v>431</v>
      </c>
      <c r="B17">
        <v>4.1040547643134608E-3</v>
      </c>
      <c r="C17">
        <v>7.1008464926957584E-3</v>
      </c>
      <c r="D17">
        <v>0.57796697457621016</v>
      </c>
      <c r="E17">
        <v>0.56552371075941266</v>
      </c>
      <c r="F17">
        <v>-1.0109833812347009E-2</v>
      </c>
      <c r="G17">
        <v>1.8317943340973933E-2</v>
      </c>
      <c r="H17">
        <v>-1.0109833812347009E-2</v>
      </c>
      <c r="I17">
        <v>1.8317943340973933E-2</v>
      </c>
    </row>
    <row r="18" spans="1:9" ht="15" thickBot="1" x14ac:dyDescent="0.4">
      <c r="A18" s="358" t="s">
        <v>432</v>
      </c>
      <c r="B18" s="369">
        <v>0.82101765377372771</v>
      </c>
      <c r="C18" s="358">
        <v>0.15766583244009899</v>
      </c>
      <c r="D18" s="358">
        <v>5.2073276820179277</v>
      </c>
      <c r="E18" s="358">
        <v>2.6391248673207832E-6</v>
      </c>
      <c r="F18" s="358">
        <v>0.50541520032606857</v>
      </c>
      <c r="G18" s="358">
        <v>1.1366201072213868</v>
      </c>
      <c r="H18" s="358">
        <v>0.50541520032606857</v>
      </c>
      <c r="I18" s="358">
        <v>1.1366201072213868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C6D0-B186-4907-81FC-247E377EB9C9}">
  <sheetPr>
    <tabColor rgb="FFFFC000"/>
  </sheetPr>
  <dimension ref="A1:L62"/>
  <sheetViews>
    <sheetView topLeftCell="C41" workbookViewId="0">
      <selection activeCell="D68" sqref="D68"/>
    </sheetView>
  </sheetViews>
  <sheetFormatPr defaultRowHeight="14.5" x14ac:dyDescent="0.35"/>
  <cols>
    <col min="1" max="1" width="13" customWidth="1"/>
    <col min="2" max="2" width="20" customWidth="1"/>
    <col min="3" max="3" width="20.81640625" customWidth="1"/>
    <col min="4" max="8" width="13" customWidth="1"/>
    <col min="9" max="9" width="19" customWidth="1"/>
    <col min="10" max="10" width="17" customWidth="1"/>
    <col min="11" max="11" width="13" customWidth="1"/>
    <col min="12" max="12" width="14.90625" customWidth="1"/>
  </cols>
  <sheetData>
    <row r="1" spans="1:12" s="111" customFormat="1" ht="44.5" customHeight="1" x14ac:dyDescent="0.35">
      <c r="A1" s="361" t="s">
        <v>397</v>
      </c>
      <c r="B1" s="361" t="s">
        <v>398</v>
      </c>
      <c r="C1" s="362" t="s">
        <v>399</v>
      </c>
      <c r="D1" s="361" t="s">
        <v>400</v>
      </c>
      <c r="E1" s="361" t="s">
        <v>401</v>
      </c>
      <c r="F1" s="361" t="s">
        <v>402</v>
      </c>
      <c r="G1" s="361" t="s">
        <v>403</v>
      </c>
      <c r="H1" s="361" t="s">
        <v>404</v>
      </c>
      <c r="I1" s="361" t="s">
        <v>405</v>
      </c>
      <c r="J1" s="361" t="s">
        <v>406</v>
      </c>
      <c r="K1" s="361" t="s">
        <v>407</v>
      </c>
      <c r="L1" s="362" t="s">
        <v>408</v>
      </c>
    </row>
    <row r="2" spans="1:12" x14ac:dyDescent="0.35">
      <c r="A2">
        <v>77702</v>
      </c>
      <c r="B2" s="363">
        <v>42398</v>
      </c>
      <c r="C2">
        <v>60</v>
      </c>
      <c r="D2">
        <v>1.2327197939157486E-2</v>
      </c>
      <c r="E2" s="364">
        <v>1.9031150893270479E-2</v>
      </c>
      <c r="F2" s="364">
        <v>0.72884470426426384</v>
      </c>
      <c r="G2" s="364">
        <v>0.19544071787960599</v>
      </c>
      <c r="H2" s="364">
        <v>-0.28843290584441389</v>
      </c>
      <c r="I2">
        <v>4.9659970329576267E-2</v>
      </c>
      <c r="J2">
        <v>5.7025526619829986E-2</v>
      </c>
      <c r="K2">
        <v>0.24164194805612071</v>
      </c>
      <c r="L2">
        <v>7.3434076204320922E-2</v>
      </c>
    </row>
    <row r="3" spans="1:12" x14ac:dyDescent="0.35">
      <c r="A3">
        <v>77702</v>
      </c>
      <c r="B3" s="363">
        <v>42429</v>
      </c>
      <c r="C3">
        <v>60</v>
      </c>
      <c r="D3">
        <v>-3.883497416973114E-2</v>
      </c>
      <c r="E3" s="364">
        <v>1.7768645028994043E-2</v>
      </c>
      <c r="F3" s="364">
        <v>0.74039013034975998</v>
      </c>
      <c r="G3" s="364">
        <v>0.16237561277274526</v>
      </c>
      <c r="H3" s="364">
        <v>-0.28119179577151038</v>
      </c>
      <c r="I3">
        <v>5.0260934974307857E-2</v>
      </c>
      <c r="J3">
        <v>5.7533058119874192E-2</v>
      </c>
      <c r="K3">
        <v>0.23682135755325739</v>
      </c>
      <c r="L3">
        <v>-4.1679035784457696E-2</v>
      </c>
    </row>
    <row r="4" spans="1:12" x14ac:dyDescent="0.35">
      <c r="A4">
        <v>77702</v>
      </c>
      <c r="B4" s="363">
        <v>42460</v>
      </c>
      <c r="C4">
        <v>60</v>
      </c>
      <c r="D4">
        <v>2.559700608253479E-2</v>
      </c>
      <c r="E4" s="364">
        <v>1.5482219015194722E-2</v>
      </c>
      <c r="F4" s="364">
        <v>0.73275875493372133</v>
      </c>
      <c r="G4" s="364">
        <v>5.4803798473156501E-2</v>
      </c>
      <c r="H4" s="364">
        <v>-0.21504617232137668</v>
      </c>
      <c r="I4">
        <v>4.9073265274773972E-2</v>
      </c>
      <c r="J4">
        <v>5.6129004503926196E-2</v>
      </c>
      <c r="K4">
        <v>0.23560958377022112</v>
      </c>
      <c r="L4">
        <v>-2.4258854332117476E-2</v>
      </c>
    </row>
    <row r="5" spans="1:12" x14ac:dyDescent="0.35">
      <c r="A5">
        <v>77702</v>
      </c>
      <c r="B5" s="363">
        <v>42489</v>
      </c>
      <c r="C5">
        <v>60</v>
      </c>
      <c r="D5">
        <v>-5.812397226691246E-2</v>
      </c>
      <c r="E5" s="364">
        <v>1.4841347069435474E-2</v>
      </c>
      <c r="F5" s="364">
        <v>0.76853819574736859</v>
      </c>
      <c r="G5" s="364">
        <v>1.6744837190947177E-2</v>
      </c>
      <c r="H5" s="364">
        <v>-0.42708184204406091</v>
      </c>
      <c r="I5">
        <v>4.9192524664422477E-2</v>
      </c>
      <c r="J5">
        <v>5.6827513647507932E-2</v>
      </c>
      <c r="K5">
        <v>0.25065655223243988</v>
      </c>
      <c r="L5">
        <v>-5.8429556130556656E-2</v>
      </c>
    </row>
    <row r="6" spans="1:12" x14ac:dyDescent="0.35">
      <c r="A6">
        <v>77702</v>
      </c>
      <c r="B6" s="363">
        <v>42521</v>
      </c>
      <c r="C6">
        <v>60</v>
      </c>
      <c r="D6">
        <v>-2.0273877307772636E-2</v>
      </c>
      <c r="E6" s="364">
        <v>1.3889683332309411E-2</v>
      </c>
      <c r="F6" s="364">
        <v>0.76095111036172658</v>
      </c>
      <c r="G6" s="364">
        <v>1.9543424947323328E-2</v>
      </c>
      <c r="H6" s="364">
        <v>-0.37054630450911424</v>
      </c>
      <c r="I6">
        <v>4.9699721940982829E-2</v>
      </c>
      <c r="J6">
        <v>5.7087522473321842E-2</v>
      </c>
      <c r="K6">
        <v>0.24207623151248381</v>
      </c>
      <c r="L6">
        <v>-4.106889239514E-2</v>
      </c>
    </row>
    <row r="7" spans="1:12" x14ac:dyDescent="0.35">
      <c r="A7">
        <v>77702</v>
      </c>
      <c r="B7" s="363">
        <v>42551</v>
      </c>
      <c r="C7">
        <v>60</v>
      </c>
      <c r="D7">
        <v>4.0626700967550278E-2</v>
      </c>
      <c r="E7" s="364">
        <v>1.2796726340243028E-2</v>
      </c>
      <c r="F7" s="364">
        <v>0.78541491536641428</v>
      </c>
      <c r="G7" s="364">
        <v>9.8348345634360172E-3</v>
      </c>
      <c r="H7" s="364">
        <v>-0.37815129151075449</v>
      </c>
      <c r="I7">
        <v>4.888706229523454E-2</v>
      </c>
      <c r="J7">
        <v>5.6733525840762418E-2</v>
      </c>
      <c r="K7">
        <v>0.2574796994391324</v>
      </c>
      <c r="L7">
        <v>3.5318948900159776E-2</v>
      </c>
    </row>
    <row r="8" spans="1:12" x14ac:dyDescent="0.35">
      <c r="A8">
        <v>77702</v>
      </c>
      <c r="B8" s="363">
        <v>42580</v>
      </c>
      <c r="C8">
        <v>60</v>
      </c>
      <c r="D8">
        <v>1.6281519085168839E-2</v>
      </c>
      <c r="E8" s="364">
        <v>1.194203373257972E-2</v>
      </c>
      <c r="F8" s="364">
        <v>0.78505748186038293</v>
      </c>
      <c r="G8" s="364">
        <v>-1.5080265741849223E-2</v>
      </c>
      <c r="H8" s="364">
        <v>-0.34766103736805914</v>
      </c>
      <c r="I8">
        <v>4.9007616789716747E-2</v>
      </c>
      <c r="J8">
        <v>5.673221453221771E-2</v>
      </c>
      <c r="K8">
        <v>0.25377860929141449</v>
      </c>
      <c r="L8">
        <v>-2.0067376079835497E-2</v>
      </c>
    </row>
    <row r="9" spans="1:12" x14ac:dyDescent="0.35">
      <c r="A9">
        <v>77702</v>
      </c>
      <c r="B9" s="363">
        <v>42613</v>
      </c>
      <c r="C9">
        <v>60</v>
      </c>
      <c r="D9">
        <v>-2.7906971052289009E-2</v>
      </c>
      <c r="E9" s="364">
        <v>1.1508690481663775E-2</v>
      </c>
      <c r="F9" s="364">
        <v>0.78701798788344024</v>
      </c>
      <c r="G9" s="364">
        <v>-3.8620265575048045E-2</v>
      </c>
      <c r="H9" s="364">
        <v>-0.40801405379237166</v>
      </c>
      <c r="I9">
        <v>4.9169687916098277E-2</v>
      </c>
      <c r="J9">
        <v>5.6648875518677581E-2</v>
      </c>
      <c r="K9">
        <v>0.24662307090030822</v>
      </c>
      <c r="L9">
        <v>-2.1043561090264645E-2</v>
      </c>
    </row>
    <row r="10" spans="1:12" x14ac:dyDescent="0.35">
      <c r="A10">
        <v>77702</v>
      </c>
      <c r="B10" s="363">
        <v>42643</v>
      </c>
      <c r="C10">
        <v>60</v>
      </c>
      <c r="D10">
        <v>-3.7168774753808975E-2</v>
      </c>
      <c r="E10" s="364">
        <v>1.0172539225702805E-2</v>
      </c>
      <c r="F10" s="364">
        <v>0.81162672547436276</v>
      </c>
      <c r="G10" s="364">
        <v>-8.6333393300956629E-2</v>
      </c>
      <c r="H10" s="364">
        <v>-0.3680773103983066</v>
      </c>
      <c r="I10">
        <v>4.9654526350878504E-2</v>
      </c>
      <c r="J10">
        <v>5.6698447219839208E-2</v>
      </c>
      <c r="K10">
        <v>0.23303533356930184</v>
      </c>
      <c r="L10">
        <v>-4.3450678117656752E-2</v>
      </c>
    </row>
    <row r="11" spans="1:12" x14ac:dyDescent="0.35">
      <c r="A11">
        <v>77702</v>
      </c>
      <c r="B11" s="363">
        <v>42674</v>
      </c>
      <c r="C11">
        <v>60</v>
      </c>
      <c r="D11">
        <v>-1.976357027888298E-2</v>
      </c>
      <c r="E11" s="364">
        <v>1.0199454938388142E-2</v>
      </c>
      <c r="F11" s="364">
        <v>0.74885014865218524</v>
      </c>
      <c r="G11" s="364">
        <v>-0.10802473281366114</v>
      </c>
      <c r="H11" s="364">
        <v>-0.37850652458938322</v>
      </c>
      <c r="I11">
        <v>4.93729271929291E-2</v>
      </c>
      <c r="J11">
        <v>5.4866477524227408E-2</v>
      </c>
      <c r="K11">
        <v>0.19022643650813587</v>
      </c>
      <c r="L11">
        <v>7.788772119537192E-3</v>
      </c>
    </row>
    <row r="12" spans="1:12" x14ac:dyDescent="0.35">
      <c r="A12">
        <v>77702</v>
      </c>
      <c r="B12" s="363">
        <v>42704</v>
      </c>
      <c r="C12">
        <v>60</v>
      </c>
      <c r="D12">
        <v>9.7041673958301544E-2</v>
      </c>
      <c r="E12" s="364">
        <v>1.0323190322521865E-2</v>
      </c>
      <c r="F12" s="364">
        <v>0.77554770444395382</v>
      </c>
      <c r="G12" s="364">
        <v>2.9072910898336447E-2</v>
      </c>
      <c r="H12" s="364">
        <v>-0.13251739734597878</v>
      </c>
      <c r="I12">
        <v>5.0164312975906469E-2</v>
      </c>
      <c r="J12">
        <v>5.5785353369822911E-2</v>
      </c>
      <c r="K12">
        <v>0.19137091031221465</v>
      </c>
      <c r="L12">
        <v>9.7747944753128285E-2</v>
      </c>
    </row>
    <row r="13" spans="1:12" x14ac:dyDescent="0.35">
      <c r="A13">
        <v>77702</v>
      </c>
      <c r="B13" s="363">
        <v>42734</v>
      </c>
      <c r="C13">
        <v>60</v>
      </c>
      <c r="D13">
        <v>-4.2263250797986984E-2</v>
      </c>
      <c r="E13" s="364">
        <v>8.8706405898973592E-3</v>
      </c>
      <c r="F13" s="364">
        <v>0.77212298200438689</v>
      </c>
      <c r="G13" s="364">
        <v>4.5921404629849311E-2</v>
      </c>
      <c r="H13" s="364">
        <v>-0.22678209884479228</v>
      </c>
      <c r="I13">
        <v>5.0410250830642572E-2</v>
      </c>
      <c r="J13">
        <v>5.6105476816179889E-2</v>
      </c>
      <c r="K13">
        <v>0.19271440781340632</v>
      </c>
      <c r="L13">
        <v>-5.1933758334220211E-2</v>
      </c>
    </row>
    <row r="14" spans="1:12" x14ac:dyDescent="0.35">
      <c r="A14">
        <v>77702</v>
      </c>
      <c r="B14" s="363">
        <v>42766</v>
      </c>
      <c r="C14">
        <v>60</v>
      </c>
      <c r="D14">
        <v>-5.4034446366131306E-3</v>
      </c>
      <c r="E14" s="364">
        <v>8.3933069003473103E-3</v>
      </c>
      <c r="F14" s="364">
        <v>0.769146270584398</v>
      </c>
      <c r="G14" s="364">
        <v>6.3534566774980678E-2</v>
      </c>
      <c r="H14" s="364">
        <v>-0.19567987393129505</v>
      </c>
      <c r="I14">
        <v>5.0596475974756833E-2</v>
      </c>
      <c r="J14">
        <v>5.6094204725012649E-2</v>
      </c>
      <c r="K14">
        <v>0.18641197347397154</v>
      </c>
      <c r="L14">
        <v>-2.647754812352825E-2</v>
      </c>
    </row>
    <row r="15" spans="1:12" x14ac:dyDescent="0.35">
      <c r="A15">
        <v>77702</v>
      </c>
      <c r="B15" s="363">
        <v>42794</v>
      </c>
      <c r="C15">
        <v>60</v>
      </c>
      <c r="D15">
        <v>3.4407779574394226E-2</v>
      </c>
      <c r="E15" s="364">
        <v>8.5240777272765893E-3</v>
      </c>
      <c r="F15" s="364">
        <v>0.78476076709467968</v>
      </c>
      <c r="G15" s="364">
        <v>4.53918158093915E-2</v>
      </c>
      <c r="H15" s="364">
        <v>-0.19039709705792904</v>
      </c>
      <c r="I15">
        <v>5.0502597509201975E-2</v>
      </c>
      <c r="J15">
        <v>5.6138846375008475E-2</v>
      </c>
      <c r="K15">
        <v>0.19071691358539145</v>
      </c>
      <c r="L15">
        <v>4.5775089820882034E-3</v>
      </c>
    </row>
    <row r="16" spans="1:12" x14ac:dyDescent="0.35">
      <c r="A16">
        <v>77702</v>
      </c>
      <c r="B16" s="363">
        <v>42825</v>
      </c>
      <c r="C16">
        <v>60</v>
      </c>
      <c r="D16">
        <v>2.672763355076313E-2</v>
      </c>
      <c r="E16" s="364">
        <v>7.3663666280512751E-3</v>
      </c>
      <c r="F16" s="364">
        <v>0.729632710541955</v>
      </c>
      <c r="G16" s="364">
        <v>0.10094517095957239</v>
      </c>
      <c r="H16" s="364">
        <v>-0.24158916023568269</v>
      </c>
      <c r="I16">
        <v>4.7940104094455177E-2</v>
      </c>
      <c r="J16">
        <v>5.3333059216364186E-2</v>
      </c>
      <c r="K16">
        <v>0.19201191997452205</v>
      </c>
      <c r="L16">
        <v>1.8240389396027012E-2</v>
      </c>
    </row>
    <row r="17" spans="1:12" x14ac:dyDescent="0.35">
      <c r="A17">
        <v>77702</v>
      </c>
      <c r="B17" s="363">
        <v>42853</v>
      </c>
      <c r="C17">
        <v>60</v>
      </c>
      <c r="D17">
        <v>2.8600821271538734E-2</v>
      </c>
      <c r="E17" s="364">
        <v>6.9905849602490853E-3</v>
      </c>
      <c r="F17" s="364">
        <v>0.73776304995381747</v>
      </c>
      <c r="G17" s="364">
        <v>0.10290634369241361</v>
      </c>
      <c r="H17" s="364">
        <v>-0.24022659889364831</v>
      </c>
      <c r="I17">
        <v>4.7846143594763746E-2</v>
      </c>
      <c r="J17">
        <v>5.3339441466974155E-2</v>
      </c>
      <c r="K17">
        <v>0.1953686469596807</v>
      </c>
      <c r="L17">
        <v>1.4275170382702464E-2</v>
      </c>
    </row>
    <row r="18" spans="1:12" x14ac:dyDescent="0.35">
      <c r="A18">
        <v>77702</v>
      </c>
      <c r="B18" s="363">
        <v>42886</v>
      </c>
      <c r="C18">
        <v>60</v>
      </c>
      <c r="D18">
        <v>6.3270047307014465E-2</v>
      </c>
      <c r="E18" s="364">
        <v>7.8080099887094523E-3</v>
      </c>
      <c r="F18" s="364">
        <v>0.73642923823517437</v>
      </c>
      <c r="G18" s="364">
        <v>7.5767868709830544E-2</v>
      </c>
      <c r="H18" s="364">
        <v>-0.28771663256221991</v>
      </c>
      <c r="I18">
        <v>4.812121374304807E-2</v>
      </c>
      <c r="J18">
        <v>5.3188141527323637E-2</v>
      </c>
      <c r="K18">
        <v>0.1814532013338257</v>
      </c>
      <c r="L18">
        <v>4.843450138004101E-2</v>
      </c>
    </row>
    <row r="19" spans="1:12" x14ac:dyDescent="0.35">
      <c r="A19">
        <v>77702</v>
      </c>
      <c r="B19" s="363">
        <v>42916</v>
      </c>
      <c r="C19">
        <v>60</v>
      </c>
      <c r="D19">
        <v>-8.3320222795009613E-2</v>
      </c>
      <c r="E19" s="364">
        <v>6.6054847288282677E-3</v>
      </c>
      <c r="F19" s="364">
        <v>0.79595225226992561</v>
      </c>
      <c r="G19" s="364">
        <v>3.1292457742172338E-3</v>
      </c>
      <c r="H19" s="364">
        <v>-0.31017668710587415</v>
      </c>
      <c r="I19">
        <v>4.8930961736787439E-2</v>
      </c>
      <c r="J19">
        <v>5.4449886328096185E-2</v>
      </c>
      <c r="K19">
        <v>0.1924423252043741</v>
      </c>
      <c r="L19">
        <v>-8.7067016500296121E-2</v>
      </c>
    </row>
    <row r="20" spans="1:12" x14ac:dyDescent="0.35">
      <c r="A20">
        <v>77702</v>
      </c>
      <c r="B20" s="363">
        <v>42947</v>
      </c>
      <c r="C20">
        <v>60</v>
      </c>
      <c r="D20">
        <v>-7.4258305132389069E-2</v>
      </c>
      <c r="E20" s="364">
        <v>7.7969536207498436E-3</v>
      </c>
      <c r="F20" s="364">
        <v>0.78982064279108966</v>
      </c>
      <c r="G20" s="364">
        <v>-9.6936196573163741E-2</v>
      </c>
      <c r="H20" s="364">
        <v>-0.29899389974188667</v>
      </c>
      <c r="I20">
        <v>4.5735502575646216E-2</v>
      </c>
      <c r="J20">
        <v>5.1309457712670606E-2</v>
      </c>
      <c r="K20">
        <v>0.20546677592377105</v>
      </c>
      <c r="L20">
        <v>-9.047931397316604E-2</v>
      </c>
    </row>
    <row r="21" spans="1:12" x14ac:dyDescent="0.35">
      <c r="A21">
        <v>77702</v>
      </c>
      <c r="B21" s="363">
        <v>42978</v>
      </c>
      <c r="C21">
        <v>60</v>
      </c>
      <c r="D21">
        <v>2.0933698862791061E-2</v>
      </c>
      <c r="E21" s="364">
        <v>6.8537946940868295E-3</v>
      </c>
      <c r="F21" s="364">
        <v>0.76844304743020464</v>
      </c>
      <c r="G21" s="364">
        <v>-9.9319573625646057E-2</v>
      </c>
      <c r="H21" s="364">
        <v>-0.32899522804415987</v>
      </c>
      <c r="I21">
        <v>4.4636113976647629E-2</v>
      </c>
      <c r="J21">
        <v>5.016178984025018E-2</v>
      </c>
      <c r="K21">
        <v>0.20817956237155455</v>
      </c>
      <c r="L21">
        <v>1.0981364866211062E-2</v>
      </c>
    </row>
    <row r="22" spans="1:12" x14ac:dyDescent="0.35">
      <c r="A22">
        <v>77702</v>
      </c>
      <c r="B22" s="363">
        <v>43007</v>
      </c>
      <c r="C22">
        <v>60</v>
      </c>
      <c r="D22">
        <v>-2.096247673034668E-2</v>
      </c>
      <c r="E22" s="364">
        <v>6.3294448101282033E-3</v>
      </c>
      <c r="F22" s="364">
        <v>0.76886502725554762</v>
      </c>
      <c r="G22" s="364">
        <v>-0.14066881703928336</v>
      </c>
      <c r="H22" s="364">
        <v>-0.3518887707977949</v>
      </c>
      <c r="I22">
        <v>4.4828316676943376E-2</v>
      </c>
      <c r="J22">
        <v>5.0386571885858149E-2</v>
      </c>
      <c r="K22">
        <v>0.20845567551911082</v>
      </c>
      <c r="L22">
        <v>-2.6564723647939027E-2</v>
      </c>
    </row>
    <row r="23" spans="1:12" x14ac:dyDescent="0.35">
      <c r="A23">
        <v>77702</v>
      </c>
      <c r="B23" s="363">
        <v>43039</v>
      </c>
      <c r="C23">
        <v>60</v>
      </c>
      <c r="D23">
        <v>2.1038932725787163E-2</v>
      </c>
      <c r="E23" s="364">
        <v>8.0821651284073877E-3</v>
      </c>
      <c r="F23" s="364">
        <v>0.72195880941384383</v>
      </c>
      <c r="G23" s="364">
        <v>-0.16787406139369182</v>
      </c>
      <c r="H23" s="364">
        <v>-0.2603563389463725</v>
      </c>
      <c r="I23">
        <v>4.3612379158594811E-2</v>
      </c>
      <c r="J23">
        <v>4.8279765693536245E-2</v>
      </c>
      <c r="K23">
        <v>0.18400170612677458</v>
      </c>
      <c r="L23">
        <v>8.9871673943432012E-4</v>
      </c>
    </row>
    <row r="24" spans="1:12" x14ac:dyDescent="0.35">
      <c r="A24">
        <v>77702</v>
      </c>
      <c r="B24" s="363">
        <v>43069</v>
      </c>
      <c r="C24">
        <v>60</v>
      </c>
      <c r="D24">
        <v>5.9810347855091095E-2</v>
      </c>
      <c r="E24" s="364">
        <v>6.1457902045937351E-3</v>
      </c>
      <c r="F24" s="364">
        <v>0.75257479593649246</v>
      </c>
      <c r="G24" s="364">
        <v>-0.21128952792509878</v>
      </c>
      <c r="H24" s="364">
        <v>-0.22223474216494377</v>
      </c>
      <c r="I24">
        <v>4.0836516644318331E-2</v>
      </c>
      <c r="J24">
        <v>4.6093859435255659E-2</v>
      </c>
      <c r="K24">
        <v>0.21510559525095119</v>
      </c>
      <c r="L24">
        <v>3.5414960088101299E-2</v>
      </c>
    </row>
    <row r="25" spans="1:12" x14ac:dyDescent="0.35">
      <c r="A25">
        <v>77702</v>
      </c>
      <c r="B25" s="363">
        <v>43098</v>
      </c>
      <c r="C25">
        <v>60</v>
      </c>
      <c r="D25">
        <v>-6.7450604401528835E-3</v>
      </c>
      <c r="E25" s="364">
        <v>5.1981400357325241E-3</v>
      </c>
      <c r="F25" s="364">
        <v>0.75533678044027586</v>
      </c>
      <c r="G25" s="364">
        <v>-0.21071561953371487</v>
      </c>
      <c r="H25" s="364">
        <v>-0.25707816173098524</v>
      </c>
      <c r="I25">
        <v>4.0757863591507244E-2</v>
      </c>
      <c r="J25">
        <v>4.6126414928843895E-2</v>
      </c>
      <c r="K25">
        <v>0.21922945632940705</v>
      </c>
      <c r="L25">
        <v>-1.8344704623041524E-2</v>
      </c>
    </row>
    <row r="26" spans="1:12" x14ac:dyDescent="0.35">
      <c r="A26">
        <v>77702</v>
      </c>
      <c r="B26" s="363">
        <v>43131</v>
      </c>
      <c r="C26">
        <v>60</v>
      </c>
      <c r="D26">
        <v>-1.0795732960104942E-2</v>
      </c>
      <c r="E26" s="364">
        <v>5.096179276879228E-3</v>
      </c>
      <c r="F26" s="364">
        <v>0.67565505894950451</v>
      </c>
      <c r="G26" s="364">
        <v>-0.12897995956848879</v>
      </c>
      <c r="H26" s="364">
        <v>-0.24251765509377635</v>
      </c>
      <c r="I26">
        <v>4.1641782413443795E-2</v>
      </c>
      <c r="J26">
        <v>4.6064864460094543E-2</v>
      </c>
      <c r="K26">
        <v>0.1828175598482995</v>
      </c>
      <c r="L26">
        <v>-6.4240545009385863E-2</v>
      </c>
    </row>
    <row r="27" spans="1:12" x14ac:dyDescent="0.35">
      <c r="A27">
        <v>77702</v>
      </c>
      <c r="B27" s="363">
        <v>43159</v>
      </c>
      <c r="C27">
        <v>60</v>
      </c>
      <c r="D27">
        <v>1.0385444387793541E-2</v>
      </c>
      <c r="E27" s="364">
        <v>6.4000204953353415E-3</v>
      </c>
      <c r="F27" s="364">
        <v>0.64951045636162574</v>
      </c>
      <c r="G27" s="364">
        <v>-0.12073009217049675</v>
      </c>
      <c r="H27" s="364">
        <v>-0.24931913607790873</v>
      </c>
      <c r="I27">
        <v>4.1547565475912422E-2</v>
      </c>
      <c r="J27">
        <v>4.5868038038059125E-2</v>
      </c>
      <c r="K27">
        <v>0.17951464463970834</v>
      </c>
      <c r="L27">
        <v>3.1784270086862632E-2</v>
      </c>
    </row>
    <row r="28" spans="1:12" x14ac:dyDescent="0.35">
      <c r="A28">
        <v>77702</v>
      </c>
      <c r="B28" s="363">
        <v>43188</v>
      </c>
      <c r="C28">
        <v>60</v>
      </c>
      <c r="D28">
        <v>1.3835392892360687E-2</v>
      </c>
      <c r="E28" s="364">
        <v>7.008799553715043E-3</v>
      </c>
      <c r="F28" s="364">
        <v>0.62392385004591855</v>
      </c>
      <c r="G28" s="364">
        <v>-8.6149095885005175E-2</v>
      </c>
      <c r="H28" s="364">
        <v>-0.25575043324125468</v>
      </c>
      <c r="I28">
        <v>4.1661777624195075E-2</v>
      </c>
      <c r="J28">
        <v>4.5760858827130338E-2</v>
      </c>
      <c r="K28">
        <v>0.17112839936510982</v>
      </c>
      <c r="L28">
        <v>3.222709634600187E-2</v>
      </c>
    </row>
    <row r="29" spans="1:12" x14ac:dyDescent="0.35">
      <c r="A29">
        <v>77702</v>
      </c>
      <c r="B29" s="363">
        <v>43220</v>
      </c>
      <c r="C29">
        <v>60</v>
      </c>
      <c r="D29">
        <v>-5.5277198553085327E-3</v>
      </c>
      <c r="E29" s="364">
        <v>5.9874588632565576E-3</v>
      </c>
      <c r="F29" s="364">
        <v>0.61660730375150685</v>
      </c>
      <c r="G29" s="364">
        <v>-5.0718183036863589E-2</v>
      </c>
      <c r="H29" s="364">
        <v>-0.27428003058788319</v>
      </c>
      <c r="I29">
        <v>4.1146230706620109E-2</v>
      </c>
      <c r="J29">
        <v>4.5274444252021248E-2</v>
      </c>
      <c r="K29">
        <v>0.17404980953841342</v>
      </c>
      <c r="L29">
        <v>-6.5618568861486176E-3</v>
      </c>
    </row>
    <row r="30" spans="1:12" x14ac:dyDescent="0.35">
      <c r="A30">
        <v>77702</v>
      </c>
      <c r="B30" s="363">
        <v>43251</v>
      </c>
      <c r="C30">
        <v>60</v>
      </c>
      <c r="D30">
        <v>-1.0422120802104473E-2</v>
      </c>
      <c r="E30" s="364">
        <v>5.1064502639294003E-3</v>
      </c>
      <c r="F30" s="364">
        <v>0.60492653014219966</v>
      </c>
      <c r="G30" s="364">
        <v>-0.1183238523725198</v>
      </c>
      <c r="H30" s="364">
        <v>-0.25130538532922458</v>
      </c>
      <c r="I30">
        <v>4.1280030167203156E-2</v>
      </c>
      <c r="J30">
        <v>4.5225530048002498E-2</v>
      </c>
      <c r="K30">
        <v>0.16687017696491036</v>
      </c>
      <c r="L30">
        <v>-3.4054043789662689E-2</v>
      </c>
    </row>
    <row r="31" spans="1:12" x14ac:dyDescent="0.35">
      <c r="A31">
        <v>77702</v>
      </c>
      <c r="B31" s="363">
        <v>43280</v>
      </c>
      <c r="C31">
        <v>60</v>
      </c>
      <c r="D31">
        <v>-0.13799187541007996</v>
      </c>
      <c r="E31" s="364">
        <v>1.6613161182780398E-3</v>
      </c>
      <c r="F31" s="364">
        <v>0.65274671955498209</v>
      </c>
      <c r="G31" s="364">
        <v>-0.19552852396330656</v>
      </c>
      <c r="H31" s="364">
        <v>-0.14491956271068196</v>
      </c>
      <c r="I31">
        <v>4.5230549069424399E-2</v>
      </c>
      <c r="J31">
        <v>4.9120314982611289E-2</v>
      </c>
      <c r="K31">
        <v>0.15210625083509266</v>
      </c>
      <c r="L31">
        <v>-0.14681387870112397</v>
      </c>
    </row>
    <row r="32" spans="1:12" x14ac:dyDescent="0.35">
      <c r="A32">
        <v>77702</v>
      </c>
      <c r="B32" s="363">
        <v>43312</v>
      </c>
      <c r="C32">
        <v>60</v>
      </c>
      <c r="D32">
        <v>7.2466753423213959E-2</v>
      </c>
      <c r="E32" s="364">
        <v>1.7750764130671154E-3</v>
      </c>
      <c r="F32" s="364">
        <v>0.62772140422361056</v>
      </c>
      <c r="G32" s="364">
        <v>-0.24514248441969319</v>
      </c>
      <c r="H32" s="364">
        <v>-0.14318820537207572</v>
      </c>
      <c r="I32">
        <v>4.5027679006430149E-2</v>
      </c>
      <c r="J32">
        <v>4.8694520436665722E-2</v>
      </c>
      <c r="K32">
        <v>0.1449353806289907</v>
      </c>
      <c r="L32">
        <v>4.6296879312433696E-2</v>
      </c>
    </row>
    <row r="33" spans="1:12" x14ac:dyDescent="0.35">
      <c r="A33">
        <v>77702</v>
      </c>
      <c r="B33" s="363">
        <v>43343</v>
      </c>
      <c r="C33">
        <v>60</v>
      </c>
      <c r="D33">
        <v>2.7104435488581657E-2</v>
      </c>
      <c r="E33" s="364">
        <v>1.6646829059511774E-3</v>
      </c>
      <c r="F33" s="364">
        <v>0.63108344371321701</v>
      </c>
      <c r="G33" s="364">
        <v>-0.24659997003132464</v>
      </c>
      <c r="H33" s="364">
        <v>-0.13885571916804168</v>
      </c>
      <c r="I33">
        <v>4.5024198072402016E-2</v>
      </c>
      <c r="J33">
        <v>4.8694258230248338E-2</v>
      </c>
      <c r="K33">
        <v>0.1450583724718908</v>
      </c>
      <c r="L33">
        <v>1.0065529318653427E-3</v>
      </c>
    </row>
    <row r="34" spans="1:12" x14ac:dyDescent="0.35">
      <c r="A34">
        <v>77702</v>
      </c>
      <c r="B34" s="363">
        <v>43371</v>
      </c>
      <c r="C34">
        <v>60</v>
      </c>
      <c r="D34">
        <v>6.3423745334148407E-2</v>
      </c>
      <c r="E34" s="364">
        <v>1.7519148258529158E-3</v>
      </c>
      <c r="F34" s="364">
        <v>0.59012111608366746</v>
      </c>
      <c r="G34" s="364">
        <v>-0.32822835040415538</v>
      </c>
      <c r="H34" s="364">
        <v>-0.13227510619470095</v>
      </c>
      <c r="I34">
        <v>4.4495812943894264E-2</v>
      </c>
      <c r="J34">
        <v>4.7991995784802309E-2</v>
      </c>
      <c r="K34">
        <v>0.14039156180820245</v>
      </c>
      <c r="L34">
        <v>5.3512748731343297E-2</v>
      </c>
    </row>
    <row r="35" spans="1:12" x14ac:dyDescent="0.35">
      <c r="A35">
        <v>77702</v>
      </c>
      <c r="B35" s="363">
        <v>43404</v>
      </c>
      <c r="C35">
        <v>60</v>
      </c>
      <c r="D35">
        <v>2.5158343836665154E-2</v>
      </c>
      <c r="E35" s="364">
        <v>3.1525659712432069E-3</v>
      </c>
      <c r="F35" s="364">
        <v>0.49770866692834548</v>
      </c>
      <c r="G35" s="364">
        <v>-0.36302581462099254</v>
      </c>
      <c r="H35" s="364">
        <v>-9.3114279507167497E-2</v>
      </c>
      <c r="I35">
        <v>4.4851907368290478E-2</v>
      </c>
      <c r="J35">
        <v>4.7678496358777835E-2</v>
      </c>
      <c r="K35">
        <v>0.11505407866509387</v>
      </c>
      <c r="L35">
        <v>5.7296075204888768E-2</v>
      </c>
    </row>
    <row r="36" spans="1:12" x14ac:dyDescent="0.35">
      <c r="A36">
        <v>77702</v>
      </c>
      <c r="B36" s="363">
        <v>43434</v>
      </c>
      <c r="C36">
        <v>60</v>
      </c>
      <c r="D36">
        <v>0.15119273960590363</v>
      </c>
      <c r="E36" s="364">
        <v>5.2541020086440517E-3</v>
      </c>
      <c r="F36" s="364">
        <v>0.52878088822013214</v>
      </c>
      <c r="G36" s="364">
        <v>-0.38940420299667156</v>
      </c>
      <c r="H36" s="364">
        <v>-6.7288180328155867E-2</v>
      </c>
      <c r="I36">
        <v>4.8124548709884973E-2</v>
      </c>
      <c r="J36">
        <v>5.1046737220337257E-2</v>
      </c>
      <c r="K36">
        <v>0.11121367625342693</v>
      </c>
      <c r="L36">
        <v>0.13875498472211048</v>
      </c>
    </row>
    <row r="37" spans="1:12" x14ac:dyDescent="0.35">
      <c r="A37">
        <v>77702</v>
      </c>
      <c r="B37" s="363">
        <v>43465</v>
      </c>
      <c r="C37">
        <v>60</v>
      </c>
      <c r="D37">
        <v>-3.4772176295518875E-2</v>
      </c>
      <c r="E37" s="364">
        <v>6.0368584593527277E-3</v>
      </c>
      <c r="F37" s="364">
        <v>0.55540001181177134</v>
      </c>
      <c r="G37" s="364">
        <v>-0.40168111561628095</v>
      </c>
      <c r="H37" s="364">
        <v>-5.8811429280258995E-2</v>
      </c>
      <c r="I37">
        <v>4.7478267366001331E-2</v>
      </c>
      <c r="J37">
        <v>5.1030664100551452E-2</v>
      </c>
      <c r="K37">
        <v>0.13437999794294098</v>
      </c>
      <c r="L37">
        <v>3.1243413907493314E-3</v>
      </c>
    </row>
    <row r="38" spans="1:12" x14ac:dyDescent="0.35">
      <c r="A38">
        <v>77702</v>
      </c>
      <c r="B38" s="363">
        <v>43496</v>
      </c>
      <c r="C38">
        <v>60</v>
      </c>
      <c r="D38">
        <v>5.8074500411748886E-2</v>
      </c>
      <c r="E38" s="364">
        <v>7.9404041450009902E-3</v>
      </c>
      <c r="F38" s="364">
        <v>0.5082860072046308</v>
      </c>
      <c r="G38" s="364">
        <v>-0.34849795445607651</v>
      </c>
      <c r="H38" s="364">
        <v>-0.11135663242101868</v>
      </c>
      <c r="I38">
        <v>4.6352829814448382E-2</v>
      </c>
      <c r="J38">
        <v>4.9519779727394506E-2</v>
      </c>
      <c r="K38">
        <v>0.12381644628136723</v>
      </c>
      <c r="L38">
        <v>2.0655341482417926E-2</v>
      </c>
    </row>
    <row r="39" spans="1:12" x14ac:dyDescent="0.35">
      <c r="A39">
        <v>77702</v>
      </c>
      <c r="B39" s="363">
        <v>43524</v>
      </c>
      <c r="C39">
        <v>60</v>
      </c>
      <c r="D39">
        <v>3.6395695060491562E-2</v>
      </c>
      <c r="E39" s="364">
        <v>8.4652444656127795E-3</v>
      </c>
      <c r="F39" s="364">
        <v>0.52900902670784433</v>
      </c>
      <c r="G39" s="364">
        <v>-0.34565164073505694</v>
      </c>
      <c r="H39" s="364">
        <v>-0.11875354409557565</v>
      </c>
      <c r="I39">
        <v>4.6217990442855239E-2</v>
      </c>
      <c r="J39">
        <v>4.9573514587805387E-2</v>
      </c>
      <c r="K39">
        <v>0.13079403711703885</v>
      </c>
      <c r="L39">
        <v>2.143897133755477E-2</v>
      </c>
    </row>
    <row r="40" spans="1:12" x14ac:dyDescent="0.35">
      <c r="A40">
        <v>77702</v>
      </c>
      <c r="B40" s="363">
        <v>43553</v>
      </c>
      <c r="C40">
        <v>60</v>
      </c>
      <c r="D40">
        <v>5.8069940656423569E-2</v>
      </c>
      <c r="E40" s="364">
        <v>8.2763015986461463E-3</v>
      </c>
      <c r="F40" s="364">
        <v>0.5273212292247127</v>
      </c>
      <c r="G40" s="364">
        <v>-0.3471897570156402</v>
      </c>
      <c r="H40" s="364">
        <v>-0.18516066661800021</v>
      </c>
      <c r="I40">
        <v>4.6227873999942458E-2</v>
      </c>
      <c r="J40">
        <v>4.9809908889820162E-2</v>
      </c>
      <c r="K40">
        <v>0.13865656672968296</v>
      </c>
      <c r="L40">
        <v>3.5240903932861771E-2</v>
      </c>
    </row>
    <row r="41" spans="1:12" x14ac:dyDescent="0.35">
      <c r="A41">
        <v>77702</v>
      </c>
      <c r="B41" s="363">
        <v>43585</v>
      </c>
      <c r="C41">
        <v>60</v>
      </c>
      <c r="D41">
        <v>4.4928763061761856E-2</v>
      </c>
      <c r="E41" s="364">
        <v>9.4034699572215913E-3</v>
      </c>
      <c r="F41" s="364">
        <v>0.5421256487091749</v>
      </c>
      <c r="G41" s="364">
        <v>-0.42149397819111656</v>
      </c>
      <c r="H41" s="364">
        <v>-0.13867069496345411</v>
      </c>
      <c r="I41">
        <v>4.5586664419712972E-2</v>
      </c>
      <c r="J41">
        <v>4.9481053441820307E-2</v>
      </c>
      <c r="K41">
        <v>0.15121487916085907</v>
      </c>
      <c r="L41">
        <v>1.9923727078001701E-2</v>
      </c>
    </row>
    <row r="42" spans="1:12" x14ac:dyDescent="0.35">
      <c r="A42">
        <v>77702</v>
      </c>
      <c r="B42" s="363">
        <v>43616</v>
      </c>
      <c r="C42">
        <v>60</v>
      </c>
      <c r="D42">
        <v>-1.6220426186919212E-2</v>
      </c>
      <c r="E42" s="364">
        <v>9.2491604523830991E-3</v>
      </c>
      <c r="F42" s="364">
        <v>0.53725345711571315</v>
      </c>
      <c r="G42" s="364">
        <v>-0.41400787660658372</v>
      </c>
      <c r="H42" s="364">
        <v>-0.14161372783419582</v>
      </c>
      <c r="I42">
        <v>4.5558866619308101E-2</v>
      </c>
      <c r="J42">
        <v>4.9552465477840264E-2</v>
      </c>
      <c r="K42">
        <v>0.15469139950125588</v>
      </c>
      <c r="L42">
        <v>1.0368579055102703E-2</v>
      </c>
    </row>
    <row r="43" spans="1:12" x14ac:dyDescent="0.35">
      <c r="A43">
        <v>77702</v>
      </c>
      <c r="B43" s="363">
        <v>43644</v>
      </c>
      <c r="C43">
        <v>60</v>
      </c>
      <c r="D43">
        <v>0.10215625166893005</v>
      </c>
      <c r="E43" s="364">
        <v>9.0117030750578048E-3</v>
      </c>
      <c r="F43" s="364">
        <v>0.5801910659834032</v>
      </c>
      <c r="G43" s="364">
        <v>-0.46463398590687632</v>
      </c>
      <c r="H43" s="364">
        <v>-0.13271217946168098</v>
      </c>
      <c r="I43">
        <v>4.5689547717882202E-2</v>
      </c>
      <c r="J43">
        <v>5.0499999888060587E-2</v>
      </c>
      <c r="K43">
        <v>0.18143916089827028</v>
      </c>
      <c r="L43">
        <v>6.3154149314704811E-2</v>
      </c>
    </row>
    <row r="44" spans="1:12" x14ac:dyDescent="0.35">
      <c r="A44">
        <v>77702</v>
      </c>
      <c r="B44" s="363">
        <v>43677</v>
      </c>
      <c r="C44">
        <v>60</v>
      </c>
      <c r="D44">
        <v>0.12954789400100708</v>
      </c>
      <c r="E44" s="364">
        <v>1.0915645602034309E-2</v>
      </c>
      <c r="F44" s="364">
        <v>0.59488772288514591</v>
      </c>
      <c r="G44" s="364">
        <v>-0.54104804796077055</v>
      </c>
      <c r="H44" s="364">
        <v>-9.3724229338205831E-2</v>
      </c>
      <c r="I44">
        <v>4.7515967804358981E-2</v>
      </c>
      <c r="J44">
        <v>5.2525315331797107E-2</v>
      </c>
      <c r="K44">
        <v>0.18164484569916717</v>
      </c>
      <c r="L44">
        <v>0.11228711214295023</v>
      </c>
    </row>
    <row r="45" spans="1:12" x14ac:dyDescent="0.35">
      <c r="A45">
        <v>77702</v>
      </c>
      <c r="B45" s="363">
        <v>43707</v>
      </c>
      <c r="C45">
        <v>60</v>
      </c>
      <c r="D45">
        <v>2.3550480604171753E-2</v>
      </c>
      <c r="E45" s="364">
        <v>1.1427183604934769E-2</v>
      </c>
      <c r="F45" s="364">
        <v>0.60494317592469515</v>
      </c>
      <c r="G45" s="364">
        <v>-0.5447896162257887</v>
      </c>
      <c r="H45" s="364">
        <v>-0.1038911439736333</v>
      </c>
      <c r="I45">
        <v>4.7369498133035245E-2</v>
      </c>
      <c r="J45">
        <v>5.250500554613851E-2</v>
      </c>
      <c r="K45">
        <v>0.18605295717489945</v>
      </c>
      <c r="L45">
        <v>2.0106919789677453E-2</v>
      </c>
    </row>
    <row r="46" spans="1:12" x14ac:dyDescent="0.35">
      <c r="A46">
        <v>77702</v>
      </c>
      <c r="B46" s="363">
        <v>43738</v>
      </c>
      <c r="C46">
        <v>60</v>
      </c>
      <c r="D46">
        <v>-8.4299914538860321E-2</v>
      </c>
      <c r="E46" s="364">
        <v>1.0103342988875849E-2</v>
      </c>
      <c r="F46" s="364">
        <v>0.57453652194586402</v>
      </c>
      <c r="G46" s="364">
        <v>-0.53311167346857113</v>
      </c>
      <c r="H46" s="364">
        <v>-0.30086872610450427</v>
      </c>
      <c r="I46">
        <v>4.853169264134715E-2</v>
      </c>
      <c r="J46">
        <v>5.3841839826213843E-2</v>
      </c>
      <c r="K46">
        <v>0.18752296647264177</v>
      </c>
      <c r="L46">
        <v>-9.2939296098574459E-2</v>
      </c>
    </row>
    <row r="47" spans="1:12" x14ac:dyDescent="0.35">
      <c r="A47">
        <v>77702</v>
      </c>
      <c r="B47" s="363">
        <v>43769</v>
      </c>
      <c r="C47">
        <v>60</v>
      </c>
      <c r="D47">
        <v>-4.3655291199684143E-2</v>
      </c>
      <c r="E47" s="364">
        <v>9.1887328442494601E-3</v>
      </c>
      <c r="F47" s="364">
        <v>0.564467436715127</v>
      </c>
      <c r="G47" s="364">
        <v>-0.5342142053090333</v>
      </c>
      <c r="H47" s="364">
        <v>-0.27568708007081227</v>
      </c>
      <c r="I47">
        <v>4.9389408832299746E-2</v>
      </c>
      <c r="J47">
        <v>5.4394133543238632E-2</v>
      </c>
      <c r="K47">
        <v>0.1755515051971378</v>
      </c>
      <c r="L47">
        <v>-6.1304797279873875E-2</v>
      </c>
    </row>
    <row r="48" spans="1:12" x14ac:dyDescent="0.35">
      <c r="A48">
        <v>77702</v>
      </c>
      <c r="B48" s="363">
        <v>43798</v>
      </c>
      <c r="C48">
        <v>60</v>
      </c>
      <c r="D48">
        <v>1.5137213282287121E-2</v>
      </c>
      <c r="E48" s="364">
        <v>8.5627478833814868E-3</v>
      </c>
      <c r="F48" s="364">
        <v>0.54566375113925591</v>
      </c>
      <c r="G48" s="364">
        <v>-0.51526374467850367</v>
      </c>
      <c r="H48" s="364">
        <v>-0.24603803228077675</v>
      </c>
      <c r="I48">
        <v>4.9204699712459631E-2</v>
      </c>
      <c r="J48">
        <v>5.3754114236527956E-2</v>
      </c>
      <c r="K48">
        <v>0.16210470527314957</v>
      </c>
      <c r="L48">
        <v>-9.2028418935464311E-3</v>
      </c>
    </row>
    <row r="49" spans="1:12" x14ac:dyDescent="0.35">
      <c r="A49">
        <v>77702</v>
      </c>
      <c r="B49" s="363">
        <v>43830</v>
      </c>
      <c r="C49">
        <v>60</v>
      </c>
      <c r="D49">
        <v>2.9146645218133926E-2</v>
      </c>
      <c r="E49" s="364">
        <v>8.307318056288213E-3</v>
      </c>
      <c r="F49" s="364">
        <v>0.55423443252128834</v>
      </c>
      <c r="G49" s="364">
        <v>-0.53106388209401967</v>
      </c>
      <c r="H49" s="364">
        <v>-0.25133021286782037</v>
      </c>
      <c r="I49">
        <v>4.9155432105158915E-2</v>
      </c>
      <c r="J49">
        <v>5.377796458182816E-2</v>
      </c>
      <c r="K49">
        <v>0.16452335371063254</v>
      </c>
      <c r="L49">
        <v>2.0745739051087668E-2</v>
      </c>
    </row>
    <row r="50" spans="1:12" x14ac:dyDescent="0.35">
      <c r="A50">
        <v>77702</v>
      </c>
      <c r="B50" s="363">
        <v>43861</v>
      </c>
      <c r="C50">
        <v>60</v>
      </c>
      <c r="D50">
        <v>-3.5145547240972519E-2</v>
      </c>
      <c r="E50" s="364">
        <v>6.2303223046697651E-3</v>
      </c>
      <c r="F50" s="364">
        <v>0.59450465036207578</v>
      </c>
      <c r="G50" s="364">
        <v>-0.50140469555581779</v>
      </c>
      <c r="H50" s="364">
        <v>-0.10239979047300844</v>
      </c>
      <c r="I50">
        <v>4.9201583206921203E-2</v>
      </c>
      <c r="J50">
        <v>5.3739265022728001E-2</v>
      </c>
      <c r="K50">
        <v>0.16174778324946582</v>
      </c>
      <c r="L50">
        <v>-6.8141194157693902E-2</v>
      </c>
    </row>
    <row r="51" spans="1:12" x14ac:dyDescent="0.35">
      <c r="A51">
        <v>77702</v>
      </c>
      <c r="B51" s="363">
        <v>43889</v>
      </c>
      <c r="C51">
        <v>60</v>
      </c>
      <c r="D51">
        <v>-7.0611827075481415E-2</v>
      </c>
      <c r="E51" s="364">
        <v>5.2548642287778497E-3</v>
      </c>
      <c r="F51" s="364">
        <v>0.60841691485455529</v>
      </c>
      <c r="G51" s="364">
        <v>-0.52852370968097984</v>
      </c>
      <c r="H51" s="364">
        <v>-6.8252325247562862E-2</v>
      </c>
      <c r="I51">
        <v>4.9161685049177679E-2</v>
      </c>
      <c r="J51">
        <v>5.4279100625031648E-2</v>
      </c>
      <c r="K51">
        <v>0.17967067985431262</v>
      </c>
      <c r="L51">
        <v>-2.2195082695746757E-2</v>
      </c>
    </row>
    <row r="52" spans="1:12" x14ac:dyDescent="0.35">
      <c r="A52">
        <v>77702</v>
      </c>
      <c r="B52" s="363">
        <v>43921</v>
      </c>
      <c r="C52">
        <v>60</v>
      </c>
      <c r="D52">
        <v>-0.16180035471916199</v>
      </c>
      <c r="E52" s="364">
        <v>3.4372911308536949E-3</v>
      </c>
      <c r="F52" s="364">
        <v>0.7387360453659324</v>
      </c>
      <c r="G52" s="364">
        <v>-0.54588682925278031</v>
      </c>
      <c r="H52" s="364">
        <v>0.15115065261240532</v>
      </c>
      <c r="I52">
        <v>5.0498944974278259E-2</v>
      </c>
      <c r="J52">
        <v>5.8727761242041612E-2</v>
      </c>
      <c r="K52">
        <v>0.26060294074786561</v>
      </c>
      <c r="L52">
        <v>-0.11700795691473073</v>
      </c>
    </row>
    <row r="53" spans="1:12" x14ac:dyDescent="0.35">
      <c r="A53">
        <v>77702</v>
      </c>
      <c r="B53" s="363">
        <v>43951</v>
      </c>
      <c r="C53">
        <v>60</v>
      </c>
      <c r="D53">
        <v>0.16717380285263062</v>
      </c>
      <c r="E53" s="364">
        <v>3.4594380272075678E-3</v>
      </c>
      <c r="F53" s="364">
        <v>0.82926072477265667</v>
      </c>
      <c r="G53" s="364">
        <v>-0.51320905098585223</v>
      </c>
      <c r="H53" s="364">
        <v>9.8205738043482274E-2</v>
      </c>
      <c r="I53">
        <v>5.126588290366129E-2</v>
      </c>
      <c r="J53">
        <v>6.2042116255044036E-2</v>
      </c>
      <c r="K53">
        <v>0.31721546457948002</v>
      </c>
      <c r="L53">
        <v>8.1603315043550895E-2</v>
      </c>
    </row>
    <row r="54" spans="1:12" x14ac:dyDescent="0.35">
      <c r="A54">
        <v>77702</v>
      </c>
      <c r="B54" s="363">
        <v>43980</v>
      </c>
      <c r="C54">
        <v>60</v>
      </c>
      <c r="D54">
        <v>2.176455594599247E-2</v>
      </c>
      <c r="E54" s="364">
        <v>2.6766491257000963E-3</v>
      </c>
      <c r="F54" s="364">
        <v>0.8250958662372142</v>
      </c>
      <c r="G54" s="364">
        <v>-0.53556651487662865</v>
      </c>
      <c r="H54" s="364">
        <v>0.1128476003336011</v>
      </c>
      <c r="I54">
        <v>5.0975796178079104E-2</v>
      </c>
      <c r="J54">
        <v>6.1824501391591867E-2</v>
      </c>
      <c r="K54">
        <v>0.32015988021571562</v>
      </c>
      <c r="L54">
        <v>-7.3206953210812435E-3</v>
      </c>
    </row>
    <row r="55" spans="1:12" x14ac:dyDescent="0.35">
      <c r="A55">
        <v>77702</v>
      </c>
      <c r="B55" s="363">
        <v>44012</v>
      </c>
      <c r="C55">
        <v>60</v>
      </c>
      <c r="D55">
        <v>-5.6417509913444519E-2</v>
      </c>
      <c r="E55" s="364">
        <v>3.9329028031890749E-4</v>
      </c>
      <c r="F55" s="364">
        <v>0.85185020006765921</v>
      </c>
      <c r="G55" s="364">
        <v>-0.66189873777670771</v>
      </c>
      <c r="H55" s="364">
        <v>0.13891984201603758</v>
      </c>
      <c r="I55">
        <v>5.0946292883797283E-2</v>
      </c>
      <c r="J55">
        <v>6.2328831072519922E-2</v>
      </c>
      <c r="K55">
        <v>0.33189116984300948</v>
      </c>
      <c r="L55">
        <v>-6.0106037925893217E-2</v>
      </c>
    </row>
    <row r="56" spans="1:12" x14ac:dyDescent="0.35">
      <c r="A56">
        <v>77702</v>
      </c>
      <c r="B56" s="363">
        <v>44043</v>
      </c>
      <c r="C56">
        <v>60</v>
      </c>
      <c r="D56">
        <v>3.9951115846633911E-2</v>
      </c>
      <c r="E56" s="364">
        <v>-1.2083448579036149E-4</v>
      </c>
      <c r="F56" s="364">
        <v>0.81936356964603629</v>
      </c>
      <c r="G56" s="364">
        <v>-0.5801158655030334</v>
      </c>
      <c r="H56" s="364">
        <v>0.16314563099063109</v>
      </c>
      <c r="I56">
        <v>5.0638609213121535E-2</v>
      </c>
      <c r="J56">
        <v>6.1744139893109146E-2</v>
      </c>
      <c r="K56">
        <v>0.32737648197837921</v>
      </c>
      <c r="L56">
        <v>-2.2266458335733583E-2</v>
      </c>
    </row>
    <row r="57" spans="1:12" x14ac:dyDescent="0.35">
      <c r="A57">
        <v>77702</v>
      </c>
      <c r="B57" s="363">
        <v>44074</v>
      </c>
      <c r="C57">
        <v>60</v>
      </c>
      <c r="D57">
        <v>0.10910757631063461</v>
      </c>
      <c r="E57" s="364">
        <v>2.4337064406497065E-4</v>
      </c>
      <c r="F57" s="364">
        <v>0.85020792926373401</v>
      </c>
      <c r="G57" s="364">
        <v>-0.59719870262578256</v>
      </c>
      <c r="H57" s="364">
        <v>0.14189184779651531</v>
      </c>
      <c r="I57">
        <v>5.1021716439636135E-2</v>
      </c>
      <c r="J57">
        <v>6.2608268704974157E-2</v>
      </c>
      <c r="K57">
        <v>0.33587972268606314</v>
      </c>
      <c r="L57">
        <v>4.9745687121260582E-2</v>
      </c>
    </row>
    <row r="58" spans="1:12" x14ac:dyDescent="0.35">
      <c r="A58">
        <v>77702</v>
      </c>
      <c r="B58" s="363">
        <v>44104</v>
      </c>
      <c r="C58">
        <v>60</v>
      </c>
      <c r="D58">
        <v>1.7165821045637131E-2</v>
      </c>
      <c r="E58" s="364">
        <v>1.7878414038696643E-4</v>
      </c>
      <c r="F58" s="364">
        <v>0.84180283223837638</v>
      </c>
      <c r="G58" s="364">
        <v>-0.54501126007345635</v>
      </c>
      <c r="H58" s="364">
        <v>0.11033254483565859</v>
      </c>
      <c r="I58">
        <v>5.1055605061892613E-2</v>
      </c>
      <c r="J58">
        <v>6.2499675086490007E-2</v>
      </c>
      <c r="K58">
        <v>0.3326843108733798</v>
      </c>
      <c r="L58">
        <v>5.1765375030704538E-2</v>
      </c>
    </row>
    <row r="59" spans="1:12" x14ac:dyDescent="0.35">
      <c r="A59">
        <v>77702</v>
      </c>
      <c r="B59" s="363">
        <v>44134</v>
      </c>
      <c r="C59">
        <v>60</v>
      </c>
      <c r="D59">
        <v>1.2104294262826443E-2</v>
      </c>
      <c r="E59" s="364">
        <v>1.4007988645887367E-3</v>
      </c>
      <c r="F59" s="364">
        <v>0.78776057207776307</v>
      </c>
      <c r="G59" s="364">
        <v>-0.44764039664995281</v>
      </c>
      <c r="H59" s="364">
        <v>0.14539693423751179</v>
      </c>
      <c r="I59">
        <v>5.1256333878798362E-2</v>
      </c>
      <c r="J59">
        <v>6.1341190033418778E-2</v>
      </c>
      <c r="K59">
        <v>0.30178257088282734</v>
      </c>
      <c r="L59">
        <v>4.9127316443908373E-2</v>
      </c>
    </row>
    <row r="60" spans="1:12" x14ac:dyDescent="0.35">
      <c r="A60">
        <v>77702</v>
      </c>
      <c r="B60" s="363">
        <v>44165</v>
      </c>
      <c r="C60">
        <v>60</v>
      </c>
      <c r="D60">
        <v>0.13235968351364136</v>
      </c>
      <c r="E60" s="364">
        <v>1.996256772806345E-3</v>
      </c>
      <c r="F60" s="364">
        <v>0.82130424097915711</v>
      </c>
      <c r="G60" s="364">
        <v>-0.38934979495602784</v>
      </c>
      <c r="H60" s="364">
        <v>0.14575345948765636</v>
      </c>
      <c r="I60">
        <v>5.1672181623404104E-2</v>
      </c>
      <c r="J60">
        <v>6.3314542442283656E-2</v>
      </c>
      <c r="K60">
        <v>0.33395027900004648</v>
      </c>
      <c r="L60">
        <v>5.6220667887007636E-2</v>
      </c>
    </row>
    <row r="61" spans="1:12" x14ac:dyDescent="0.35">
      <c r="A61">
        <v>77702</v>
      </c>
      <c r="B61" s="363">
        <v>44196</v>
      </c>
      <c r="C61">
        <v>60</v>
      </c>
      <c r="D61">
        <v>9.1409988701343536E-2</v>
      </c>
      <c r="E61" s="364">
        <v>3.1044078170694182E-3</v>
      </c>
      <c r="F61" s="364">
        <v>0.82049937683413365</v>
      </c>
      <c r="G61" s="364">
        <v>-0.30423181081754697</v>
      </c>
      <c r="H61" s="364">
        <v>0.1174923374888845</v>
      </c>
      <c r="I61">
        <v>5.2425071800788203E-2</v>
      </c>
      <c r="J61">
        <v>6.4013190744249424E-2</v>
      </c>
      <c r="K61">
        <v>0.32928330363573177</v>
      </c>
      <c r="L61">
        <v>7.4134536931562578E-2</v>
      </c>
    </row>
    <row r="62" spans="1:12" x14ac:dyDescent="0.35">
      <c r="E62" s="366" t="s">
        <v>163</v>
      </c>
      <c r="F62" s="365">
        <f>AVERAGE(F2:F61)</f>
        <v>0.69356186803086706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B2:G16"/>
  <sheetViews>
    <sheetView showGridLines="0" workbookViewId="0">
      <selection activeCell="B1" sqref="B1:F16"/>
    </sheetView>
  </sheetViews>
  <sheetFormatPr defaultRowHeight="14.5" x14ac:dyDescent="0.35"/>
  <cols>
    <col min="2" max="2" width="33.54296875" customWidth="1"/>
    <col min="3" max="3" width="18.453125" customWidth="1"/>
    <col min="5" max="5" width="10.453125" customWidth="1"/>
  </cols>
  <sheetData>
    <row r="2" spans="2:7" x14ac:dyDescent="0.35">
      <c r="B2" s="391" t="s">
        <v>156</v>
      </c>
      <c r="C2" s="391" t="s">
        <v>158</v>
      </c>
      <c r="D2" s="392" t="s">
        <v>174</v>
      </c>
    </row>
    <row r="3" spans="2:7" x14ac:dyDescent="0.35">
      <c r="B3" s="112" t="s">
        <v>157</v>
      </c>
      <c r="C3" s="113">
        <f>SBUX_Bonds!C23</f>
        <v>15843260300</v>
      </c>
      <c r="D3" s="5">
        <f>C3/$C$5</f>
        <v>0.10707276018152379</v>
      </c>
    </row>
    <row r="4" spans="2:7" x14ac:dyDescent="0.35">
      <c r="B4" s="112" t="s">
        <v>27</v>
      </c>
      <c r="C4" s="114">
        <f>111.45*'SBUX_Income Statement'!B49*1000</f>
        <v>132123975000</v>
      </c>
      <c r="D4" s="5">
        <f>C4/$C$5</f>
        <v>0.89292723981847621</v>
      </c>
      <c r="E4" s="103"/>
    </row>
    <row r="5" spans="2:7" x14ac:dyDescent="0.35">
      <c r="B5" s="393" t="s">
        <v>159</v>
      </c>
      <c r="C5" s="394">
        <f>SUM(C3:C4)</f>
        <v>147967235300</v>
      </c>
      <c r="D5" s="395">
        <f>SUM(D3:D4)</f>
        <v>1</v>
      </c>
      <c r="F5" s="104"/>
    </row>
    <row r="6" spans="2:7" x14ac:dyDescent="0.35">
      <c r="B6" s="111"/>
    </row>
    <row r="7" spans="2:7" x14ac:dyDescent="0.35">
      <c r="B7" s="428" t="s">
        <v>161</v>
      </c>
      <c r="C7" s="428"/>
    </row>
    <row r="8" spans="2:7" x14ac:dyDescent="0.35">
      <c r="B8" s="112" t="s">
        <v>162</v>
      </c>
      <c r="C8" s="5">
        <v>1.6299999999999999E-2</v>
      </c>
    </row>
    <row r="9" spans="2:7" x14ac:dyDescent="0.35">
      <c r="B9" s="112" t="s">
        <v>163</v>
      </c>
      <c r="C9" s="281">
        <f>2/3*Beta_monthly!B18+1/3</f>
        <v>0.88067843584915173</v>
      </c>
    </row>
    <row r="10" spans="2:7" x14ac:dyDescent="0.35">
      <c r="B10" s="112" t="s">
        <v>164</v>
      </c>
      <c r="C10" s="5">
        <v>5.5E-2</v>
      </c>
    </row>
    <row r="11" spans="2:7" x14ac:dyDescent="0.35">
      <c r="B11" s="116" t="s">
        <v>176</v>
      </c>
      <c r="C11" s="5">
        <f>C8+C9*C10</f>
        <v>6.4737313971703347E-2</v>
      </c>
    </row>
    <row r="12" spans="2:7" x14ac:dyDescent="0.35">
      <c r="G12" s="4"/>
    </row>
    <row r="13" spans="2:7" x14ac:dyDescent="0.35">
      <c r="B13" s="391" t="s">
        <v>156</v>
      </c>
      <c r="C13" s="391" t="s">
        <v>158</v>
      </c>
      <c r="D13" s="392" t="s">
        <v>174</v>
      </c>
      <c r="E13" s="396" t="s">
        <v>160</v>
      </c>
    </row>
    <row r="14" spans="2:7" x14ac:dyDescent="0.35">
      <c r="B14" s="112" t="s">
        <v>157</v>
      </c>
      <c r="C14" s="113">
        <f>SBUX_Bonds!C23</f>
        <v>15843260300</v>
      </c>
      <c r="D14" s="121">
        <f>C14/C16</f>
        <v>0.10707276018152379</v>
      </c>
      <c r="E14" s="5">
        <f ca="1">SBUX_Bonds!Q22*(1-'Historical Ratios'!C10)</f>
        <v>-3.1067238675456688E-2</v>
      </c>
    </row>
    <row r="15" spans="2:7" x14ac:dyDescent="0.35">
      <c r="B15" s="112" t="s">
        <v>27</v>
      </c>
      <c r="C15" s="114">
        <f>111.45*'SBUX_Income Statement'!B49*1000</f>
        <v>132123975000</v>
      </c>
      <c r="D15" s="121">
        <f>C15/C16</f>
        <v>0.89292723981847621</v>
      </c>
      <c r="E15" s="5">
        <f>C11</f>
        <v>6.4737313971703347E-2</v>
      </c>
    </row>
    <row r="16" spans="2:7" x14ac:dyDescent="0.35">
      <c r="B16" s="393" t="s">
        <v>159</v>
      </c>
      <c r="C16" s="394">
        <f>SUM(C14:C15)</f>
        <v>147967235300</v>
      </c>
      <c r="D16" s="397">
        <f>SUM(D14:D15)</f>
        <v>1</v>
      </c>
      <c r="E16" s="398">
        <f ca="1">D14*E14+D15*E15</f>
        <v>5.4479256081815808E-2</v>
      </c>
    </row>
  </sheetData>
  <mergeCells count="1">
    <mergeCell ref="B7:C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R9"/>
  <sheetViews>
    <sheetView tabSelected="1" workbookViewId="0">
      <selection activeCell="C5" sqref="C5:H5"/>
    </sheetView>
  </sheetViews>
  <sheetFormatPr defaultRowHeight="14.5" x14ac:dyDescent="0.35"/>
  <cols>
    <col min="1" max="1" width="17.81640625" customWidth="1"/>
    <col min="2" max="2" width="8.453125" bestFit="1" customWidth="1"/>
    <col min="3" max="3" width="8.81640625" bestFit="1" customWidth="1"/>
    <col min="4" max="5" width="12.1796875" bestFit="1" customWidth="1"/>
    <col min="6" max="8" width="10.54296875" customWidth="1"/>
    <col min="9" max="9" width="12.26953125" customWidth="1"/>
    <col min="10" max="10" width="22.26953125" customWidth="1"/>
    <col min="11" max="14" width="12.1796875" bestFit="1" customWidth="1"/>
    <col min="15" max="16" width="9.453125" bestFit="1" customWidth="1"/>
    <col min="17" max="17" width="12.54296875" customWidth="1"/>
  </cols>
  <sheetData>
    <row r="2" spans="1:18" x14ac:dyDescent="0.35">
      <c r="A2" s="430" t="s">
        <v>188</v>
      </c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1"/>
      <c r="Q2" s="432" t="s">
        <v>187</v>
      </c>
    </row>
    <row r="3" spans="1:18" x14ac:dyDescent="0.35">
      <c r="A3" s="115" t="s">
        <v>181</v>
      </c>
      <c r="B3" s="126">
        <v>2014</v>
      </c>
      <c r="C3" s="126">
        <f>B3+1</f>
        <v>2015</v>
      </c>
      <c r="D3" s="126">
        <f t="shared" ref="D3:P3" si="0">C3+1</f>
        <v>2016</v>
      </c>
      <c r="E3" s="126">
        <f t="shared" si="0"/>
        <v>2017</v>
      </c>
      <c r="F3" s="126">
        <f t="shared" si="0"/>
        <v>2018</v>
      </c>
      <c r="G3" s="126" t="s">
        <v>184</v>
      </c>
      <c r="H3" s="126" t="s">
        <v>185</v>
      </c>
      <c r="I3" s="126" t="s">
        <v>182</v>
      </c>
      <c r="J3" s="126" t="s">
        <v>37</v>
      </c>
      <c r="K3" s="127">
        <v>2021</v>
      </c>
      <c r="L3" s="127">
        <f t="shared" si="0"/>
        <v>2022</v>
      </c>
      <c r="M3" s="127">
        <f t="shared" si="0"/>
        <v>2023</v>
      </c>
      <c r="N3" s="127">
        <f t="shared" si="0"/>
        <v>2024</v>
      </c>
      <c r="O3" s="127">
        <f t="shared" si="0"/>
        <v>2025</v>
      </c>
      <c r="P3" s="127">
        <f t="shared" si="0"/>
        <v>2026</v>
      </c>
      <c r="Q3" s="433"/>
      <c r="R3" s="131"/>
    </row>
    <row r="4" spans="1:18" x14ac:dyDescent="0.35">
      <c r="A4" s="115" t="s">
        <v>178</v>
      </c>
      <c r="B4" s="135">
        <v>17527</v>
      </c>
      <c r="C4" s="135">
        <v>18238</v>
      </c>
      <c r="D4" s="135">
        <v>18745</v>
      </c>
      <c r="E4" s="135">
        <v>19543</v>
      </c>
      <c r="F4" s="135">
        <v>20612</v>
      </c>
      <c r="G4" s="135">
        <v>21433</v>
      </c>
      <c r="H4" s="135">
        <v>20940</v>
      </c>
      <c r="I4" s="129">
        <f>(H4-B4)/B4</f>
        <v>0.19472813373652079</v>
      </c>
      <c r="J4" s="129">
        <f>(H4/B4)^(1/6)-1</f>
        <v>3.0097140945328782E-2</v>
      </c>
      <c r="K4" s="128">
        <f>H4*(1+K5)</f>
        <v>22278.066000000003</v>
      </c>
      <c r="L4" s="128">
        <f>K4*(1+L5)</f>
        <v>23062.253923200002</v>
      </c>
      <c r="M4" s="128">
        <f t="shared" ref="M4:P4" si="1">L4*(1+M5)</f>
        <v>23387.431703517123</v>
      </c>
      <c r="N4" s="128">
        <f t="shared" si="1"/>
        <v>23733.565692729175</v>
      </c>
      <c r="O4" s="128">
        <f t="shared" si="1"/>
        <v>24115.676100382116</v>
      </c>
      <c r="P4" s="128">
        <f t="shared" si="1"/>
        <v>24503.938485598268</v>
      </c>
      <c r="Q4" s="130"/>
    </row>
    <row r="5" spans="1:18" x14ac:dyDescent="0.35">
      <c r="A5" s="115" t="s">
        <v>179</v>
      </c>
      <c r="B5" s="128"/>
      <c r="C5" s="129">
        <f>(C4-B4)/B4</f>
        <v>4.0565983910538027E-2</v>
      </c>
      <c r="D5" s="129">
        <f t="shared" ref="D5:H5" si="2">(D4-C4)/C4</f>
        <v>2.7799100778594144E-2</v>
      </c>
      <c r="E5" s="129">
        <f t="shared" si="2"/>
        <v>4.2571352360629498E-2</v>
      </c>
      <c r="F5" s="129">
        <f t="shared" si="2"/>
        <v>5.4699892544645141E-2</v>
      </c>
      <c r="G5" s="129">
        <f t="shared" si="2"/>
        <v>3.9831166310886859E-2</v>
      </c>
      <c r="H5" s="129">
        <f t="shared" si="2"/>
        <v>-2.3001912937992815E-2</v>
      </c>
      <c r="I5" s="129" t="s">
        <v>75</v>
      </c>
      <c r="J5" s="129">
        <f>AVERAGE(C5:H5)</f>
        <v>3.0410930494550143E-2</v>
      </c>
      <c r="K5" s="129">
        <v>6.3899999999999998E-2</v>
      </c>
      <c r="L5" s="129">
        <v>3.5200000000000002E-2</v>
      </c>
      <c r="M5" s="129">
        <v>1.41E-2</v>
      </c>
      <c r="N5" s="129">
        <v>1.4800000000000001E-2</v>
      </c>
      <c r="O5" s="129">
        <v>1.61E-2</v>
      </c>
      <c r="P5" s="129">
        <v>1.61E-2</v>
      </c>
      <c r="Q5" s="138">
        <f>AVERAGE(M5:P5)</f>
        <v>1.5275E-2</v>
      </c>
      <c r="R5" s="137" t="s">
        <v>189</v>
      </c>
    </row>
    <row r="6" spans="1:18" x14ac:dyDescent="0.35">
      <c r="A6" s="115" t="s">
        <v>180</v>
      </c>
      <c r="B6" s="139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  <c r="R6" s="137"/>
    </row>
    <row r="7" spans="1:18" x14ac:dyDescent="0.35">
      <c r="A7" s="115" t="s">
        <v>179</v>
      </c>
      <c r="B7" s="139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1"/>
      <c r="R7" s="137"/>
    </row>
    <row r="8" spans="1:18" x14ac:dyDescent="0.35">
      <c r="A8" s="136" t="s">
        <v>186</v>
      </c>
    </row>
    <row r="9" spans="1:18" x14ac:dyDescent="0.35">
      <c r="E9" s="305"/>
      <c r="F9" s="305" t="s">
        <v>378</v>
      </c>
      <c r="G9" s="134">
        <f>AVERAGE(C5:G5)</f>
        <v>4.1093499181058736E-2</v>
      </c>
    </row>
  </sheetData>
  <mergeCells count="2">
    <mergeCell ref="A2:P2"/>
    <mergeCell ref="Q2:Q3"/>
  </mergeCells>
  <phoneticPr fontId="18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0071C4173AC46A4EE93BA8340D285" ma:contentTypeVersion="2" ma:contentTypeDescription="Create a new document." ma:contentTypeScope="" ma:versionID="9aec7d059e7150a309f358dfdfb47f55">
  <xsd:schema xmlns:xsd="http://www.w3.org/2001/XMLSchema" xmlns:xs="http://www.w3.org/2001/XMLSchema" xmlns:p="http://schemas.microsoft.com/office/2006/metadata/properties" xmlns:ns2="8c04bfb7-7518-4472-b2a8-084383d6a802" targetNamespace="http://schemas.microsoft.com/office/2006/metadata/properties" ma:root="true" ma:fieldsID="5334c81a15a18b1f096a1e5d1fed70c3" ns2:_="">
    <xsd:import namespace="8c04bfb7-7518-4472-b2a8-084383d6a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bfb7-7518-4472-b2a8-084383d6a8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E26DB8-397F-4EF3-B82B-E22A4CF31AEE}"/>
</file>

<file path=customXml/itemProps2.xml><?xml version="1.0" encoding="utf-8"?>
<ds:datastoreItem xmlns:ds="http://schemas.openxmlformats.org/officeDocument/2006/customXml" ds:itemID="{90ECC502-82E1-41C8-8C40-602D8A667993}"/>
</file>

<file path=customXml/itemProps3.xml><?xml version="1.0" encoding="utf-8"?>
<ds:datastoreItem xmlns:ds="http://schemas.openxmlformats.org/officeDocument/2006/customXml" ds:itemID="{B8E4DAAD-68A8-458E-8942-95DA363D18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Cover</vt:lpstr>
      <vt:lpstr>Income Approach</vt:lpstr>
      <vt:lpstr>SBUX_BS</vt:lpstr>
      <vt:lpstr>SBUX_Income Statement</vt:lpstr>
      <vt:lpstr>SBUX_Statement of CF</vt:lpstr>
      <vt:lpstr>Historical Ratios</vt:lpstr>
      <vt:lpstr>Market Approach</vt:lpstr>
      <vt:lpstr>SBUX_Bonds</vt:lpstr>
      <vt:lpstr>Beta_monthly</vt:lpstr>
      <vt:lpstr>Beta_Beta Suite</vt:lpstr>
      <vt:lpstr>WACC</vt:lpstr>
      <vt:lpstr>GDP</vt:lpstr>
      <vt:lpstr>khvt9cixgufwiqsm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0x0101003C60071C4173AC46A4EE93BA8340D285</vt:lpwstr>
  </property>
</Properties>
</file>