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mo\Dropbox\My PC (ColosusV2)\Documents\Work\Energy Data\"/>
    </mc:Choice>
  </mc:AlternateContent>
  <xr:revisionPtr revIDLastSave="0" documentId="13_ncr:1_{333F1CFC-36DB-4B8B-B322-80BCC8C52AA4}" xr6:coauthVersionLast="47" xr6:coauthVersionMax="47" xr10:uidLastSave="{00000000-0000-0000-0000-000000000000}"/>
  <bookViews>
    <workbookView xWindow="-96" yWindow="-96" windowWidth="23232" windowHeight="12552" xr2:uid="{FB954C00-62E0-4263-BD2B-C9DFE63742EA}"/>
  </bookViews>
  <sheets>
    <sheet name="Case" sheetId="7" r:id="rId1"/>
    <sheet name="Cos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0" i="7" l="1"/>
  <c r="R70" i="7"/>
  <c r="P70" i="7"/>
  <c r="K22" i="9"/>
  <c r="L22" i="9" s="1"/>
  <c r="K23" i="9"/>
  <c r="L23" i="9" s="1"/>
  <c r="K24" i="9"/>
  <c r="L24" i="9" s="1"/>
  <c r="K25" i="9"/>
  <c r="L25" i="9" s="1"/>
  <c r="K26" i="9"/>
  <c r="L26" i="9" s="1"/>
  <c r="K27" i="9"/>
  <c r="L27" i="9" s="1"/>
  <c r="K21" i="9"/>
  <c r="L21" i="9" s="1"/>
  <c r="K16" i="9"/>
  <c r="L16" i="9" s="1"/>
  <c r="K17" i="9"/>
  <c r="L17" i="9" s="1"/>
  <c r="K15" i="9"/>
  <c r="L15" i="9" s="1"/>
  <c r="L5" i="9"/>
  <c r="N5" i="9"/>
  <c r="L6" i="9"/>
  <c r="N6" i="9"/>
  <c r="L7" i="9"/>
  <c r="M7" i="9"/>
  <c r="N7" i="9"/>
  <c r="M9" i="9"/>
  <c r="M8" i="9"/>
  <c r="M10" i="9"/>
  <c r="K9" i="9"/>
  <c r="K8" i="9"/>
  <c r="K10" i="9"/>
  <c r="B99" i="7"/>
  <c r="M89" i="7" l="1"/>
  <c r="M90" i="7"/>
  <c r="M88" i="7"/>
  <c r="M83" i="7"/>
  <c r="M62" i="7"/>
  <c r="M63" i="7"/>
  <c r="M64" i="7"/>
  <c r="M65" i="7"/>
  <c r="M66" i="7"/>
  <c r="M67" i="7"/>
  <c r="M68" i="7"/>
  <c r="M69" i="7"/>
  <c r="M70" i="7"/>
  <c r="M75" i="7"/>
  <c r="M76" i="7"/>
  <c r="M77" i="7"/>
  <c r="M78" i="7"/>
  <c r="M79" i="7"/>
  <c r="M80" i="7"/>
  <c r="M81" i="7"/>
  <c r="M61" i="7"/>
  <c r="J40" i="7"/>
  <c r="N62" i="7"/>
  <c r="N63" i="7"/>
  <c r="N64" i="7"/>
  <c r="N65" i="7"/>
  <c r="N66" i="7"/>
  <c r="N67" i="7"/>
  <c r="N68" i="7"/>
  <c r="N69" i="7"/>
  <c r="N70" i="7"/>
  <c r="N71" i="7"/>
  <c r="I71" i="7" s="1"/>
  <c r="N72" i="7"/>
  <c r="K72" i="7" s="1"/>
  <c r="N73" i="7"/>
  <c r="I73" i="7" s="1"/>
  <c r="N74" i="7"/>
  <c r="K74" i="7" s="1"/>
  <c r="N75" i="7"/>
  <c r="N76" i="7"/>
  <c r="N77" i="7"/>
  <c r="N78" i="7"/>
  <c r="N79" i="7"/>
  <c r="N80" i="7"/>
  <c r="N81" i="7"/>
  <c r="N82" i="7"/>
  <c r="K82" i="7" s="1"/>
  <c r="N83" i="7"/>
  <c r="I83" i="7" s="1"/>
  <c r="N84" i="7"/>
  <c r="K84" i="7" s="1"/>
  <c r="N85" i="7"/>
  <c r="K85" i="7" s="1"/>
  <c r="N86" i="7"/>
  <c r="I86" i="7" s="1"/>
  <c r="N88" i="7"/>
  <c r="N89" i="7"/>
  <c r="N90" i="7"/>
  <c r="I90" i="7" s="1"/>
  <c r="N61" i="7"/>
  <c r="N40" i="7"/>
  <c r="N41" i="7"/>
  <c r="I41" i="7" s="1"/>
  <c r="N42" i="7"/>
  <c r="I42" i="7" s="1"/>
  <c r="N43" i="7"/>
  <c r="K43" i="7" s="1"/>
  <c r="N39" i="7"/>
  <c r="I39" i="7" s="1"/>
  <c r="J71" i="7"/>
  <c r="J72" i="7"/>
  <c r="J73" i="7"/>
  <c r="J74" i="7"/>
  <c r="J82" i="7"/>
  <c r="J84" i="7"/>
  <c r="J85" i="7"/>
  <c r="J41" i="7"/>
  <c r="J43" i="7"/>
  <c r="J39" i="7"/>
  <c r="L89" i="7"/>
  <c r="L90" i="7"/>
  <c r="L88" i="7"/>
  <c r="L86" i="7"/>
  <c r="J86" i="7" s="1"/>
  <c r="L76" i="7"/>
  <c r="L77" i="7"/>
  <c r="L78" i="7"/>
  <c r="L79" i="7"/>
  <c r="L80" i="7"/>
  <c r="L81" i="7"/>
  <c r="J81" i="7" s="1"/>
  <c r="L75" i="7"/>
  <c r="L66" i="7"/>
  <c r="L67" i="7"/>
  <c r="L68" i="7"/>
  <c r="L69" i="7"/>
  <c r="L70" i="7"/>
  <c r="L65" i="7"/>
  <c r="L62" i="7"/>
  <c r="L63" i="7"/>
  <c r="L64" i="7"/>
  <c r="L61" i="7"/>
  <c r="K88" i="7" l="1"/>
  <c r="J63" i="7"/>
  <c r="J75" i="7"/>
  <c r="K39" i="7"/>
  <c r="K78" i="7"/>
  <c r="J88" i="7"/>
  <c r="K69" i="7"/>
  <c r="J69" i="7"/>
  <c r="K81" i="7"/>
  <c r="I70" i="7"/>
  <c r="K73" i="7"/>
  <c r="I82" i="7"/>
  <c r="J62" i="7"/>
  <c r="J90" i="7"/>
  <c r="K79" i="7"/>
  <c r="J79" i="7"/>
  <c r="K67" i="7"/>
  <c r="J67" i="7"/>
  <c r="K65" i="7"/>
  <c r="I81" i="7"/>
  <c r="K71" i="7"/>
  <c r="I89" i="7"/>
  <c r="J70" i="7"/>
  <c r="I79" i="7"/>
  <c r="I64" i="7"/>
  <c r="I88" i="7"/>
  <c r="K63" i="7"/>
  <c r="I72" i="7"/>
  <c r="I80" i="7"/>
  <c r="J80" i="7"/>
  <c r="K77" i="7"/>
  <c r="I65" i="7"/>
  <c r="J68" i="7"/>
  <c r="K80" i="7"/>
  <c r="K70" i="7"/>
  <c r="I62" i="7"/>
  <c r="K75" i="7"/>
  <c r="K86" i="7"/>
  <c r="I63" i="7"/>
  <c r="K64" i="7"/>
  <c r="I78" i="7"/>
  <c r="J64" i="7"/>
  <c r="I76" i="7"/>
  <c r="K41" i="7"/>
  <c r="K66" i="7"/>
  <c r="I61" i="7"/>
  <c r="K61" i="7"/>
  <c r="I69" i="7"/>
  <c r="I74" i="7"/>
  <c r="K42" i="7"/>
  <c r="I75" i="7"/>
  <c r="I84" i="7"/>
  <c r="K90" i="7"/>
  <c r="K83" i="7"/>
  <c r="I68" i="7"/>
  <c r="I67" i="7"/>
  <c r="K89" i="7"/>
  <c r="J78" i="7"/>
  <c r="J77" i="7"/>
  <c r="K62" i="7"/>
  <c r="J61" i="7"/>
  <c r="J83" i="7"/>
  <c r="J42" i="7"/>
  <c r="J52" i="7" s="1"/>
  <c r="J66" i="7"/>
  <c r="J65" i="7"/>
  <c r="J89" i="7"/>
  <c r="I66" i="7"/>
  <c r="J76" i="7"/>
  <c r="K76" i="7"/>
  <c r="K68" i="7"/>
  <c r="I40" i="7"/>
  <c r="I85" i="7"/>
  <c r="I77" i="7"/>
  <c r="K40" i="7"/>
  <c r="I43" i="7"/>
  <c r="K52" i="7" l="1"/>
  <c r="I52" i="7"/>
  <c r="B91" i="7" l="1"/>
  <c r="C91" i="7"/>
  <c r="D91" i="7"/>
  <c r="C20" i="7"/>
  <c r="D20" i="7"/>
  <c r="B20" i="7"/>
  <c r="H39" i="7"/>
  <c r="H55" i="7"/>
  <c r="H56" i="7"/>
  <c r="H57" i="7"/>
  <c r="H37" i="7"/>
  <c r="H38" i="7"/>
  <c r="H40" i="7"/>
  <c r="H41" i="7"/>
  <c r="H42" i="7"/>
  <c r="H43" i="7"/>
  <c r="H44" i="7"/>
  <c r="H45" i="7"/>
  <c r="H46" i="7"/>
  <c r="H47" i="7"/>
  <c r="H48" i="7"/>
  <c r="H49" i="7"/>
  <c r="H50" i="7"/>
  <c r="H51" i="7"/>
  <c r="H36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69" i="7"/>
  <c r="H70" i="7"/>
  <c r="H68" i="7"/>
  <c r="H66" i="7"/>
  <c r="H67" i="7"/>
  <c r="H65" i="7"/>
  <c r="H64" i="7"/>
  <c r="H62" i="7"/>
  <c r="H63" i="7"/>
  <c r="H61" i="7"/>
  <c r="C87" i="7"/>
  <c r="D87" i="7"/>
  <c r="B87" i="7"/>
  <c r="H89" i="7"/>
  <c r="H90" i="7"/>
  <c r="H88" i="7"/>
  <c r="B92" i="7" l="1"/>
  <c r="D92" i="7"/>
  <c r="I6" i="9" s="1"/>
  <c r="M6" i="9" s="1"/>
  <c r="C92" i="7"/>
  <c r="I5" i="9" s="1"/>
  <c r="M5" i="9" s="1"/>
  <c r="I91" i="7"/>
  <c r="K91" i="7"/>
  <c r="J91" i="7"/>
  <c r="I87" i="7"/>
  <c r="K87" i="7"/>
  <c r="J87" i="7"/>
  <c r="H87" i="7"/>
  <c r="H91" i="7"/>
  <c r="D58" i="7"/>
  <c r="B58" i="7"/>
  <c r="C52" i="7"/>
  <c r="D52" i="7"/>
  <c r="E52" i="7"/>
  <c r="E96" i="7" s="1"/>
  <c r="G7" i="9" s="1"/>
  <c r="K7" i="9" s="1"/>
  <c r="B33" i="7"/>
  <c r="C33" i="7"/>
  <c r="D33" i="7"/>
  <c r="C58" i="7"/>
  <c r="B52" i="7"/>
  <c r="H32" i="7"/>
  <c r="H31" i="7"/>
  <c r="H30" i="7"/>
  <c r="H29" i="7"/>
  <c r="H28" i="7"/>
  <c r="H27" i="7"/>
  <c r="H26" i="7"/>
  <c r="H24" i="7"/>
  <c r="H23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B100" i="7" l="1"/>
  <c r="I4" i="9"/>
  <c r="M4" i="9" s="1"/>
  <c r="M11" i="9" s="1"/>
  <c r="H92" i="7"/>
  <c r="H99" i="7" s="1"/>
  <c r="J4" i="9" s="1"/>
  <c r="N4" i="9" s="1"/>
  <c r="I92" i="7"/>
  <c r="H20" i="7"/>
  <c r="K92" i="7"/>
  <c r="C96" i="7"/>
  <c r="G5" i="9" s="1"/>
  <c r="K5" i="9" s="1"/>
  <c r="D96" i="7"/>
  <c r="G6" i="9" s="1"/>
  <c r="K6" i="9" s="1"/>
  <c r="J92" i="7"/>
  <c r="B96" i="7"/>
  <c r="H52" i="7"/>
  <c r="H33" i="7"/>
  <c r="H58" i="7"/>
  <c r="K101" i="7" l="1"/>
  <c r="J10" i="9" s="1"/>
  <c r="N10" i="9" s="1"/>
  <c r="K99" i="7"/>
  <c r="I101" i="7"/>
  <c r="I99" i="7"/>
  <c r="J96" i="7"/>
  <c r="J98" i="7" s="1"/>
  <c r="H9" i="9" s="1"/>
  <c r="L9" i="9" s="1"/>
  <c r="J99" i="7"/>
  <c r="H96" i="7"/>
  <c r="H4" i="9" s="1"/>
  <c r="L4" i="9" s="1"/>
  <c r="B97" i="7"/>
  <c r="G4" i="9"/>
  <c r="K4" i="9" s="1"/>
  <c r="K11" i="9" s="1"/>
  <c r="H100" i="7"/>
  <c r="I100" i="7"/>
  <c r="I96" i="7"/>
  <c r="J100" i="7"/>
  <c r="J101" i="7"/>
  <c r="J9" i="9" s="1"/>
  <c r="N9" i="9" s="1"/>
  <c r="K96" i="7"/>
  <c r="K100" i="7"/>
  <c r="J97" i="7" l="1"/>
  <c r="H97" i="7"/>
  <c r="G99" i="7"/>
  <c r="M101" i="7"/>
  <c r="J8" i="9"/>
  <c r="N8" i="9" s="1"/>
  <c r="N11" i="9" s="1"/>
  <c r="I97" i="7"/>
  <c r="G96" i="7"/>
  <c r="G100" i="7"/>
  <c r="K97" i="7"/>
  <c r="K98" i="7"/>
  <c r="H10" i="9" s="1"/>
  <c r="L10" i="9" s="1"/>
  <c r="I98" i="7"/>
  <c r="H8" i="9" s="1"/>
  <c r="L8" i="9" s="1"/>
  <c r="L11" i="9" l="1"/>
  <c r="M98" i="7"/>
  <c r="G97" i="7"/>
</calcChain>
</file>

<file path=xl/sharedStrings.xml><?xml version="1.0" encoding="utf-8"?>
<sst xmlns="http://schemas.openxmlformats.org/spreadsheetml/2006/main" count="292" uniqueCount="182">
  <si>
    <t xml:space="preserve"> </t>
  </si>
  <si>
    <t>el. in ebfuel</t>
  </si>
  <si>
    <t>Fuel Cell (60%)</t>
  </si>
  <si>
    <t>BTU elec. Replaces</t>
  </si>
  <si>
    <t>saves gge</t>
  </si>
  <si>
    <t>kWh driving</t>
  </si>
  <si>
    <t>btu</t>
  </si>
  <si>
    <t xml:space="preserve">gge </t>
  </si>
  <si>
    <t>kWh</t>
  </si>
  <si>
    <t>Conversion Factors</t>
  </si>
  <si>
    <t xml:space="preserve">  Motorcycles</t>
  </si>
  <si>
    <t xml:space="preserve">  Commercial Light Trucks (Class 2a)</t>
  </si>
  <si>
    <t xml:space="preserve">  Light Trucks (Class 1)</t>
  </si>
  <si>
    <t xml:space="preserve">  Automobiles</t>
  </si>
  <si>
    <t>https://www.eia.gov/outlooks/aeo/data/browser/#/?id=45-AEO2021&amp;region=0-0&amp;cases=ref2021&amp;start=2019&amp;end=2050&amp;f=A&amp;linechart=ref2021-d113020a.4-45-AEO2021&amp;sourcekey=0</t>
  </si>
  <si>
    <t>BTUe/BTUf</t>
  </si>
  <si>
    <t>Residential</t>
  </si>
  <si>
    <t xml:space="preserve">   Space Heating</t>
  </si>
  <si>
    <t xml:space="preserve">   Space Cooling</t>
  </si>
  <si>
    <t xml:space="preserve">   Water Heating</t>
  </si>
  <si>
    <t xml:space="preserve">   Cooking</t>
  </si>
  <si>
    <t xml:space="preserve">   Clothes Dryers</t>
  </si>
  <si>
    <t xml:space="preserve">   Refrigeration</t>
  </si>
  <si>
    <t xml:space="preserve">   Freezers</t>
  </si>
  <si>
    <t xml:space="preserve">   Lighting</t>
  </si>
  <si>
    <t xml:space="preserve">   Furnace Fans and Boiler Circulation Pumps</t>
  </si>
  <si>
    <t>Electricty</t>
  </si>
  <si>
    <t>Natural Gas</t>
  </si>
  <si>
    <t xml:space="preserve">   Ventilation</t>
  </si>
  <si>
    <t xml:space="preserve">   Computing</t>
  </si>
  <si>
    <t xml:space="preserve">   Office Equipment</t>
  </si>
  <si>
    <t>Commercial</t>
  </si>
  <si>
    <t xml:space="preserve">    Food Products</t>
  </si>
  <si>
    <t xml:space="preserve">    Paper Products</t>
  </si>
  <si>
    <t xml:space="preserve">    Glass</t>
  </si>
  <si>
    <t xml:space="preserve">    Cement and Lime</t>
  </si>
  <si>
    <t xml:space="preserve">    Iron and Steel</t>
  </si>
  <si>
    <t xml:space="preserve">    Aluminum</t>
  </si>
  <si>
    <t xml:space="preserve">    Fabricated Metal Products</t>
  </si>
  <si>
    <t xml:space="preserve">    Machinery</t>
  </si>
  <si>
    <t xml:space="preserve">    Computers and Electronics</t>
  </si>
  <si>
    <t xml:space="preserve">    Transportation Equipment</t>
  </si>
  <si>
    <t xml:space="preserve">    Electrical Equipment</t>
  </si>
  <si>
    <t xml:space="preserve">    Wood Products</t>
  </si>
  <si>
    <t xml:space="preserve">    Plastics</t>
  </si>
  <si>
    <t xml:space="preserve">    Balance of Manufacturing</t>
  </si>
  <si>
    <t xml:space="preserve">    Agriculture</t>
  </si>
  <si>
    <t xml:space="preserve">    Construction</t>
  </si>
  <si>
    <t xml:space="preserve">    Mining</t>
  </si>
  <si>
    <t>Coal</t>
  </si>
  <si>
    <t>Petroleum</t>
  </si>
  <si>
    <t>Lease&amp;Plant Fuel</t>
  </si>
  <si>
    <t>Replacement</t>
  </si>
  <si>
    <t>Heat Pump</t>
  </si>
  <si>
    <t>COP</t>
  </si>
  <si>
    <t>For ebF</t>
  </si>
  <si>
    <t>QBTU</t>
  </si>
  <si>
    <t>Total</t>
  </si>
  <si>
    <t>Hydrogen</t>
  </si>
  <si>
    <t>Transportation</t>
  </si>
  <si>
    <t>Direct</t>
  </si>
  <si>
    <t>BTU gas.</t>
  </si>
  <si>
    <t>Fuel Cell (50%)</t>
  </si>
  <si>
    <t xml:space="preserve">el. In H2 </t>
  </si>
  <si>
    <t>el. in eFuel</t>
  </si>
  <si>
    <t>LD FC corr.</t>
  </si>
  <si>
    <t>HD FC corr.</t>
  </si>
  <si>
    <t>eFuel</t>
  </si>
  <si>
    <t>ebFuel</t>
  </si>
  <si>
    <t>Incremental Electricity</t>
  </si>
  <si>
    <t>For eH</t>
  </si>
  <si>
    <t>For eF</t>
  </si>
  <si>
    <t>Conventional</t>
  </si>
  <si>
    <t>Resistive</t>
  </si>
  <si>
    <t>Electro-fuel</t>
  </si>
  <si>
    <t xml:space="preserve">    Bulk Chemicals Process</t>
  </si>
  <si>
    <t xml:space="preserve">    Bulk Chemicals Feedstok</t>
  </si>
  <si>
    <t>Commercial Subtotals</t>
  </si>
  <si>
    <t>Residential Subtotal</t>
  </si>
  <si>
    <t xml:space="preserve">   Computers and Related Equipment</t>
  </si>
  <si>
    <t xml:space="preserve">   Televisions and Related Equipment</t>
  </si>
  <si>
    <t xml:space="preserve">   Clothes Washers</t>
  </si>
  <si>
    <t xml:space="preserve">   Dishwashers</t>
  </si>
  <si>
    <t xml:space="preserve">   Other Uses</t>
  </si>
  <si>
    <t>Manufacturing</t>
  </si>
  <si>
    <t xml:space="preserve"> Manufacturing Subtotal</t>
  </si>
  <si>
    <t>Nonmanufacturing Subtotal</t>
  </si>
  <si>
    <t xml:space="preserve">  Buses - Transit</t>
  </si>
  <si>
    <t xml:space="preserve">  Buses - Intercity</t>
  </si>
  <si>
    <t xml:space="preserve">  Buses - School</t>
  </si>
  <si>
    <t xml:space="preserve">  Freight Truck Light Medium (Class 2b)</t>
  </si>
  <si>
    <t xml:space="preserve">  Freight Truck Medium (Class 3-6)</t>
  </si>
  <si>
    <t xml:space="preserve">  Freight TruckLarge  (Class 7-8)</t>
  </si>
  <si>
    <t xml:space="preserve">  Aviation - General</t>
  </si>
  <si>
    <t xml:space="preserve">  Aviation - Domestic Passenger</t>
  </si>
  <si>
    <t xml:space="preserve">  Aviation - International Passenger</t>
  </si>
  <si>
    <t xml:space="preserve">  Aviation - Dedicated Freight</t>
  </si>
  <si>
    <t xml:space="preserve">  Maritime - Domestic Shipping</t>
  </si>
  <si>
    <t xml:space="preserve">  Maritime - International Shipping</t>
  </si>
  <si>
    <t xml:space="preserve">  Maritime -  Recreational Boats</t>
  </si>
  <si>
    <t xml:space="preserve">  Rail Freight</t>
  </si>
  <si>
    <t xml:space="preserve">  Rail Intercity Passenger</t>
  </si>
  <si>
    <t xml:space="preserve">  Rail Transit Passenger</t>
  </si>
  <si>
    <t xml:space="preserve">  Rail Commuter Passenger</t>
  </si>
  <si>
    <t xml:space="preserve">  Lubricants</t>
  </si>
  <si>
    <t xml:space="preserve">  Pipeline Fuel Natural Gas</t>
  </si>
  <si>
    <t xml:space="preserve">  Military Jet Fuel and Aviation Gasoline</t>
  </si>
  <si>
    <t xml:space="preserve">  Military Residual Fuel Oil</t>
  </si>
  <si>
    <t xml:space="preserve">  Military Distillates and Diesel</t>
  </si>
  <si>
    <t>Transportation Subtotals</t>
  </si>
  <si>
    <t xml:space="preserve">   Industrial Nonmanufacturing - Agriculture</t>
  </si>
  <si>
    <t xml:space="preserve">   Industrial Nonmanufacturing - Construction</t>
  </si>
  <si>
    <t xml:space="preserve">   Industrial Nonmanufactruing - Mining</t>
  </si>
  <si>
    <t>Nonmanufacturing Transportaion Subtotal</t>
  </si>
  <si>
    <t xml:space="preserve">All Transportation Subtotals </t>
  </si>
  <si>
    <t xml:space="preserve"> Nonmanufacturing Nontransportation</t>
  </si>
  <si>
    <t>No Biomass</t>
  </si>
  <si>
    <t>Minimum Biomass</t>
  </si>
  <si>
    <t>bkWh</t>
  </si>
  <si>
    <t>Total Electricity billion kWh</t>
  </si>
  <si>
    <t>Transportation Electricity billion kWh</t>
  </si>
  <si>
    <t>Total Chemical Fuel</t>
  </si>
  <si>
    <t>Transporation Chemical Fuel billion gge</t>
  </si>
  <si>
    <t xml:space="preserve">bgge </t>
  </si>
  <si>
    <t xml:space="preserve">Conventional </t>
  </si>
  <si>
    <t>Energy Data Source:  Annual Energy Outlook 2021</t>
  </si>
  <si>
    <t xml:space="preserve">https://tedb.ornl.gov/wp-content/uploads/2021/02/TEDB_Ed_39.pdf. </t>
  </si>
  <si>
    <t xml:space="preserve">Transporation Data Source:  Transporation Energy Data Book:  Edition 39 </t>
  </si>
  <si>
    <t>ebF=1 eF=0</t>
  </si>
  <si>
    <t>HC=1 H2=0</t>
  </si>
  <si>
    <t>kg biomass</t>
  </si>
  <si>
    <t>btons</t>
  </si>
  <si>
    <t>QBTU Omitted:</t>
  </si>
  <si>
    <t>Road Tar</t>
  </si>
  <si>
    <t>TEV:</t>
  </si>
  <si>
    <t>FC Efficiency Correction</t>
  </si>
  <si>
    <t>Chemical Feedstock, Lubricants and Military Locked to HC</t>
  </si>
  <si>
    <t>TEV</t>
  </si>
  <si>
    <t>Unit Cost (2021)</t>
  </si>
  <si>
    <t>b$/QBTU</t>
  </si>
  <si>
    <t>Data Source</t>
  </si>
  <si>
    <t>Electricity</t>
  </si>
  <si>
    <t>$0.066/kWh</t>
  </si>
  <si>
    <t>Statistica.com</t>
  </si>
  <si>
    <t>NG</t>
  </si>
  <si>
    <t>$4.00/1000cf</t>
  </si>
  <si>
    <t xml:space="preserve">EIA Natural Gas Weekly Update </t>
  </si>
  <si>
    <t>Gasoline</t>
  </si>
  <si>
    <t>$2.70/gge w/o tax</t>
  </si>
  <si>
    <t>AAA Gas Prices</t>
  </si>
  <si>
    <t>Thermal Coal</t>
  </si>
  <si>
    <t>$1.92/million BTU</t>
  </si>
  <si>
    <t xml:space="preserve">$3.00/kg </t>
  </si>
  <si>
    <t>Kurtz (2018)</t>
  </si>
  <si>
    <t xml:space="preserve">$3.36/gge. </t>
  </si>
  <si>
    <t>Das (2018)</t>
  </si>
  <si>
    <t>$6.00/gge</t>
  </si>
  <si>
    <t>Brynolf (2017), Connolly (2014b)</t>
  </si>
  <si>
    <t>AEO</t>
  </si>
  <si>
    <t>Case</t>
  </si>
  <si>
    <t>Total Energy QBTU</t>
  </si>
  <si>
    <t>Transportation Energy QBTU</t>
  </si>
  <si>
    <t xml:space="preserve">QBTU </t>
  </si>
  <si>
    <t>$b</t>
  </si>
  <si>
    <t>eH2</t>
  </si>
  <si>
    <t>Delta Cost</t>
  </si>
  <si>
    <t>AEO Reference Case</t>
  </si>
  <si>
    <t>Baseline Case</t>
  </si>
  <si>
    <t>Max. Electrification</t>
  </si>
  <si>
    <t>Baseline no TEV</t>
  </si>
  <si>
    <t>Min Biomass no TEV</t>
  </si>
  <si>
    <t>Zero Biomass no TEV</t>
  </si>
  <si>
    <r>
      <t>e-H</t>
    </r>
    <r>
      <rPr>
        <vertAlign val="subscript"/>
        <sz val="11"/>
        <color indexed="8"/>
        <rFont val="Calibri"/>
        <family val="2"/>
      </rPr>
      <t>2</t>
    </r>
  </si>
  <si>
    <t>Max. El. Fr.</t>
  </si>
  <si>
    <t>Base El. Fr.</t>
  </si>
  <si>
    <t>**** Set Flags to  Define  Case ****</t>
  </si>
  <si>
    <t>Or Create Your Own</t>
  </si>
  <si>
    <t>Copy and Paste  Electrification Fraction</t>
  </si>
  <si>
    <t>Paste Electrification Fraction Here</t>
  </si>
  <si>
    <t>50 mpg ==&gt; 0.25 kWh/mile in BEV</t>
  </si>
  <si>
    <t>ICE (40% - HEV or advanced diesel)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</si>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</sst>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2"/>
      <color indexed="30"/>
      <name val="Calibri"/>
      <family val="2"/>
    </font>
    <font>
      <u/>
      <sz val="9"/>
      <color theme="10"/>
      <name val="Calibri"/>
      <family val="2"/>
    </font>
    <font>
      <sz val="11"/>
      <color indexed="8"/>
      <name val="Calibri"/>
      <family val="2"/>
    </font>
    <font>
      <sz val="9"/>
      <color rgb="FF000000"/>
      <name val="Calibri"/>
      <family val="2"/>
    </font>
    <font>
      <vertAlign val="sub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20" fillId="0" borderId="0">
      <alignment horizontal="left"/>
    </xf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7" fillId="0" borderId="11">
      <alignment wrapText="1"/>
    </xf>
    <xf numFmtId="0" fontId="17" fillId="0" borderId="10">
      <alignment wrapText="1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8" fillId="0" borderId="12">
      <alignment wrapText="1"/>
    </xf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10" applyNumberFormat="0" applyFont="0" applyProtection="0">
      <alignment wrapText="1"/>
    </xf>
    <xf numFmtId="0" fontId="17" fillId="0" borderId="0" applyNumberFormat="0" applyFill="0" applyBorder="0" applyAlignment="0" applyProtection="0"/>
    <xf numFmtId="0" fontId="17" fillId="0" borderId="11" applyNumberFormat="0" applyProtection="0">
      <alignment wrapText="1"/>
    </xf>
    <xf numFmtId="0" fontId="18" fillId="0" borderId="12" applyNumberFormat="0" applyProtection="0">
      <alignment wrapText="1"/>
    </xf>
    <xf numFmtId="0" fontId="18" fillId="0" borderId="13" applyNumberFormat="0" applyProtection="0">
      <alignment wrapText="1"/>
    </xf>
    <xf numFmtId="0" fontId="20" fillId="0" borderId="0" applyNumberFormat="0" applyProtection="0">
      <alignment horizontal="left"/>
    </xf>
    <xf numFmtId="0" fontId="18" fillId="0" borderId="13">
      <alignment wrapText="1"/>
    </xf>
    <xf numFmtId="0" fontId="17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10" xfId="46" applyNumberFormat="1" applyFont="1" applyFill="1" applyAlignment="1">
      <alignment horizontal="center" wrapText="1"/>
    </xf>
    <xf numFmtId="2" fontId="18" fillId="0" borderId="0" xfId="0" applyNumberFormat="1" applyFont="1" applyAlignment="1">
      <alignment horizontal="center"/>
    </xf>
    <xf numFmtId="2" fontId="18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5" borderId="0" xfId="0" applyFill="1"/>
    <xf numFmtId="2" fontId="18" fillId="35" borderId="0" xfId="0" applyNumberFormat="1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0" fontId="21" fillId="0" borderId="0" xfId="54"/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5" borderId="0" xfId="0" applyNumberFormat="1" applyFill="1"/>
    <xf numFmtId="2" fontId="0" fillId="0" borderId="0" xfId="0" applyNumberFormat="1" applyAlignment="1">
      <alignment horizontal="right"/>
    </xf>
    <xf numFmtId="2" fontId="0" fillId="33" borderId="14" xfId="0" applyNumberFormat="1" applyFill="1" applyBorder="1" applyAlignment="1">
      <alignment horizontal="left"/>
    </xf>
    <xf numFmtId="0" fontId="0" fillId="33" borderId="15" xfId="0" applyFill="1" applyBorder="1"/>
    <xf numFmtId="0" fontId="0" fillId="33" borderId="16" xfId="0" applyFill="1" applyBorder="1"/>
    <xf numFmtId="2" fontId="0" fillId="33" borderId="17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0" fontId="0" fillId="33" borderId="0" xfId="0" applyFill="1" applyBorder="1"/>
    <xf numFmtId="0" fontId="0" fillId="33" borderId="18" xfId="0" applyFill="1" applyBorder="1"/>
    <xf numFmtId="0" fontId="0" fillId="33" borderId="19" xfId="0" applyFill="1" applyBorder="1" applyAlignment="1">
      <alignment horizontal="center"/>
    </xf>
    <xf numFmtId="0" fontId="0" fillId="33" borderId="20" xfId="0" applyFill="1" applyBorder="1"/>
    <xf numFmtId="0" fontId="0" fillId="33" borderId="21" xfId="0" applyFill="1" applyBorder="1"/>
    <xf numFmtId="0" fontId="0" fillId="33" borderId="20" xfId="0" applyFill="1" applyBorder="1" applyAlignment="1">
      <alignment horizontal="center"/>
    </xf>
    <xf numFmtId="0" fontId="0" fillId="34" borderId="19" xfId="0" applyFill="1" applyBorder="1" applyAlignment="1">
      <alignment horizontal="left"/>
    </xf>
    <xf numFmtId="0" fontId="0" fillId="34" borderId="20" xfId="0" applyFill="1" applyBorder="1"/>
    <xf numFmtId="0" fontId="0" fillId="34" borderId="21" xfId="0" applyFill="1" applyBorder="1"/>
    <xf numFmtId="0" fontId="0" fillId="33" borderId="0" xfId="0" applyFill="1" applyBorder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2" fontId="0" fillId="35" borderId="0" xfId="0" applyNumberFormat="1" applyFont="1" applyFill="1" applyAlignment="1">
      <alignment horizontal="center"/>
    </xf>
    <xf numFmtId="2" fontId="0" fillId="35" borderId="0" xfId="0" applyNumberFormat="1" applyFont="1" applyFill="1" applyAlignment="1">
      <alignment horizontal="left"/>
    </xf>
    <xf numFmtId="2" fontId="0" fillId="35" borderId="0" xfId="0" applyNumberFormat="1" applyFont="1" applyFill="1"/>
    <xf numFmtId="6" fontId="23" fillId="0" borderId="0" xfId="0" applyNumberFormat="1" applyFont="1" applyAlignment="1">
      <alignment horizontal="center" vertical="center"/>
    </xf>
    <xf numFmtId="2" fontId="18" fillId="33" borderId="14" xfId="0" applyNumberFormat="1" applyFont="1" applyFill="1" applyBorder="1" applyAlignment="1">
      <alignment horizontal="left"/>
    </xf>
    <xf numFmtId="2" fontId="0" fillId="33" borderId="22" xfId="0" applyNumberFormat="1" applyFill="1" applyBorder="1" applyAlignment="1">
      <alignment horizontal="center"/>
    </xf>
    <xf numFmtId="2" fontId="0" fillId="33" borderId="23" xfId="0" applyNumberFormat="1" applyFill="1" applyBorder="1" applyAlignment="1">
      <alignment horizontal="center"/>
    </xf>
    <xf numFmtId="2" fontId="0" fillId="33" borderId="24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left"/>
    </xf>
    <xf numFmtId="2" fontId="0" fillId="33" borderId="20" xfId="0" applyNumberFormat="1" applyFill="1" applyBorder="1" applyAlignment="1">
      <alignment horizontal="center"/>
    </xf>
    <xf numFmtId="0" fontId="0" fillId="0" borderId="25" xfId="0" applyBorder="1"/>
    <xf numFmtId="0" fontId="22" fillId="0" borderId="25" xfId="0" applyFont="1" applyBorder="1"/>
    <xf numFmtId="0" fontId="23" fillId="0" borderId="25" xfId="0" applyFont="1" applyBorder="1" applyAlignment="1">
      <alignment horizontal="center" vertical="center"/>
    </xf>
    <xf numFmtId="0" fontId="23" fillId="0" borderId="25" xfId="0" applyFont="1" applyBorder="1" applyAlignment="1">
      <alignment vertical="center"/>
    </xf>
    <xf numFmtId="0" fontId="23" fillId="0" borderId="25" xfId="0" applyFont="1" applyBorder="1" applyAlignment="1">
      <alignment horizontal="right" vertical="center"/>
    </xf>
    <xf numFmtId="0" fontId="25" fillId="0" borderId="25" xfId="0" applyFont="1" applyBorder="1" applyAlignment="1">
      <alignment vertical="center"/>
    </xf>
    <xf numFmtId="0" fontId="0" fillId="0" borderId="25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33" borderId="15" xfId="0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55">
    <cellStyle name="20% - Accent1 2" xfId="27" xr:uid="{BA96885A-59E5-40C2-AC73-8328E7BA3F15}"/>
    <cellStyle name="20% - Accent2 2" xfId="30" xr:uid="{90316797-D3D3-4E52-91E5-5DC2F16FE578}"/>
    <cellStyle name="20% - Accent3 2" xfId="34" xr:uid="{FEB6B5AF-6D08-47C7-B1EA-44A22D703935}"/>
    <cellStyle name="20% - Accent4 2" xfId="37" xr:uid="{0CEA3613-2304-45D9-9445-ED60196D8183}"/>
    <cellStyle name="20% - Accent5 2" xfId="40" xr:uid="{D20B0800-885E-438A-97BF-FAB34F212C75}"/>
    <cellStyle name="20% - Accent6 2" xfId="43" xr:uid="{8C2EE851-2D32-4128-9526-FFB1559F6984}"/>
    <cellStyle name="40% - Accent1 2" xfId="28" xr:uid="{6E3B89CE-F1F3-4C09-94F9-FF62955F98AC}"/>
    <cellStyle name="40% - Accent2 2" xfId="31" xr:uid="{23DE4389-ED5D-4297-A800-43EFB0131B1A}"/>
    <cellStyle name="40% - Accent3 2" xfId="35" xr:uid="{5474A1E1-6C04-4140-9A19-57D60C7F2665}"/>
    <cellStyle name="40% - Accent4 2" xfId="38" xr:uid="{0D093B5E-4AB7-4B34-AAA9-BABB86E7625F}"/>
    <cellStyle name="40% - Accent5 2" xfId="41" xr:uid="{CE1D096B-7620-4F85-B9D8-6555FBF6DCBA}"/>
    <cellStyle name="40% - Accent6 2" xfId="44" xr:uid="{B334F5B0-A4A5-4928-9F1C-890870DFB8B9}"/>
    <cellStyle name="60% - Accent1 2" xfId="29" xr:uid="{26751598-C5A2-4534-81AB-32EB1CD489C9}"/>
    <cellStyle name="60% - Accent2 2" xfId="32" xr:uid="{19D7FEB3-8AF5-4C53-A7D7-4CA238936629}"/>
    <cellStyle name="60% - Accent3 2" xfId="36" xr:uid="{593B230E-137E-464A-B244-B47A3B7385FC}"/>
    <cellStyle name="60% - Accent4 2" xfId="39" xr:uid="{4E97BD54-8803-46B3-B5EC-E0AF2C47932A}"/>
    <cellStyle name="60% - Accent5 2" xfId="42" xr:uid="{0377A33D-63A9-4E90-8666-0EC00671921A}"/>
    <cellStyle name="60% - Accent6 2" xfId="45" xr:uid="{72A853A5-D7CF-47E9-8B4D-12C2017BCA35}"/>
    <cellStyle name="Accent1" xfId="16" builtinId="29" customBuiltin="1"/>
    <cellStyle name="Accent2" xfId="17" builtinId="33" customBuiltin="1"/>
    <cellStyle name="Accent3" xfId="18" builtinId="37" customBuiltin="1"/>
    <cellStyle name="Accent4" xfId="19" builtinId="41" customBuiltin="1"/>
    <cellStyle name="Accent5" xfId="20" builtinId="45" customBuiltin="1"/>
    <cellStyle name="Accent6" xfId="21" builtinId="49" customBuiltin="1"/>
    <cellStyle name="Bad" xfId="7" builtinId="27" customBuiltin="1"/>
    <cellStyle name="Body: normal cell" xfId="46" xr:uid="{3E99E2C9-005C-4DAD-A8B4-CBCB024B924F}"/>
    <cellStyle name="Body: normal cell 2" xfId="26" xr:uid="{F922FB7D-8EC6-43B2-99CC-0E8DF9DB948F}"/>
    <cellStyle name="Calculation" xfId="10" builtinId="22" customBuiltin="1"/>
    <cellStyle name="Check Cell" xfId="12" builtinId="23" customBuiltin="1"/>
    <cellStyle name="Explanatory Text" xfId="14" builtinId="53" customBuiltin="1"/>
    <cellStyle name="Font: Calibri, 9pt regular" xfId="47" xr:uid="{7472DE68-71D4-4B4E-B259-B86E44F2801C}"/>
    <cellStyle name="Font: Calibri, 9pt regular 2" xfId="53" xr:uid="{58BAEAB1-41C5-4EA6-B8B9-11F3F1354AA7}"/>
    <cellStyle name="Footnotes: top row" xfId="48" xr:uid="{23DC2E87-48AF-4FB4-97F0-D4040EA96096}"/>
    <cellStyle name="Footnotes: top row 2" xfId="25" xr:uid="{A4DE9358-8074-4048-BF00-4DBFDFB07A8F}"/>
    <cellStyle name="Good" xfId="6" builtinId="26" customBuiltin="1"/>
    <cellStyle name="Header: bottom row" xfId="49" xr:uid="{D2E44B74-6640-44B1-AD21-067918F0A8E1}"/>
    <cellStyle name="Header: bottom row 2" xfId="33" xr:uid="{26279CA6-09F6-42BF-B71F-5F4673919C6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4" builtinId="8"/>
    <cellStyle name="Input" xfId="8" builtinId="20" customBuiltin="1"/>
    <cellStyle name="Linked Cell" xfId="11" builtinId="24" customBuiltin="1"/>
    <cellStyle name="Neutral 2" xfId="23" xr:uid="{06D6BD0A-2D99-4EF3-906A-A1173762313D}"/>
    <cellStyle name="Normal" xfId="0" builtinId="0" customBuiltin="1"/>
    <cellStyle name="Note 2" xfId="24" xr:uid="{3E645237-2962-4CFC-8134-2CCB0DF0B03F}"/>
    <cellStyle name="Output" xfId="9" builtinId="21" customBuiltin="1"/>
    <cellStyle name="Parent row" xfId="50" xr:uid="{306F9FB7-C688-471B-AFC7-F7D9DFA9BCCB}"/>
    <cellStyle name="Parent row 2" xfId="52" xr:uid="{F66747A3-D4BB-4AC3-A54C-F205F3E0DB39}"/>
    <cellStyle name="Table title" xfId="51" xr:uid="{64F72F59-740E-40C5-AF8D-FC830A7F9C44}"/>
    <cellStyle name="Table title 2" xfId="22" xr:uid="{05778153-373A-4AE5-9DC5-85FC7BDA2259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db.ornl.gov/wp-content/uploads/2021/02/TEDB_Ed_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4CDC-95E1-4069-BEFF-7ABA0BC3B74E}">
  <dimension ref="A1:S112"/>
  <sheetViews>
    <sheetView tabSelected="1" topLeftCell="A76" zoomScaleNormal="100" workbookViewId="0">
      <selection activeCell="D92" sqref="D92"/>
    </sheetView>
  </sheetViews>
  <sheetFormatPr defaultColWidth="9.33203125" defaultRowHeight="11.7" x14ac:dyDescent="0.45"/>
  <cols>
    <col min="1" max="1" width="42.33203125" style="1" customWidth="1"/>
    <col min="2" max="5" width="9.46484375" style="3" bestFit="1" customWidth="1"/>
    <col min="6" max="6" width="12.46484375" style="3" customWidth="1"/>
    <col min="7" max="7" width="10.33203125" style="3" customWidth="1"/>
    <col min="8" max="8" width="12.6640625" style="3" bestFit="1" customWidth="1"/>
    <col min="9" max="9" width="12" style="3" bestFit="1" customWidth="1"/>
    <col min="10" max="11" width="9.46484375" style="3" bestFit="1" customWidth="1"/>
    <col min="12" max="12" width="10.6640625" style="1" customWidth="1"/>
    <col min="13" max="13" width="10.796875" style="1" customWidth="1"/>
    <col min="14" max="14" width="10.6640625" style="1" customWidth="1"/>
    <col min="15" max="17" width="9.33203125" style="1"/>
    <col min="18" max="18" width="9.33203125" style="13"/>
    <col min="19" max="16384" width="9.33203125" style="1"/>
  </cols>
  <sheetData>
    <row r="1" spans="1:11" x14ac:dyDescent="0.45">
      <c r="E1" s="6" t="s">
        <v>0</v>
      </c>
    </row>
    <row r="3" spans="1:11" x14ac:dyDescent="0.45">
      <c r="A3" s="1" t="s">
        <v>56</v>
      </c>
      <c r="B3" s="3" t="s">
        <v>26</v>
      </c>
      <c r="C3" s="3" t="s">
        <v>27</v>
      </c>
      <c r="D3" s="3" t="s">
        <v>50</v>
      </c>
      <c r="E3" s="3" t="s">
        <v>49</v>
      </c>
      <c r="F3" s="3" t="s">
        <v>52</v>
      </c>
      <c r="H3" s="64" t="s">
        <v>69</v>
      </c>
      <c r="I3" s="64"/>
      <c r="J3" s="64"/>
      <c r="K3" s="64"/>
    </row>
    <row r="4" spans="1:11" x14ac:dyDescent="0.45">
      <c r="B4" s="12"/>
      <c r="C4" s="12"/>
      <c r="D4" s="12"/>
      <c r="E4" s="12"/>
      <c r="F4" s="12"/>
      <c r="G4" s="12" t="s">
        <v>54</v>
      </c>
      <c r="H4" s="3" t="s">
        <v>60</v>
      </c>
      <c r="I4" s="3" t="s">
        <v>55</v>
      </c>
      <c r="J4" s="3" t="s">
        <v>70</v>
      </c>
      <c r="K4" s="3" t="s">
        <v>71</v>
      </c>
    </row>
    <row r="5" spans="1:11" x14ac:dyDescent="0.45">
      <c r="A5" s="1" t="s">
        <v>16</v>
      </c>
      <c r="G5" s="3" t="s">
        <v>0</v>
      </c>
      <c r="I5" s="1"/>
      <c r="J5" s="1"/>
      <c r="K5" s="1"/>
    </row>
    <row r="6" spans="1:11" x14ac:dyDescent="0.45">
      <c r="A6" s="1" t="s">
        <v>17</v>
      </c>
      <c r="B6" s="3">
        <v>0.6</v>
      </c>
      <c r="C6" s="3">
        <v>3.18</v>
      </c>
      <c r="D6" s="3">
        <v>0.48</v>
      </c>
      <c r="F6" s="3" t="s">
        <v>53</v>
      </c>
      <c r="G6" s="3">
        <v>3</v>
      </c>
      <c r="H6" s="3">
        <f t="shared" ref="H6:H19" si="0">SUM(C6:D6)/G6</f>
        <v>1.22</v>
      </c>
    </row>
    <row r="7" spans="1:11" x14ac:dyDescent="0.45">
      <c r="A7" s="1" t="s">
        <v>18</v>
      </c>
      <c r="B7" s="3">
        <v>1.42</v>
      </c>
      <c r="C7" s="3">
        <v>0.06</v>
      </c>
      <c r="F7" s="3" t="s">
        <v>124</v>
      </c>
      <c r="G7" s="3">
        <v>1</v>
      </c>
      <c r="H7" s="3">
        <f t="shared" si="0"/>
        <v>0.06</v>
      </c>
    </row>
    <row r="8" spans="1:11" x14ac:dyDescent="0.45">
      <c r="A8" s="1" t="s">
        <v>19</v>
      </c>
      <c r="B8" s="3">
        <v>0.67</v>
      </c>
      <c r="C8" s="3">
        <v>1.18</v>
      </c>
      <c r="D8" s="3">
        <v>0.06</v>
      </c>
      <c r="F8" s="3" t="s">
        <v>53</v>
      </c>
      <c r="G8" s="3">
        <v>3</v>
      </c>
      <c r="H8" s="3">
        <f t="shared" si="0"/>
        <v>0.41333333333333333</v>
      </c>
    </row>
    <row r="9" spans="1:11" x14ac:dyDescent="0.45">
      <c r="A9" s="1" t="s">
        <v>22</v>
      </c>
      <c r="B9" s="3">
        <v>0.33</v>
      </c>
      <c r="F9" s="3" t="s">
        <v>124</v>
      </c>
      <c r="G9" s="3">
        <v>1</v>
      </c>
      <c r="H9" s="3">
        <f t="shared" si="0"/>
        <v>0</v>
      </c>
    </row>
    <row r="10" spans="1:11" x14ac:dyDescent="0.45">
      <c r="A10" s="1" t="s">
        <v>20</v>
      </c>
      <c r="B10" s="3">
        <v>0.06</v>
      </c>
      <c r="C10" s="3">
        <v>0.12</v>
      </c>
      <c r="D10" s="3">
        <v>0.01</v>
      </c>
      <c r="F10" s="3" t="s">
        <v>73</v>
      </c>
      <c r="G10" s="3">
        <v>1</v>
      </c>
      <c r="H10" s="3">
        <f t="shared" si="0"/>
        <v>0.13</v>
      </c>
    </row>
    <row r="11" spans="1:11" x14ac:dyDescent="0.45">
      <c r="A11" s="1" t="s">
        <v>21</v>
      </c>
      <c r="B11" s="3">
        <v>0.32</v>
      </c>
      <c r="C11" s="3">
        <v>0.06</v>
      </c>
      <c r="F11" s="3" t="s">
        <v>53</v>
      </c>
      <c r="G11" s="3">
        <v>3</v>
      </c>
      <c r="H11" s="3">
        <f t="shared" si="0"/>
        <v>0.02</v>
      </c>
    </row>
    <row r="12" spans="1:11" x14ac:dyDescent="0.45">
      <c r="A12" s="1" t="s">
        <v>23</v>
      </c>
      <c r="B12" s="3">
        <v>7.0000000000000007E-2</v>
      </c>
      <c r="F12" s="3" t="s">
        <v>124</v>
      </c>
      <c r="G12" s="3">
        <v>1</v>
      </c>
      <c r="H12" s="3">
        <f t="shared" si="0"/>
        <v>0</v>
      </c>
    </row>
    <row r="13" spans="1:11" x14ac:dyDescent="0.45">
      <c r="A13" s="1" t="s">
        <v>24</v>
      </c>
      <c r="B13" s="3">
        <v>0.19</v>
      </c>
      <c r="F13" s="12" t="s">
        <v>124</v>
      </c>
      <c r="G13" s="3">
        <v>1</v>
      </c>
      <c r="H13" s="3">
        <f t="shared" si="0"/>
        <v>0</v>
      </c>
    </row>
    <row r="14" spans="1:11" x14ac:dyDescent="0.45">
      <c r="A14" s="1" t="s">
        <v>81</v>
      </c>
      <c r="B14" s="3">
        <v>0.05</v>
      </c>
      <c r="F14" s="12" t="s">
        <v>124</v>
      </c>
      <c r="G14" s="3">
        <v>1</v>
      </c>
      <c r="H14" s="3">
        <f t="shared" si="0"/>
        <v>0</v>
      </c>
    </row>
    <row r="15" spans="1:11" x14ac:dyDescent="0.45">
      <c r="A15" s="1" t="s">
        <v>82</v>
      </c>
      <c r="B15" s="3">
        <v>0.04</v>
      </c>
      <c r="F15" s="12" t="s">
        <v>124</v>
      </c>
      <c r="G15" s="3">
        <v>1</v>
      </c>
      <c r="H15" s="3">
        <f t="shared" si="0"/>
        <v>0</v>
      </c>
    </row>
    <row r="16" spans="1:11" x14ac:dyDescent="0.45">
      <c r="A16" s="1" t="s">
        <v>80</v>
      </c>
      <c r="B16" s="3">
        <v>0.28000000000000003</v>
      </c>
      <c r="F16" s="12" t="s">
        <v>124</v>
      </c>
      <c r="G16" s="3">
        <v>1</v>
      </c>
      <c r="H16" s="3">
        <f t="shared" si="0"/>
        <v>0</v>
      </c>
    </row>
    <row r="17" spans="1:8" x14ac:dyDescent="0.45">
      <c r="A17" s="1" t="s">
        <v>79</v>
      </c>
      <c r="B17" s="3">
        <v>0.04</v>
      </c>
      <c r="F17" s="12" t="s">
        <v>124</v>
      </c>
      <c r="G17" s="3">
        <v>1</v>
      </c>
      <c r="H17" s="3">
        <f t="shared" si="0"/>
        <v>0</v>
      </c>
    </row>
    <row r="18" spans="1:8" x14ac:dyDescent="0.45">
      <c r="A18" s="1" t="s">
        <v>25</v>
      </c>
      <c r="B18" s="3">
        <v>7.0000000000000007E-2</v>
      </c>
      <c r="F18" s="12" t="s">
        <v>124</v>
      </c>
      <c r="G18" s="3">
        <v>1</v>
      </c>
      <c r="H18" s="3">
        <f t="shared" si="0"/>
        <v>0</v>
      </c>
    </row>
    <row r="19" spans="1:8" x14ac:dyDescent="0.45">
      <c r="A19" s="1" t="s">
        <v>83</v>
      </c>
      <c r="B19" s="3">
        <v>2.48</v>
      </c>
      <c r="C19" s="3">
        <v>0.22</v>
      </c>
      <c r="D19" s="3">
        <v>0.14000000000000001</v>
      </c>
      <c r="F19" s="3" t="s">
        <v>73</v>
      </c>
      <c r="G19" s="3">
        <v>1</v>
      </c>
      <c r="H19" s="3">
        <f t="shared" si="0"/>
        <v>0.36</v>
      </c>
    </row>
    <row r="20" spans="1:8" x14ac:dyDescent="0.45">
      <c r="A20" s="1" t="s">
        <v>78</v>
      </c>
      <c r="B20" s="9">
        <f>SUM(B6:B19)</f>
        <v>6.6199999999999992</v>
      </c>
      <c r="C20" s="5">
        <f>SUM(C6:C19)</f>
        <v>4.8199999999999994</v>
      </c>
      <c r="D20" s="5">
        <f>SUM(D6:D19)</f>
        <v>0.69000000000000006</v>
      </c>
      <c r="G20" s="3">
        <v>1</v>
      </c>
      <c r="H20" s="9">
        <f>SUM(H6:H19)</f>
        <v>2.2033333333333331</v>
      </c>
    </row>
    <row r="22" spans="1:8" x14ac:dyDescent="0.45">
      <c r="A22" s="1" t="s">
        <v>31</v>
      </c>
    </row>
    <row r="23" spans="1:8" x14ac:dyDescent="0.45">
      <c r="A23" s="1" t="s">
        <v>17</v>
      </c>
      <c r="B23" s="3">
        <v>0.08</v>
      </c>
      <c r="C23" s="7">
        <v>1.7260869999999999</v>
      </c>
      <c r="D23" s="7">
        <v>0.16491800000000001</v>
      </c>
      <c r="F23" s="3" t="s">
        <v>53</v>
      </c>
      <c r="G23" s="3">
        <v>3</v>
      </c>
      <c r="H23" s="3">
        <f t="shared" ref="H23:H32" si="1">SUM(C23:D23)/G23</f>
        <v>0.63033499999999998</v>
      </c>
    </row>
    <row r="24" spans="1:8" x14ac:dyDescent="0.45">
      <c r="A24" s="1" t="s">
        <v>18</v>
      </c>
      <c r="B24" s="3">
        <v>0.7</v>
      </c>
      <c r="C24" s="7">
        <v>2.3345000000000001E-2</v>
      </c>
      <c r="D24" s="7">
        <v>5.5380000000000004E-3</v>
      </c>
      <c r="F24" s="3" t="s">
        <v>72</v>
      </c>
      <c r="G24" s="3">
        <v>1</v>
      </c>
      <c r="H24" s="3">
        <f t="shared" si="1"/>
        <v>2.8883000000000002E-2</v>
      </c>
    </row>
    <row r="25" spans="1:8" x14ac:dyDescent="0.45">
      <c r="A25" s="1" t="s">
        <v>19</v>
      </c>
      <c r="B25" s="3">
        <v>0.02</v>
      </c>
      <c r="C25" s="7">
        <v>0.70868100000000001</v>
      </c>
      <c r="F25" s="3" t="s">
        <v>53</v>
      </c>
      <c r="G25" s="3">
        <v>3</v>
      </c>
      <c r="H25" s="3" t="s">
        <v>181</v>
      </c>
    </row>
    <row r="26" spans="1:8" x14ac:dyDescent="0.45">
      <c r="A26" s="1" t="s">
        <v>28</v>
      </c>
      <c r="B26" s="3">
        <v>0.4</v>
      </c>
      <c r="F26" s="3" t="s">
        <v>72</v>
      </c>
      <c r="G26" s="3">
        <v>1</v>
      </c>
      <c r="H26" s="3">
        <f t="shared" si="1"/>
        <v>0</v>
      </c>
    </row>
    <row r="27" spans="1:8" x14ac:dyDescent="0.45">
      <c r="A27" s="1" t="s">
        <v>20</v>
      </c>
      <c r="B27" s="3">
        <v>0.08</v>
      </c>
      <c r="C27" s="7">
        <v>0.47154099999999999</v>
      </c>
      <c r="F27" s="3" t="s">
        <v>73</v>
      </c>
      <c r="G27" s="3">
        <v>1</v>
      </c>
      <c r="H27" s="3">
        <f t="shared" si="1"/>
        <v>0.47154099999999999</v>
      </c>
    </row>
    <row r="28" spans="1:8" x14ac:dyDescent="0.45">
      <c r="A28" s="1" t="s">
        <v>24</v>
      </c>
      <c r="B28" s="3">
        <v>0.34</v>
      </c>
      <c r="F28" s="3" t="s">
        <v>72</v>
      </c>
      <c r="G28" s="3">
        <v>1</v>
      </c>
      <c r="H28" s="3">
        <f t="shared" si="1"/>
        <v>0</v>
      </c>
    </row>
    <row r="29" spans="1:8" x14ac:dyDescent="0.45">
      <c r="A29" s="1" t="s">
        <v>22</v>
      </c>
      <c r="B29" s="3">
        <v>0.7</v>
      </c>
      <c r="F29" s="12" t="s">
        <v>72</v>
      </c>
      <c r="G29" s="3">
        <v>1</v>
      </c>
      <c r="H29" s="3">
        <f t="shared" si="1"/>
        <v>0</v>
      </c>
    </row>
    <row r="30" spans="1:8" x14ac:dyDescent="0.45">
      <c r="A30" s="1" t="s">
        <v>29</v>
      </c>
      <c r="B30" s="3">
        <v>0.35</v>
      </c>
      <c r="F30" s="12" t="s">
        <v>72</v>
      </c>
      <c r="G30" s="3">
        <v>1</v>
      </c>
      <c r="H30" s="3">
        <f t="shared" si="1"/>
        <v>0</v>
      </c>
    </row>
    <row r="31" spans="1:8" x14ac:dyDescent="0.45">
      <c r="A31" s="1" t="s">
        <v>30</v>
      </c>
      <c r="B31" s="3">
        <v>0.9</v>
      </c>
      <c r="F31" s="12" t="s">
        <v>72</v>
      </c>
      <c r="G31" s="3">
        <v>1</v>
      </c>
      <c r="H31" s="3">
        <f t="shared" si="1"/>
        <v>0</v>
      </c>
    </row>
    <row r="32" spans="1:8" x14ac:dyDescent="0.45">
      <c r="A32" s="1" t="s">
        <v>83</v>
      </c>
      <c r="B32" s="3">
        <v>2.3199999999999998</v>
      </c>
      <c r="C32" s="7">
        <v>0.79951499999999998</v>
      </c>
      <c r="D32" s="7">
        <v>0.10788499999999999</v>
      </c>
      <c r="F32" s="3" t="s">
        <v>73</v>
      </c>
      <c r="G32" s="3">
        <v>1</v>
      </c>
      <c r="H32" s="3">
        <f t="shared" si="1"/>
        <v>0.90739999999999998</v>
      </c>
    </row>
    <row r="33" spans="1:18" ht="12" thickBot="1" x14ac:dyDescent="0.5">
      <c r="A33" s="1" t="s">
        <v>77</v>
      </c>
      <c r="B33" s="9">
        <f>SUM(B23:B32)</f>
        <v>5.8900000000000006</v>
      </c>
      <c r="C33" s="3">
        <f>SUM(C23:C32)</f>
        <v>3.7291690000000002</v>
      </c>
      <c r="D33" s="3">
        <f>SUM(D23:D32)</f>
        <v>0.27834100000000001</v>
      </c>
      <c r="H33" s="9">
        <f>SUM(H23:H32)</f>
        <v>2.0381589999999998</v>
      </c>
    </row>
    <row r="34" spans="1:18" x14ac:dyDescent="0.45">
      <c r="B34" s="3" t="s">
        <v>0</v>
      </c>
      <c r="M34" s="47" t="s">
        <v>175</v>
      </c>
      <c r="N34" s="26"/>
      <c r="O34" s="26"/>
      <c r="P34" s="26"/>
      <c r="Q34" s="27"/>
    </row>
    <row r="35" spans="1:18" x14ac:dyDescent="0.45">
      <c r="A35" s="1" t="s">
        <v>84</v>
      </c>
      <c r="M35" s="28" t="s">
        <v>129</v>
      </c>
      <c r="N35" s="29" t="s">
        <v>128</v>
      </c>
      <c r="O35" s="39" t="s">
        <v>137</v>
      </c>
      <c r="P35" s="30"/>
      <c r="Q35" s="31"/>
    </row>
    <row r="36" spans="1:18" ht="12" thickBot="1" x14ac:dyDescent="0.5">
      <c r="A36" s="1" t="s">
        <v>32</v>
      </c>
      <c r="B36" s="3">
        <v>0.38</v>
      </c>
      <c r="C36" s="5">
        <v>0.95</v>
      </c>
      <c r="D36" s="5">
        <v>0.02</v>
      </c>
      <c r="E36" s="5">
        <v>0.12</v>
      </c>
      <c r="F36" s="3" t="s">
        <v>73</v>
      </c>
      <c r="G36" s="3">
        <v>1</v>
      </c>
      <c r="H36" s="3">
        <f>SUM(C36:E36)*G36</f>
        <v>1.0899999999999999</v>
      </c>
      <c r="M36" s="32">
        <v>0</v>
      </c>
      <c r="N36" s="35">
        <v>0</v>
      </c>
      <c r="O36" s="35">
        <v>0</v>
      </c>
      <c r="P36" s="33"/>
      <c r="Q36" s="34"/>
    </row>
    <row r="37" spans="1:18" ht="12" thickBot="1" x14ac:dyDescent="0.5">
      <c r="A37" s="1" t="s">
        <v>33</v>
      </c>
      <c r="B37" s="3">
        <v>0.11799999999999999</v>
      </c>
      <c r="C37" s="5">
        <v>0.44</v>
      </c>
      <c r="D37" s="5">
        <v>1.2999999999999999E-2</v>
      </c>
      <c r="E37" s="5">
        <v>5.8999999999999997E-2</v>
      </c>
      <c r="F37" s="3" t="s">
        <v>73</v>
      </c>
      <c r="G37" s="3">
        <v>1</v>
      </c>
      <c r="H37" s="3">
        <f t="shared" ref="H37:H51" si="2">SUM(C37:E37)*G37</f>
        <v>0.51200000000000001</v>
      </c>
      <c r="L37" s="2"/>
      <c r="M37" s="36" t="s">
        <v>136</v>
      </c>
      <c r="N37" s="37"/>
      <c r="O37" s="37"/>
      <c r="P37" s="37"/>
      <c r="Q37" s="38"/>
      <c r="R37" s="62"/>
    </row>
    <row r="38" spans="1:18" x14ac:dyDescent="0.45">
      <c r="A38" s="1" t="s">
        <v>75</v>
      </c>
      <c r="B38" s="3">
        <v>0.41499999999999998</v>
      </c>
      <c r="C38" s="5">
        <v>3.89</v>
      </c>
      <c r="D38" s="5">
        <v>0.34200000000000003</v>
      </c>
      <c r="E38" s="5">
        <v>5.3999999999999999E-2</v>
      </c>
      <c r="F38" s="3" t="s">
        <v>73</v>
      </c>
      <c r="G38" s="3">
        <v>1</v>
      </c>
      <c r="H38" s="3">
        <f t="shared" si="2"/>
        <v>4.2860000000000005</v>
      </c>
      <c r="L38" s="13"/>
    </row>
    <row r="39" spans="1:18" x14ac:dyDescent="0.45">
      <c r="A39" s="1" t="s">
        <v>76</v>
      </c>
      <c r="C39" s="5">
        <v>0.77700000000000002</v>
      </c>
      <c r="D39" s="5">
        <v>4.25</v>
      </c>
      <c r="E39" s="5"/>
      <c r="F39" s="3" t="s">
        <v>74</v>
      </c>
      <c r="G39" s="3">
        <v>0</v>
      </c>
      <c r="H39" s="3">
        <f t="shared" si="2"/>
        <v>0</v>
      </c>
      <c r="I39" s="8">
        <f>(1-$G39)*SUM(C39:E39)*$M$109*M39*N39</f>
        <v>0</v>
      </c>
      <c r="J39" s="3">
        <f>(1-$G39)*SUM(C39:E39)*$M$110*(1-M39)</f>
        <v>0</v>
      </c>
      <c r="K39" s="3">
        <f>(1-$G39)*SUM(C39:E39)*$M$111*M39*(1-N39)</f>
        <v>10.054</v>
      </c>
      <c r="L39" s="13"/>
      <c r="M39" s="21">
        <v>1</v>
      </c>
      <c r="N39" s="13">
        <f>$N$36</f>
        <v>0</v>
      </c>
    </row>
    <row r="40" spans="1:18" x14ac:dyDescent="0.45">
      <c r="A40" s="1" t="s">
        <v>34</v>
      </c>
      <c r="B40" s="3">
        <v>5.1999999999999998E-2</v>
      </c>
      <c r="C40" s="5">
        <v>0.126</v>
      </c>
      <c r="D40" s="5">
        <v>0</v>
      </c>
      <c r="E40" s="5"/>
      <c r="F40" s="3" t="s">
        <v>58</v>
      </c>
      <c r="G40" s="3">
        <v>0</v>
      </c>
      <c r="H40" s="3">
        <f t="shared" si="2"/>
        <v>0</v>
      </c>
      <c r="I40" s="8">
        <f>(1-$G40)*SUM(C40:E40)*$M$109*M40*N40</f>
        <v>0</v>
      </c>
      <c r="J40" s="12">
        <f>(1-$G40)*SUM(C40:E40)*$M$110*(1-M40)</f>
        <v>0.18018000000000001</v>
      </c>
      <c r="K40" s="12">
        <f>(1-$G40)*SUM(C40:E40)*$M$111*M40*(1-N40)</f>
        <v>0</v>
      </c>
      <c r="L40" s="2"/>
      <c r="M40" s="2">
        <v>0</v>
      </c>
      <c r="N40" s="13">
        <f>$N$36</f>
        <v>0</v>
      </c>
    </row>
    <row r="41" spans="1:18" x14ac:dyDescent="0.45">
      <c r="A41" s="1" t="s">
        <v>35</v>
      </c>
      <c r="B41" s="3">
        <v>0.04</v>
      </c>
      <c r="C41" s="5">
        <v>2.2499999999999999E-2</v>
      </c>
      <c r="D41" s="5">
        <v>1.2999999999999999E-2</v>
      </c>
      <c r="E41" s="5">
        <v>6.2E-2</v>
      </c>
      <c r="F41" s="12" t="s">
        <v>58</v>
      </c>
      <c r="G41" s="3">
        <v>0</v>
      </c>
      <c r="H41" s="3">
        <f t="shared" si="2"/>
        <v>0</v>
      </c>
      <c r="I41" s="8">
        <f>(1-$G41)*SUM(C41:E41)*$M$109*M41*N41</f>
        <v>0</v>
      </c>
      <c r="J41" s="12">
        <f>(1-$G41)*SUM(C41:E41)*$M$110*(1-M41)</f>
        <v>0.13942499999999999</v>
      </c>
      <c r="K41" s="12">
        <f>(1-$G41)*SUM(C41:E41)*$M$111*M41*(1-N41)</f>
        <v>0</v>
      </c>
      <c r="L41" s="2"/>
      <c r="M41" s="13">
        <v>0</v>
      </c>
      <c r="N41" s="13">
        <f>$N$36</f>
        <v>0</v>
      </c>
    </row>
    <row r="42" spans="1:18" x14ac:dyDescent="0.45">
      <c r="A42" s="1" t="s">
        <v>36</v>
      </c>
      <c r="B42" s="3">
        <v>0.191</v>
      </c>
      <c r="C42" s="5">
        <v>0.27300000000000002</v>
      </c>
      <c r="D42" s="5">
        <v>2.8E-3</v>
      </c>
      <c r="E42" s="5">
        <v>0.41199999999999998</v>
      </c>
      <c r="F42" s="12" t="s">
        <v>58</v>
      </c>
      <c r="G42" s="3">
        <v>0</v>
      </c>
      <c r="H42" s="3">
        <f t="shared" si="2"/>
        <v>0</v>
      </c>
      <c r="I42" s="8">
        <f>(1-$G42)*SUM(C42:E42)*$M$109*M42*N42</f>
        <v>0</v>
      </c>
      <c r="J42" s="12">
        <f>(1-$G42)*SUM(C42:E42)*$M$110*(1-M42)</f>
        <v>0.98355399999999993</v>
      </c>
      <c r="K42" s="12">
        <f>(1-$G42)*SUM(C42:E42)*$M$111*M42*(1-N42)</f>
        <v>0</v>
      </c>
      <c r="L42" s="2"/>
      <c r="M42" s="13">
        <v>0</v>
      </c>
      <c r="N42" s="13">
        <f>$N$36</f>
        <v>0</v>
      </c>
    </row>
    <row r="43" spans="1:18" x14ac:dyDescent="0.45">
      <c r="A43" s="1" t="s">
        <v>37</v>
      </c>
      <c r="B43" s="3">
        <v>7.9000000000000001E-2</v>
      </c>
      <c r="C43" s="5">
        <v>0.112</v>
      </c>
      <c r="D43" s="5">
        <v>1.14E-2</v>
      </c>
      <c r="E43" s="5"/>
      <c r="F43" s="12" t="s">
        <v>58</v>
      </c>
      <c r="G43" s="3">
        <v>0</v>
      </c>
      <c r="H43" s="3">
        <f t="shared" si="2"/>
        <v>0</v>
      </c>
      <c r="I43" s="8">
        <f>(1-$G43)*SUM(C43:E43)*$M$109*M43*N43</f>
        <v>0</v>
      </c>
      <c r="J43" s="12">
        <f>(1-$G43)*SUM(C43:E43)*$M$110*(1-M43)</f>
        <v>0.17646200000000001</v>
      </c>
      <c r="K43" s="12">
        <f>(1-$G43)*SUM(C43:E43)*$M$111*M43*(1-N43)</f>
        <v>0</v>
      </c>
      <c r="L43" s="2"/>
      <c r="M43" s="13">
        <v>0</v>
      </c>
      <c r="N43" s="13">
        <f>$N$36</f>
        <v>0</v>
      </c>
    </row>
    <row r="44" spans="1:18" x14ac:dyDescent="0.45">
      <c r="A44" s="1" t="s">
        <v>38</v>
      </c>
      <c r="B44" s="3">
        <v>0.1835</v>
      </c>
      <c r="C44" s="5">
        <v>0.2545</v>
      </c>
      <c r="D44" s="5">
        <v>1.09E-2</v>
      </c>
      <c r="E44" s="5"/>
      <c r="F44" s="3" t="s">
        <v>73</v>
      </c>
      <c r="G44" s="3">
        <v>1</v>
      </c>
      <c r="H44" s="3">
        <f t="shared" si="2"/>
        <v>0.26540000000000002</v>
      </c>
      <c r="L44" s="2"/>
      <c r="M44" s="2"/>
      <c r="N44" s="13"/>
    </row>
    <row r="45" spans="1:18" x14ac:dyDescent="0.45">
      <c r="A45" s="1" t="s">
        <v>39</v>
      </c>
      <c r="B45" s="3">
        <v>9.64E-2</v>
      </c>
      <c r="C45" s="5">
        <v>8.2699999999999996E-2</v>
      </c>
      <c r="D45" s="5">
        <v>6.6E-3</v>
      </c>
      <c r="E45" s="5">
        <v>2.0000000000000001E-4</v>
      </c>
      <c r="F45" s="3" t="s">
        <v>73</v>
      </c>
      <c r="G45" s="3">
        <v>1</v>
      </c>
      <c r="H45" s="3">
        <f t="shared" si="2"/>
        <v>8.9499999999999996E-2</v>
      </c>
      <c r="L45" s="2"/>
      <c r="M45" s="2"/>
    </row>
    <row r="46" spans="1:18" x14ac:dyDescent="0.45">
      <c r="A46" s="1" t="s">
        <v>40</v>
      </c>
      <c r="B46" s="3">
        <v>0.1515</v>
      </c>
      <c r="C46" s="5">
        <v>8.0600000000000005E-2</v>
      </c>
      <c r="D46" s="5">
        <v>1.4E-3</v>
      </c>
      <c r="E46" s="5"/>
      <c r="F46" s="3" t="s">
        <v>73</v>
      </c>
      <c r="G46" s="3">
        <v>1</v>
      </c>
      <c r="H46" s="3">
        <f t="shared" si="2"/>
        <v>8.2000000000000003E-2</v>
      </c>
      <c r="L46" s="2"/>
      <c r="M46" s="2"/>
    </row>
    <row r="47" spans="1:18" x14ac:dyDescent="0.45">
      <c r="A47" s="1" t="s">
        <v>41</v>
      </c>
      <c r="B47" s="3">
        <v>0.17829999999999999</v>
      </c>
      <c r="C47" s="5">
        <v>0.20619999999999999</v>
      </c>
      <c r="D47" s="5">
        <v>6.7000000000000002E-3</v>
      </c>
      <c r="E47" s="5">
        <v>2.0000000000000001E-4</v>
      </c>
      <c r="F47" s="3" t="s">
        <v>73</v>
      </c>
      <c r="G47" s="3">
        <v>1</v>
      </c>
      <c r="H47" s="3">
        <f t="shared" si="2"/>
        <v>0.21310000000000001</v>
      </c>
      <c r="L47" s="2"/>
      <c r="M47" s="2"/>
    </row>
    <row r="48" spans="1:18" x14ac:dyDescent="0.45">
      <c r="A48" s="1" t="s">
        <v>42</v>
      </c>
      <c r="B48" s="3">
        <v>5.79E-2</v>
      </c>
      <c r="C48" s="5">
        <v>4.4299999999999999E-2</v>
      </c>
      <c r="D48" s="5">
        <v>1.9199999999999998E-2</v>
      </c>
      <c r="E48" s="5"/>
      <c r="F48" s="3" t="s">
        <v>73</v>
      </c>
      <c r="G48" s="3">
        <v>1</v>
      </c>
      <c r="H48" s="3">
        <f t="shared" si="2"/>
        <v>6.3500000000000001E-2</v>
      </c>
      <c r="L48" s="2"/>
      <c r="M48" s="2"/>
    </row>
    <row r="49" spans="1:19" x14ac:dyDescent="0.45">
      <c r="A49" s="1" t="s">
        <v>43</v>
      </c>
      <c r="B49" s="3">
        <v>8.4000000000000005E-2</v>
      </c>
      <c r="C49" s="5">
        <v>7.9899999999999999E-2</v>
      </c>
      <c r="D49" s="5">
        <v>1.9199999999999998E-2</v>
      </c>
      <c r="E49" s="5">
        <v>5.9999999999999995E-4</v>
      </c>
      <c r="F49" s="3" t="s">
        <v>73</v>
      </c>
      <c r="G49" s="3">
        <v>1</v>
      </c>
      <c r="H49" s="3">
        <f t="shared" si="2"/>
        <v>9.9699999999999997E-2</v>
      </c>
      <c r="L49" s="2"/>
      <c r="M49" s="2"/>
    </row>
    <row r="50" spans="1:19" x14ac:dyDescent="0.45">
      <c r="A50" s="1" t="s">
        <v>44</v>
      </c>
      <c r="B50" s="3">
        <v>0.20399999999999999</v>
      </c>
      <c r="C50" s="5">
        <v>0.15279999999999999</v>
      </c>
      <c r="D50" s="5">
        <v>6.4000000000000003E-3</v>
      </c>
      <c r="E50" s="5">
        <v>1E-4</v>
      </c>
      <c r="F50" s="3" t="s">
        <v>73</v>
      </c>
      <c r="G50" s="3">
        <v>1</v>
      </c>
      <c r="H50" s="3">
        <f t="shared" si="2"/>
        <v>0.15929999999999997</v>
      </c>
      <c r="L50" s="2"/>
      <c r="M50" s="2"/>
    </row>
    <row r="51" spans="1:19" x14ac:dyDescent="0.45">
      <c r="A51" s="1" t="s">
        <v>45</v>
      </c>
      <c r="B51" s="3">
        <v>0.51390000000000002</v>
      </c>
      <c r="C51" s="5">
        <v>1.2909999999999999</v>
      </c>
      <c r="D51" s="5">
        <v>0.11609999999999999</v>
      </c>
      <c r="E51" s="5">
        <v>7.6300000000000007E-2</v>
      </c>
      <c r="F51" s="3" t="s">
        <v>73</v>
      </c>
      <c r="G51" s="3">
        <v>1</v>
      </c>
      <c r="H51" s="3">
        <f t="shared" si="2"/>
        <v>1.4834000000000001</v>
      </c>
      <c r="L51" s="2"/>
      <c r="M51" s="2"/>
    </row>
    <row r="52" spans="1:19" x14ac:dyDescent="0.45">
      <c r="A52" s="1" t="s">
        <v>85</v>
      </c>
      <c r="B52" s="9">
        <f>SUM(B36:B51)</f>
        <v>2.7445000000000004</v>
      </c>
      <c r="C52" s="5">
        <f>SUM(C36:C51)</f>
        <v>8.7825000000000006</v>
      </c>
      <c r="D52" s="5">
        <f>SUM(D36:D51)</f>
        <v>4.8387000000000002</v>
      </c>
      <c r="E52" s="5">
        <f>SUM(E36:E51)</f>
        <v>0.78439999999999999</v>
      </c>
      <c r="H52" s="9">
        <f>SUM(H36:H51)</f>
        <v>8.3438999999999997</v>
      </c>
      <c r="I52" s="9">
        <f>SUM(I39:I43)</f>
        <v>0</v>
      </c>
      <c r="J52" s="9">
        <f t="shared" ref="J52:K52" si="3">SUM(J39:J43)</f>
        <v>1.4796209999999999</v>
      </c>
      <c r="K52" s="9">
        <f t="shared" si="3"/>
        <v>10.054</v>
      </c>
      <c r="L52" s="2"/>
      <c r="M52" s="2"/>
    </row>
    <row r="53" spans="1:19" x14ac:dyDescent="0.45">
      <c r="B53" s="5"/>
      <c r="C53" s="5"/>
      <c r="D53" s="5"/>
      <c r="E53" s="5"/>
      <c r="H53" s="5"/>
      <c r="I53" s="5"/>
      <c r="J53" s="5"/>
      <c r="K53" s="5"/>
      <c r="L53" s="2"/>
      <c r="M53" s="2"/>
    </row>
    <row r="54" spans="1:19" x14ac:dyDescent="0.45">
      <c r="A54" s="1" t="s">
        <v>115</v>
      </c>
      <c r="L54" s="2"/>
      <c r="M54" s="2"/>
    </row>
    <row r="55" spans="1:19" x14ac:dyDescent="0.45">
      <c r="A55" s="1" t="s">
        <v>46</v>
      </c>
      <c r="B55" s="3">
        <v>0.42030000000000001</v>
      </c>
      <c r="C55" s="3">
        <v>0.27179999999999999</v>
      </c>
      <c r="D55" s="3">
        <v>0</v>
      </c>
      <c r="G55" s="3">
        <v>1</v>
      </c>
      <c r="H55" s="3">
        <f>SUM(C55:E55)/G55</f>
        <v>0.27179999999999999</v>
      </c>
      <c r="L55" s="2"/>
      <c r="M55" s="2"/>
    </row>
    <row r="56" spans="1:19" x14ac:dyDescent="0.45">
      <c r="A56" s="1" t="s">
        <v>47</v>
      </c>
      <c r="B56" s="3">
        <v>0.26590000000000003</v>
      </c>
      <c r="C56" s="3">
        <v>1.61E-2</v>
      </c>
      <c r="D56" s="5">
        <v>0</v>
      </c>
      <c r="G56" s="3">
        <v>1</v>
      </c>
      <c r="H56" s="3">
        <f>SUM(C56:E56)/G56</f>
        <v>1.61E-2</v>
      </c>
    </row>
    <row r="57" spans="1:19" ht="12" thickBot="1" x14ac:dyDescent="0.5">
      <c r="A57" s="1" t="s">
        <v>48</v>
      </c>
      <c r="B57" s="3">
        <v>0.36070000000000002</v>
      </c>
      <c r="C57" s="3">
        <v>0.4536</v>
      </c>
      <c r="D57" s="5">
        <v>0</v>
      </c>
      <c r="E57" s="3">
        <v>9.4299999999999995E-2</v>
      </c>
      <c r="G57" s="3">
        <v>1</v>
      </c>
      <c r="H57" s="3">
        <f>SUM(C57:E57)/G57</f>
        <v>0.54790000000000005</v>
      </c>
    </row>
    <row r="58" spans="1:19" ht="12" thickBot="1" x14ac:dyDescent="0.5">
      <c r="A58" s="1" t="s">
        <v>86</v>
      </c>
      <c r="B58" s="9">
        <f>SUM(B55:B57)</f>
        <v>1.0468999999999999</v>
      </c>
      <c r="C58" s="3">
        <f>SUM(C55:C57)</f>
        <v>0.74150000000000005</v>
      </c>
      <c r="D58" s="3">
        <f>SUM(D55:D57)</f>
        <v>0</v>
      </c>
      <c r="H58" s="9">
        <f>SUM(H55:H57)</f>
        <v>0.8358000000000001</v>
      </c>
      <c r="J58" s="5"/>
      <c r="O58" s="25" t="s">
        <v>177</v>
      </c>
      <c r="P58" s="26"/>
      <c r="Q58" s="26"/>
      <c r="R58" s="63"/>
      <c r="S58" s="27"/>
    </row>
    <row r="59" spans="1:19" ht="12" thickBot="1" x14ac:dyDescent="0.5">
      <c r="F59" s="48"/>
      <c r="G59" s="49" t="s">
        <v>178</v>
      </c>
      <c r="H59" s="50"/>
      <c r="O59" s="51" t="s">
        <v>176</v>
      </c>
      <c r="P59" s="52"/>
      <c r="Q59" s="33"/>
      <c r="R59" s="35"/>
      <c r="S59" s="34"/>
    </row>
    <row r="60" spans="1:19" x14ac:dyDescent="0.45">
      <c r="A60" s="1" t="s">
        <v>59</v>
      </c>
      <c r="G60" s="1" t="s">
        <v>174</v>
      </c>
      <c r="L60" s="13" t="s">
        <v>135</v>
      </c>
      <c r="M60" s="13"/>
      <c r="P60" s="1" t="s">
        <v>174</v>
      </c>
      <c r="R60" s="13" t="s">
        <v>173</v>
      </c>
    </row>
    <row r="61" spans="1:19" x14ac:dyDescent="0.45">
      <c r="A61" s="1" t="s">
        <v>13</v>
      </c>
      <c r="B61" s="3">
        <v>0.36699999999999999</v>
      </c>
      <c r="D61" s="3">
        <v>3.9889999999999999</v>
      </c>
      <c r="G61" s="14">
        <v>0.9</v>
      </c>
      <c r="H61" s="3">
        <f t="shared" ref="H61:H86" si="4">G61*(C61+D61)/$M$106</f>
        <v>1.43604</v>
      </c>
      <c r="I61" s="8">
        <f t="shared" ref="I61:I86" si="5">(1-$G61)*($C61+$D61)*$M$109*M61*N61</f>
        <v>0</v>
      </c>
      <c r="J61" s="3">
        <f t="shared" ref="J61:J86" si="6">(1-$G61)*($C61+$D61)*$M$110*L61*(1-M61)</f>
        <v>0.37648181999999997</v>
      </c>
      <c r="K61" s="3">
        <f t="shared" ref="K61:K86" si="7">(1-$G61)*($C61+$D61)*$M$111*M61*(1-N61)</f>
        <v>0</v>
      </c>
      <c r="L61" s="13">
        <f>$M$107</f>
        <v>0.66</v>
      </c>
      <c r="M61" s="13">
        <f t="shared" ref="M61:M70" si="8">$M$36</f>
        <v>0</v>
      </c>
      <c r="N61" s="13">
        <f t="shared" ref="N61:N86" si="9">$N$36</f>
        <v>0</v>
      </c>
      <c r="P61" s="12">
        <v>0.9</v>
      </c>
      <c r="R61" s="14">
        <v>1</v>
      </c>
    </row>
    <row r="62" spans="1:19" x14ac:dyDescent="0.45">
      <c r="A62" s="1" t="s">
        <v>12</v>
      </c>
      <c r="D62" s="3">
        <v>8.9591298829999992</v>
      </c>
      <c r="G62" s="14">
        <v>0.84</v>
      </c>
      <c r="H62" s="3">
        <f t="shared" si="4"/>
        <v>3.0102676406879998</v>
      </c>
      <c r="I62" s="8">
        <f t="shared" si="5"/>
        <v>0</v>
      </c>
      <c r="J62" s="12">
        <f t="shared" si="6"/>
        <v>1.3529002853720644</v>
      </c>
      <c r="K62" s="12">
        <f t="shared" si="7"/>
        <v>0</v>
      </c>
      <c r="L62" s="13">
        <f>$M$107</f>
        <v>0.66</v>
      </c>
      <c r="M62" s="13">
        <f t="shared" si="8"/>
        <v>0</v>
      </c>
      <c r="N62" s="13">
        <f t="shared" si="9"/>
        <v>0</v>
      </c>
      <c r="P62" s="12">
        <v>0.84</v>
      </c>
      <c r="R62" s="14">
        <v>1</v>
      </c>
    </row>
    <row r="63" spans="1:19" x14ac:dyDescent="0.45">
      <c r="A63" s="1" t="s">
        <v>11</v>
      </c>
      <c r="B63" s="3">
        <v>1.29E-2</v>
      </c>
      <c r="D63" s="3">
        <v>1.0221</v>
      </c>
      <c r="G63" s="14">
        <v>0.5</v>
      </c>
      <c r="H63" s="3">
        <f t="shared" si="4"/>
        <v>0.20441999999999999</v>
      </c>
      <c r="I63" s="8">
        <f t="shared" si="5"/>
        <v>0</v>
      </c>
      <c r="J63" s="12">
        <f t="shared" si="6"/>
        <v>0.48232899000000001</v>
      </c>
      <c r="K63" s="12">
        <f t="shared" si="7"/>
        <v>0</v>
      </c>
      <c r="L63" s="13">
        <f>$M$107</f>
        <v>0.66</v>
      </c>
      <c r="M63" s="13">
        <f t="shared" si="8"/>
        <v>0</v>
      </c>
      <c r="N63" s="13">
        <f t="shared" si="9"/>
        <v>0</v>
      </c>
      <c r="P63" s="12">
        <v>0.5</v>
      </c>
      <c r="R63" s="14">
        <v>1</v>
      </c>
    </row>
    <row r="64" spans="1:19" x14ac:dyDescent="0.45">
      <c r="A64" s="1" t="s">
        <v>10</v>
      </c>
      <c r="D64" s="3">
        <v>1.2512729E-2</v>
      </c>
      <c r="G64" s="14">
        <v>0.9</v>
      </c>
      <c r="H64" s="3">
        <f t="shared" si="4"/>
        <v>4.50458244E-3</v>
      </c>
      <c r="I64" s="8">
        <f t="shared" si="5"/>
        <v>0</v>
      </c>
      <c r="J64" s="12">
        <f t="shared" si="6"/>
        <v>1.1809513630199997E-3</v>
      </c>
      <c r="K64" s="12">
        <f t="shared" si="7"/>
        <v>0</v>
      </c>
      <c r="L64" s="13">
        <f>$M$107</f>
        <v>0.66</v>
      </c>
      <c r="M64" s="13">
        <f t="shared" si="8"/>
        <v>0</v>
      </c>
      <c r="N64" s="13">
        <f t="shared" si="9"/>
        <v>0</v>
      </c>
      <c r="P64" s="12">
        <v>0.9</v>
      </c>
      <c r="R64" s="14">
        <v>1</v>
      </c>
    </row>
    <row r="65" spans="1:18" x14ac:dyDescent="0.45">
      <c r="A65" s="1" t="s">
        <v>87</v>
      </c>
      <c r="B65" s="3">
        <v>7.2100000000000003E-3</v>
      </c>
      <c r="C65" s="3">
        <v>2.3390000000000001E-2</v>
      </c>
      <c r="D65" s="3">
        <v>8.2489999999999994E-2</v>
      </c>
      <c r="G65" s="14">
        <v>1</v>
      </c>
      <c r="H65" s="3">
        <f t="shared" si="4"/>
        <v>4.2352000000000001E-2</v>
      </c>
      <c r="I65" s="8">
        <f t="shared" si="5"/>
        <v>0</v>
      </c>
      <c r="J65" s="12">
        <f t="shared" si="6"/>
        <v>0</v>
      </c>
      <c r="K65" s="12">
        <f t="shared" si="7"/>
        <v>0</v>
      </c>
      <c r="L65" s="13">
        <f t="shared" ref="L65:L70" si="10">$M$108</f>
        <v>0.8</v>
      </c>
      <c r="M65" s="13">
        <f t="shared" si="8"/>
        <v>0</v>
      </c>
      <c r="N65" s="13">
        <f t="shared" si="9"/>
        <v>0</v>
      </c>
      <c r="P65" s="12">
        <v>1</v>
      </c>
      <c r="R65" s="14">
        <v>1</v>
      </c>
    </row>
    <row r="66" spans="1:18" x14ac:dyDescent="0.45">
      <c r="A66" s="1" t="s">
        <v>88</v>
      </c>
      <c r="B66" s="3">
        <v>0</v>
      </c>
      <c r="C66" s="3">
        <v>0</v>
      </c>
      <c r="D66" s="3">
        <v>4.1654305000000003E-2</v>
      </c>
      <c r="G66" s="14">
        <v>1</v>
      </c>
      <c r="H66" s="3">
        <f t="shared" si="4"/>
        <v>1.6661722E-2</v>
      </c>
      <c r="I66" s="8">
        <f t="shared" si="5"/>
        <v>0</v>
      </c>
      <c r="J66" s="12">
        <f t="shared" si="6"/>
        <v>0</v>
      </c>
      <c r="K66" s="12">
        <f t="shared" si="7"/>
        <v>0</v>
      </c>
      <c r="L66" s="13">
        <f t="shared" si="10"/>
        <v>0.8</v>
      </c>
      <c r="M66" s="13">
        <f t="shared" si="8"/>
        <v>0</v>
      </c>
      <c r="N66" s="13">
        <f t="shared" si="9"/>
        <v>0</v>
      </c>
      <c r="P66" s="12">
        <v>1</v>
      </c>
      <c r="R66" s="14">
        <v>1</v>
      </c>
    </row>
    <row r="67" spans="1:18" x14ac:dyDescent="0.45">
      <c r="A67" s="1" t="s">
        <v>89</v>
      </c>
      <c r="C67" s="3">
        <v>1.39E-3</v>
      </c>
      <c r="D67" s="3">
        <v>9.6044708000000006E-2</v>
      </c>
      <c r="G67" s="14">
        <v>1</v>
      </c>
      <c r="H67" s="3">
        <f t="shared" si="4"/>
        <v>3.8973883200000004E-2</v>
      </c>
      <c r="I67" s="8">
        <f t="shared" si="5"/>
        <v>0</v>
      </c>
      <c r="J67" s="12">
        <f t="shared" si="6"/>
        <v>0</v>
      </c>
      <c r="K67" s="12">
        <f t="shared" si="7"/>
        <v>0</v>
      </c>
      <c r="L67" s="13">
        <f t="shared" si="10"/>
        <v>0.8</v>
      </c>
      <c r="M67" s="13">
        <f t="shared" si="8"/>
        <v>0</v>
      </c>
      <c r="N67" s="13">
        <f t="shared" si="9"/>
        <v>0</v>
      </c>
      <c r="P67" s="12">
        <v>1</v>
      </c>
      <c r="R67" s="14">
        <v>1</v>
      </c>
    </row>
    <row r="68" spans="1:18" x14ac:dyDescent="0.45">
      <c r="A68" s="1" t="s">
        <v>90</v>
      </c>
      <c r="D68" s="3">
        <v>0.93462579300000004</v>
      </c>
      <c r="G68" s="14">
        <v>0</v>
      </c>
      <c r="H68" s="3">
        <f t="shared" si="4"/>
        <v>0</v>
      </c>
      <c r="I68" s="8">
        <f t="shared" si="5"/>
        <v>0</v>
      </c>
      <c r="J68" s="12">
        <f t="shared" si="6"/>
        <v>1.0692119071920001</v>
      </c>
      <c r="K68" s="12">
        <f t="shared" si="7"/>
        <v>0</v>
      </c>
      <c r="L68" s="13">
        <f t="shared" si="10"/>
        <v>0.8</v>
      </c>
      <c r="M68" s="13">
        <f t="shared" si="8"/>
        <v>0</v>
      </c>
      <c r="N68" s="13">
        <f t="shared" si="9"/>
        <v>0</v>
      </c>
      <c r="P68" s="12">
        <v>0</v>
      </c>
      <c r="R68" s="14">
        <v>1</v>
      </c>
    </row>
    <row r="69" spans="1:18" x14ac:dyDescent="0.45">
      <c r="A69" s="1" t="s">
        <v>91</v>
      </c>
      <c r="D69" s="3">
        <v>1.2320611570000002</v>
      </c>
      <c r="G69" s="14">
        <v>0</v>
      </c>
      <c r="H69" s="3">
        <f t="shared" si="4"/>
        <v>0</v>
      </c>
      <c r="I69" s="8">
        <f t="shared" si="5"/>
        <v>0</v>
      </c>
      <c r="J69" s="12">
        <f t="shared" si="6"/>
        <v>1.4094779636080004</v>
      </c>
      <c r="K69" s="12">
        <f t="shared" si="7"/>
        <v>0</v>
      </c>
      <c r="L69" s="13">
        <f t="shared" si="10"/>
        <v>0.8</v>
      </c>
      <c r="M69" s="13">
        <f t="shared" si="8"/>
        <v>0</v>
      </c>
      <c r="N69" s="13">
        <f t="shared" si="9"/>
        <v>0</v>
      </c>
      <c r="P69" s="12">
        <v>0</v>
      </c>
      <c r="R69" s="14">
        <v>1</v>
      </c>
    </row>
    <row r="70" spans="1:18" x14ac:dyDescent="0.45">
      <c r="A70" s="1" t="s">
        <v>92</v>
      </c>
      <c r="D70" s="3">
        <v>3.610172119</v>
      </c>
      <c r="F70" s="24" t="s">
        <v>134</v>
      </c>
      <c r="G70" s="14">
        <f>$O$36</f>
        <v>0</v>
      </c>
      <c r="H70" s="3">
        <f t="shared" si="4"/>
        <v>0</v>
      </c>
      <c r="I70" s="8">
        <f t="shared" si="5"/>
        <v>0</v>
      </c>
      <c r="J70" s="12">
        <f t="shared" si="6"/>
        <v>4.1300369041360003</v>
      </c>
      <c r="K70" s="12">
        <f t="shared" si="7"/>
        <v>0</v>
      </c>
      <c r="L70" s="13">
        <f t="shared" si="10"/>
        <v>0.8</v>
      </c>
      <c r="M70" s="13">
        <f t="shared" si="8"/>
        <v>0</v>
      </c>
      <c r="N70" s="13">
        <f t="shared" si="9"/>
        <v>0</v>
      </c>
      <c r="P70" s="14">
        <f>$O$36</f>
        <v>0</v>
      </c>
      <c r="R70" s="14">
        <f>$O$36</f>
        <v>0</v>
      </c>
    </row>
    <row r="71" spans="1:18" x14ac:dyDescent="0.45">
      <c r="A71" s="1" t="s">
        <v>93</v>
      </c>
      <c r="D71" s="3">
        <v>0.21632486000000001</v>
      </c>
      <c r="G71" s="14">
        <v>0</v>
      </c>
      <c r="H71" s="3">
        <f t="shared" si="4"/>
        <v>0</v>
      </c>
      <c r="I71" s="8">
        <f t="shared" si="5"/>
        <v>0</v>
      </c>
      <c r="J71" s="12">
        <f t="shared" si="6"/>
        <v>0</v>
      </c>
      <c r="K71" s="12">
        <f t="shared" si="7"/>
        <v>0.43264972000000002</v>
      </c>
      <c r="L71" s="13">
        <v>1</v>
      </c>
      <c r="M71" s="21">
        <v>1</v>
      </c>
      <c r="N71" s="13">
        <f t="shared" si="9"/>
        <v>0</v>
      </c>
      <c r="P71" s="12">
        <v>0</v>
      </c>
      <c r="R71" s="14">
        <v>0</v>
      </c>
    </row>
    <row r="72" spans="1:18" x14ac:dyDescent="0.45">
      <c r="A72" s="1" t="s">
        <v>94</v>
      </c>
      <c r="D72" s="3">
        <v>1.9525577390000002</v>
      </c>
      <c r="G72" s="14">
        <v>0</v>
      </c>
      <c r="H72" s="3">
        <f t="shared" si="4"/>
        <v>0</v>
      </c>
      <c r="I72" s="8">
        <f t="shared" si="5"/>
        <v>0</v>
      </c>
      <c r="J72" s="12">
        <f t="shared" si="6"/>
        <v>0</v>
      </c>
      <c r="K72" s="12">
        <f t="shared" si="7"/>
        <v>3.9051154780000004</v>
      </c>
      <c r="L72" s="13">
        <v>1</v>
      </c>
      <c r="M72" s="21">
        <v>1</v>
      </c>
      <c r="N72" s="13">
        <f t="shared" si="9"/>
        <v>0</v>
      </c>
      <c r="P72" s="12">
        <v>0</v>
      </c>
      <c r="R72" s="14">
        <v>0</v>
      </c>
    </row>
    <row r="73" spans="1:18" x14ac:dyDescent="0.45">
      <c r="A73" s="1" t="s">
        <v>95</v>
      </c>
      <c r="D73" s="3">
        <v>1.1799334719999999</v>
      </c>
      <c r="G73" s="14">
        <v>0</v>
      </c>
      <c r="H73" s="3">
        <f t="shared" si="4"/>
        <v>0</v>
      </c>
      <c r="I73" s="8">
        <f t="shared" si="5"/>
        <v>0</v>
      </c>
      <c r="J73" s="12">
        <f t="shared" si="6"/>
        <v>0</v>
      </c>
      <c r="K73" s="12">
        <f t="shared" si="7"/>
        <v>2.3598669439999997</v>
      </c>
      <c r="L73" s="13">
        <v>1</v>
      </c>
      <c r="M73" s="21">
        <v>1</v>
      </c>
      <c r="N73" s="13">
        <f t="shared" si="9"/>
        <v>0</v>
      </c>
      <c r="P73" s="12">
        <v>0</v>
      </c>
      <c r="R73" s="14">
        <v>0</v>
      </c>
    </row>
    <row r="74" spans="1:18" x14ac:dyDescent="0.45">
      <c r="A74" s="1" t="s">
        <v>96</v>
      </c>
      <c r="D74" s="3">
        <v>0.74684576400000002</v>
      </c>
      <c r="G74" s="14">
        <v>0</v>
      </c>
      <c r="H74" s="3">
        <f t="shared" si="4"/>
        <v>0</v>
      </c>
      <c r="I74" s="8">
        <f t="shared" si="5"/>
        <v>0</v>
      </c>
      <c r="J74" s="12">
        <f t="shared" si="6"/>
        <v>0</v>
      </c>
      <c r="K74" s="12">
        <f t="shared" si="7"/>
        <v>1.493691528</v>
      </c>
      <c r="L74" s="13">
        <v>1</v>
      </c>
      <c r="M74" s="21">
        <v>1</v>
      </c>
      <c r="N74" s="13">
        <f t="shared" si="9"/>
        <v>0</v>
      </c>
      <c r="P74" s="12">
        <v>0</v>
      </c>
      <c r="R74" s="14">
        <v>0</v>
      </c>
    </row>
    <row r="75" spans="1:18" x14ac:dyDescent="0.45">
      <c r="A75" s="1" t="s">
        <v>97</v>
      </c>
      <c r="C75" s="3">
        <v>1.5399999999999999E-3</v>
      </c>
      <c r="D75" s="3">
        <v>4.6699795000000002E-2</v>
      </c>
      <c r="G75" s="14">
        <v>0</v>
      </c>
      <c r="H75" s="3">
        <f t="shared" si="4"/>
        <v>0</v>
      </c>
      <c r="I75" s="8">
        <f t="shared" si="5"/>
        <v>0</v>
      </c>
      <c r="J75" s="12">
        <f t="shared" si="6"/>
        <v>5.5186325479999999E-2</v>
      </c>
      <c r="K75" s="12">
        <f t="shared" si="7"/>
        <v>0</v>
      </c>
      <c r="L75" s="13">
        <f t="shared" ref="L75:L81" si="11">$M$108</f>
        <v>0.8</v>
      </c>
      <c r="M75" s="13">
        <f t="shared" ref="M75:M81" si="12">$M$36</f>
        <v>0</v>
      </c>
      <c r="N75" s="13">
        <f t="shared" si="9"/>
        <v>0</v>
      </c>
      <c r="P75" s="12">
        <v>0</v>
      </c>
      <c r="R75" s="14">
        <v>0</v>
      </c>
    </row>
    <row r="76" spans="1:18" x14ac:dyDescent="0.45">
      <c r="A76" s="1" t="s">
        <v>98</v>
      </c>
      <c r="D76" s="3">
        <v>0.89156335399999997</v>
      </c>
      <c r="G76" s="14">
        <v>0</v>
      </c>
      <c r="H76" s="3">
        <f t="shared" si="4"/>
        <v>0</v>
      </c>
      <c r="I76" s="8">
        <f t="shared" si="5"/>
        <v>0</v>
      </c>
      <c r="J76" s="12">
        <f t="shared" si="6"/>
        <v>1.0199484769760001</v>
      </c>
      <c r="K76" s="12">
        <f t="shared" si="7"/>
        <v>0</v>
      </c>
      <c r="L76" s="13">
        <f t="shared" si="11"/>
        <v>0.8</v>
      </c>
      <c r="M76" s="13">
        <f t="shared" si="12"/>
        <v>0</v>
      </c>
      <c r="N76" s="13">
        <f t="shared" si="9"/>
        <v>0</v>
      </c>
      <c r="P76" s="12">
        <v>0</v>
      </c>
      <c r="R76" s="14">
        <v>0</v>
      </c>
    </row>
    <row r="77" spans="1:18" x14ac:dyDescent="0.45">
      <c r="A77" s="1" t="s">
        <v>99</v>
      </c>
      <c r="D77" s="3">
        <v>0.17736492899999998</v>
      </c>
      <c r="G77" s="14">
        <v>0</v>
      </c>
      <c r="H77" s="3">
        <f t="shared" si="4"/>
        <v>0</v>
      </c>
      <c r="I77" s="8">
        <f t="shared" si="5"/>
        <v>0</v>
      </c>
      <c r="J77" s="12">
        <f t="shared" si="6"/>
        <v>0.20290547877599999</v>
      </c>
      <c r="K77" s="12">
        <f t="shared" si="7"/>
        <v>0</v>
      </c>
      <c r="L77" s="13">
        <f t="shared" si="11"/>
        <v>0.8</v>
      </c>
      <c r="M77" s="13">
        <f t="shared" si="12"/>
        <v>0</v>
      </c>
      <c r="N77" s="13">
        <f t="shared" si="9"/>
        <v>0</v>
      </c>
      <c r="P77" s="12">
        <v>0</v>
      </c>
      <c r="R77" s="14">
        <v>0</v>
      </c>
    </row>
    <row r="78" spans="1:18" x14ac:dyDescent="0.45">
      <c r="A78" s="1" t="s">
        <v>100</v>
      </c>
      <c r="C78" s="3">
        <v>0.189</v>
      </c>
      <c r="D78" s="3">
        <v>0.253</v>
      </c>
      <c r="G78" s="14">
        <v>0</v>
      </c>
      <c r="H78" s="3">
        <f t="shared" si="4"/>
        <v>0</v>
      </c>
      <c r="I78" s="8">
        <f t="shared" si="5"/>
        <v>0</v>
      </c>
      <c r="J78" s="12">
        <f t="shared" si="6"/>
        <v>0.50564799999999999</v>
      </c>
      <c r="K78" s="12">
        <f t="shared" si="7"/>
        <v>0</v>
      </c>
      <c r="L78" s="13">
        <f t="shared" si="11"/>
        <v>0.8</v>
      </c>
      <c r="M78" s="13">
        <f t="shared" si="12"/>
        <v>0</v>
      </c>
      <c r="N78" s="13">
        <f t="shared" si="9"/>
        <v>0</v>
      </c>
      <c r="P78" s="12">
        <v>0</v>
      </c>
      <c r="R78" s="14">
        <v>1</v>
      </c>
    </row>
    <row r="79" spans="1:18" x14ac:dyDescent="0.45">
      <c r="A79" s="1" t="s">
        <v>101</v>
      </c>
      <c r="B79" s="3">
        <v>2.0400000000000001E-3</v>
      </c>
      <c r="D79" s="3">
        <v>9.0600000000000003E-3</v>
      </c>
      <c r="G79" s="14">
        <v>0</v>
      </c>
      <c r="H79" s="3">
        <f t="shared" si="4"/>
        <v>0</v>
      </c>
      <c r="I79" s="8">
        <f t="shared" si="5"/>
        <v>0</v>
      </c>
      <c r="J79" s="12">
        <f t="shared" si="6"/>
        <v>1.0364640000000001E-2</v>
      </c>
      <c r="K79" s="12">
        <f t="shared" si="7"/>
        <v>0</v>
      </c>
      <c r="L79" s="13">
        <f t="shared" si="11"/>
        <v>0.8</v>
      </c>
      <c r="M79" s="13">
        <f t="shared" si="12"/>
        <v>0</v>
      </c>
      <c r="N79" s="13">
        <f t="shared" si="9"/>
        <v>0</v>
      </c>
      <c r="P79" s="12">
        <v>0</v>
      </c>
      <c r="R79" s="14">
        <v>1</v>
      </c>
    </row>
    <row r="80" spans="1:18" x14ac:dyDescent="0.45">
      <c r="A80" s="1" t="s">
        <v>102</v>
      </c>
      <c r="B80" s="3">
        <v>2.2890000000000001E-2</v>
      </c>
      <c r="D80" s="3">
        <v>0</v>
      </c>
      <c r="G80" s="14">
        <v>1</v>
      </c>
      <c r="H80" s="3">
        <f t="shared" si="4"/>
        <v>0</v>
      </c>
      <c r="I80" s="8">
        <f t="shared" si="5"/>
        <v>0</v>
      </c>
      <c r="J80" s="12">
        <f t="shared" si="6"/>
        <v>0</v>
      </c>
      <c r="K80" s="12">
        <f t="shared" si="7"/>
        <v>0</v>
      </c>
      <c r="L80" s="13">
        <f t="shared" si="11"/>
        <v>0.8</v>
      </c>
      <c r="M80" s="13">
        <f t="shared" si="12"/>
        <v>0</v>
      </c>
      <c r="N80" s="13">
        <f t="shared" si="9"/>
        <v>0</v>
      </c>
      <c r="P80" s="12">
        <v>1</v>
      </c>
      <c r="R80" s="14">
        <v>1</v>
      </c>
    </row>
    <row r="81" spans="1:18" x14ac:dyDescent="0.45">
      <c r="A81" s="1" t="s">
        <v>103</v>
      </c>
      <c r="B81" s="3">
        <v>9.4500000000000001E-3</v>
      </c>
      <c r="D81" s="3">
        <v>1.983E-2</v>
      </c>
      <c r="G81" s="14">
        <v>1</v>
      </c>
      <c r="H81" s="3">
        <f t="shared" si="4"/>
        <v>7.9319999999999998E-3</v>
      </c>
      <c r="I81" s="8">
        <f t="shared" si="5"/>
        <v>0</v>
      </c>
      <c r="J81" s="12">
        <f t="shared" si="6"/>
        <v>0</v>
      </c>
      <c r="K81" s="12">
        <f t="shared" si="7"/>
        <v>0</v>
      </c>
      <c r="L81" s="13">
        <f t="shared" si="11"/>
        <v>0.8</v>
      </c>
      <c r="M81" s="13">
        <f t="shared" si="12"/>
        <v>0</v>
      </c>
      <c r="N81" s="13">
        <f t="shared" si="9"/>
        <v>0</v>
      </c>
      <c r="P81" s="12">
        <v>1</v>
      </c>
      <c r="R81" s="14">
        <v>1</v>
      </c>
    </row>
    <row r="82" spans="1:18" x14ac:dyDescent="0.45">
      <c r="A82" s="1" t="s">
        <v>104</v>
      </c>
      <c r="D82" s="3">
        <v>0.12450267</v>
      </c>
      <c r="G82" s="14">
        <v>0</v>
      </c>
      <c r="H82" s="3">
        <f t="shared" si="4"/>
        <v>0</v>
      </c>
      <c r="I82" s="8">
        <f t="shared" si="5"/>
        <v>0</v>
      </c>
      <c r="J82" s="12">
        <f t="shared" si="6"/>
        <v>0</v>
      </c>
      <c r="K82" s="12">
        <f t="shared" si="7"/>
        <v>0.24900533999999999</v>
      </c>
      <c r="L82" s="13"/>
      <c r="M82" s="21">
        <v>1</v>
      </c>
      <c r="N82" s="13">
        <f t="shared" si="9"/>
        <v>0</v>
      </c>
      <c r="P82" s="12">
        <v>0</v>
      </c>
      <c r="R82" s="14">
        <v>0</v>
      </c>
    </row>
    <row r="83" spans="1:18" x14ac:dyDescent="0.45">
      <c r="A83" s="1" t="s">
        <v>105</v>
      </c>
      <c r="D83" s="3">
        <v>0.71458917199999994</v>
      </c>
      <c r="G83" s="14">
        <v>1</v>
      </c>
      <c r="H83" s="3">
        <f t="shared" si="4"/>
        <v>0.2858356688</v>
      </c>
      <c r="I83" s="8">
        <f t="shared" si="5"/>
        <v>0</v>
      </c>
      <c r="J83" s="12">
        <f t="shared" si="6"/>
        <v>0</v>
      </c>
      <c r="K83" s="12">
        <f t="shared" si="7"/>
        <v>0</v>
      </c>
      <c r="L83" s="13"/>
      <c r="M83" s="13">
        <f>$M$36</f>
        <v>0</v>
      </c>
      <c r="N83" s="13">
        <f t="shared" si="9"/>
        <v>0</v>
      </c>
      <c r="P83" s="12">
        <v>1</v>
      </c>
      <c r="R83" s="14">
        <v>1</v>
      </c>
    </row>
    <row r="84" spans="1:18" x14ac:dyDescent="0.45">
      <c r="A84" s="1" t="s">
        <v>106</v>
      </c>
      <c r="D84" s="3">
        <v>0.40465606700000001</v>
      </c>
      <c r="G84" s="14">
        <v>0</v>
      </c>
      <c r="H84" s="3">
        <f t="shared" si="4"/>
        <v>0</v>
      </c>
      <c r="I84" s="8">
        <f t="shared" si="5"/>
        <v>0</v>
      </c>
      <c r="J84" s="12">
        <f t="shared" si="6"/>
        <v>0</v>
      </c>
      <c r="K84" s="12">
        <f t="shared" si="7"/>
        <v>0.80931213400000002</v>
      </c>
      <c r="L84" s="13">
        <v>1</v>
      </c>
      <c r="M84" s="21">
        <v>1</v>
      </c>
      <c r="N84" s="13">
        <f t="shared" si="9"/>
        <v>0</v>
      </c>
      <c r="P84" s="12">
        <v>0</v>
      </c>
      <c r="R84" s="14">
        <v>0</v>
      </c>
    </row>
    <row r="85" spans="1:18" x14ac:dyDescent="0.45">
      <c r="A85" s="1" t="s">
        <v>107</v>
      </c>
      <c r="D85" s="3">
        <v>1.9379641E-2</v>
      </c>
      <c r="G85" s="14">
        <v>0</v>
      </c>
      <c r="H85" s="3">
        <f t="shared" si="4"/>
        <v>0</v>
      </c>
      <c r="I85" s="8">
        <f t="shared" si="5"/>
        <v>0</v>
      </c>
      <c r="J85" s="12">
        <f t="shared" si="6"/>
        <v>0</v>
      </c>
      <c r="K85" s="12">
        <f t="shared" si="7"/>
        <v>3.8759281999999999E-2</v>
      </c>
      <c r="L85" s="13">
        <v>1</v>
      </c>
      <c r="M85" s="21">
        <v>1</v>
      </c>
      <c r="N85" s="13">
        <f t="shared" si="9"/>
        <v>0</v>
      </c>
      <c r="P85" s="12">
        <v>0</v>
      </c>
      <c r="R85" s="14">
        <v>0</v>
      </c>
    </row>
    <row r="86" spans="1:18" x14ac:dyDescent="0.45">
      <c r="A86" s="1" t="s">
        <v>108</v>
      </c>
      <c r="D86" s="3">
        <v>0.115844696</v>
      </c>
      <c r="G86" s="14">
        <v>0</v>
      </c>
      <c r="H86" s="3">
        <f t="shared" si="4"/>
        <v>0</v>
      </c>
      <c r="I86" s="8">
        <f t="shared" si="5"/>
        <v>0</v>
      </c>
      <c r="J86" s="12">
        <f t="shared" si="6"/>
        <v>0</v>
      </c>
      <c r="K86" s="12">
        <f t="shared" si="7"/>
        <v>0.23168939199999999</v>
      </c>
      <c r="L86" s="13">
        <f>$M$108</f>
        <v>0.8</v>
      </c>
      <c r="M86" s="21">
        <v>1</v>
      </c>
      <c r="N86" s="13">
        <f t="shared" si="9"/>
        <v>0</v>
      </c>
      <c r="P86" s="12">
        <v>0</v>
      </c>
      <c r="R86" s="14">
        <v>0</v>
      </c>
    </row>
    <row r="87" spans="1:18" x14ac:dyDescent="0.45">
      <c r="A87" s="1" t="s">
        <v>109</v>
      </c>
      <c r="B87" s="3">
        <f>SUM(B61:B86)</f>
        <v>0.42149000000000003</v>
      </c>
      <c r="C87" s="3">
        <f>SUM(C61:C86)</f>
        <v>0.21532000000000001</v>
      </c>
      <c r="D87" s="3">
        <f>SUM(D61:D86)</f>
        <v>26.851942852999997</v>
      </c>
      <c r="G87" s="14"/>
      <c r="H87" s="3">
        <f>SUM(H61:H86)</f>
        <v>5.0469874971279998</v>
      </c>
      <c r="I87" s="8">
        <f>SUM(I61:I86)</f>
        <v>0</v>
      </c>
      <c r="J87" s="3">
        <f>SUM(J61:J86)</f>
        <v>10.615671742903084</v>
      </c>
      <c r="K87" s="3">
        <f>SUM(K61:K86)</f>
        <v>9.5200898179999989</v>
      </c>
      <c r="L87" s="13"/>
      <c r="M87" s="13"/>
      <c r="N87" s="13" t="s">
        <v>0</v>
      </c>
      <c r="P87" s="12"/>
      <c r="R87" s="14"/>
    </row>
    <row r="88" spans="1:18" x14ac:dyDescent="0.45">
      <c r="A88" s="1" t="s">
        <v>110</v>
      </c>
      <c r="D88" s="3">
        <v>1.0065</v>
      </c>
      <c r="G88" s="14">
        <v>0</v>
      </c>
      <c r="H88" s="3">
        <f>G88*D88/$M$106</f>
        <v>0</v>
      </c>
      <c r="I88" s="8">
        <f>(1-$G88)*($C88+$D88)*$M$109*M88*N88</f>
        <v>0</v>
      </c>
      <c r="J88" s="3">
        <f>(1-$G88)*($C88+$D88)*$M$110*L88*(1-M88)</f>
        <v>1.1514359999999999</v>
      </c>
      <c r="K88" s="3">
        <f>(1-$G88)*($C88+$D88)*$M$111*M88*(1-N88)</f>
        <v>0</v>
      </c>
      <c r="L88" s="13">
        <f>$M$108</f>
        <v>0.8</v>
      </c>
      <c r="M88" s="13">
        <f>$M$36</f>
        <v>0</v>
      </c>
      <c r="N88" s="13">
        <f>$N$36</f>
        <v>0</v>
      </c>
      <c r="P88" s="12">
        <v>0</v>
      </c>
      <c r="R88" s="14">
        <v>1</v>
      </c>
    </row>
    <row r="89" spans="1:18" x14ac:dyDescent="0.45">
      <c r="A89" s="1" t="s">
        <v>111</v>
      </c>
      <c r="D89" s="3">
        <v>1.246</v>
      </c>
      <c r="G89" s="14">
        <v>0</v>
      </c>
      <c r="H89" s="3">
        <f>G89*D89/$M$106</f>
        <v>0</v>
      </c>
      <c r="I89" s="8">
        <f>(1-$G89)*($C89+$D89)*$M$109*M89*N89</f>
        <v>0</v>
      </c>
      <c r="J89" s="12">
        <f>(1-$G89)*($C89+$D89)*$M$110*L89*(1-M89)</f>
        <v>1.425424</v>
      </c>
      <c r="K89" s="12">
        <f>(1-$G89)*($C89+$D89)*$M$111*M89*(1-N89)</f>
        <v>0</v>
      </c>
      <c r="L89" s="13">
        <f>$M$108</f>
        <v>0.8</v>
      </c>
      <c r="M89" s="13">
        <f>$M$36</f>
        <v>0</v>
      </c>
      <c r="N89" s="13">
        <f>$N$36</f>
        <v>0</v>
      </c>
      <c r="P89" s="12">
        <v>0</v>
      </c>
      <c r="R89" s="14">
        <v>1</v>
      </c>
    </row>
    <row r="90" spans="1:18" x14ac:dyDescent="0.45">
      <c r="A90" s="1" t="s">
        <v>112</v>
      </c>
      <c r="D90" s="3">
        <v>0.2555</v>
      </c>
      <c r="G90" s="14">
        <v>0</v>
      </c>
      <c r="H90" s="3">
        <f>G90*D90/$M$106</f>
        <v>0</v>
      </c>
      <c r="I90" s="8">
        <f>(1-$G90)*($C90+$D90)*$M$109*M90*N90</f>
        <v>0</v>
      </c>
      <c r="J90" s="12">
        <f>(1-$G90)*($C90+$D90)*$M$110*L90*(1-M90)</f>
        <v>0.292292</v>
      </c>
      <c r="K90" s="12">
        <f>(1-$G90)*($C90+$D90)*$M$111*M90*(1-N90)</f>
        <v>0</v>
      </c>
      <c r="L90" s="13">
        <f>$M$108</f>
        <v>0.8</v>
      </c>
      <c r="M90" s="13">
        <f>$M$36</f>
        <v>0</v>
      </c>
      <c r="N90" s="13">
        <f>$N$36</f>
        <v>0</v>
      </c>
      <c r="P90" s="12">
        <v>0</v>
      </c>
      <c r="R90" s="14">
        <v>1</v>
      </c>
    </row>
    <row r="91" spans="1:18" x14ac:dyDescent="0.45">
      <c r="A91" s="1" t="s">
        <v>113</v>
      </c>
      <c r="B91" s="3">
        <f>SUM(B88:B90)</f>
        <v>0</v>
      </c>
      <c r="C91" s="3">
        <f>SUM(C88:C90)</f>
        <v>0</v>
      </c>
      <c r="D91" s="3">
        <f>SUM(D88:D90)</f>
        <v>2.508</v>
      </c>
      <c r="E91" s="3" t="s">
        <v>0</v>
      </c>
      <c r="G91" s="3" t="s">
        <v>0</v>
      </c>
      <c r="H91" s="3">
        <f>SUM(H88:H90)</f>
        <v>0</v>
      </c>
      <c r="I91" s="8">
        <f>SUM(I88:I90)</f>
        <v>0</v>
      </c>
      <c r="J91" s="3">
        <f>SUM(J88:J90)</f>
        <v>2.8691519999999997</v>
      </c>
      <c r="K91" s="3">
        <f>SUM(K88:K90)</f>
        <v>0</v>
      </c>
      <c r="L91" s="13"/>
      <c r="M91" s="13"/>
      <c r="P91" s="12" t="s">
        <v>0</v>
      </c>
    </row>
    <row r="92" spans="1:18" x14ac:dyDescent="0.45">
      <c r="A92" s="1" t="s">
        <v>114</v>
      </c>
      <c r="B92" s="8">
        <f>B91+B87</f>
        <v>0.42149000000000003</v>
      </c>
      <c r="C92" s="3">
        <f>C91+C87</f>
        <v>0.21532000000000001</v>
      </c>
      <c r="D92" s="3">
        <f>D91+D87</f>
        <v>29.359942852999996</v>
      </c>
      <c r="H92" s="8">
        <f>H91+H87</f>
        <v>5.0469874971279998</v>
      </c>
      <c r="I92" s="8">
        <f>I91+I87</f>
        <v>0</v>
      </c>
      <c r="J92" s="3">
        <f>J91+J87</f>
        <v>13.484823742903083</v>
      </c>
      <c r="K92" s="3">
        <f>K91+K87</f>
        <v>9.5200898179999989</v>
      </c>
      <c r="L92" s="13"/>
      <c r="M92" s="13"/>
      <c r="P92" s="12"/>
    </row>
    <row r="93" spans="1:18" x14ac:dyDescent="0.45">
      <c r="B93" s="8"/>
      <c r="C93" s="12"/>
      <c r="D93" s="12"/>
      <c r="E93" s="12"/>
      <c r="F93" s="12"/>
      <c r="G93" s="12"/>
      <c r="H93" s="8"/>
      <c r="I93" s="8"/>
      <c r="J93" s="12"/>
      <c r="K93" s="12"/>
    </row>
    <row r="94" spans="1:18" x14ac:dyDescent="0.45">
      <c r="B94" s="8" t="s">
        <v>26</v>
      </c>
      <c r="C94" s="3" t="s">
        <v>27</v>
      </c>
      <c r="D94" s="3" t="s">
        <v>50</v>
      </c>
      <c r="E94" s="3" t="s">
        <v>49</v>
      </c>
      <c r="F94" s="3" t="s">
        <v>0</v>
      </c>
      <c r="I94" s="3" t="s">
        <v>69</v>
      </c>
    </row>
    <row r="95" spans="1:18" x14ac:dyDescent="0.45">
      <c r="B95" s="12"/>
      <c r="C95" s="12"/>
      <c r="D95" s="12"/>
      <c r="E95" s="12"/>
      <c r="F95" s="12"/>
      <c r="G95" s="12" t="s">
        <v>57</v>
      </c>
      <c r="H95" s="12" t="s">
        <v>60</v>
      </c>
      <c r="I95" s="12" t="s">
        <v>55</v>
      </c>
      <c r="J95" s="12" t="s">
        <v>70</v>
      </c>
      <c r="K95" s="12" t="s">
        <v>71</v>
      </c>
    </row>
    <row r="96" spans="1:18" x14ac:dyDescent="0.45">
      <c r="A96" s="15" t="s">
        <v>160</v>
      </c>
      <c r="B96" s="16">
        <f>B92+B58+B52+B33+B20</f>
        <v>16.72289</v>
      </c>
      <c r="C96" s="3">
        <f>C92+C58+C52+C33+C20</f>
        <v>18.288489000000002</v>
      </c>
      <c r="D96" s="3">
        <f>D92+D58+D52+D33+D20</f>
        <v>35.166983852999991</v>
      </c>
      <c r="E96" s="3">
        <f>E92+E58+E52+E33+E20</f>
        <v>0.78439999999999999</v>
      </c>
      <c r="G96" s="22">
        <f>B96+H96+I96+J96+K96</f>
        <v>69.729604391364404</v>
      </c>
      <c r="H96" s="16">
        <f>H92+H58+H52+H33+H20</f>
        <v>18.468179830461331</v>
      </c>
      <c r="I96" s="16">
        <f>I92+I58+I52+I33+I20</f>
        <v>0</v>
      </c>
      <c r="J96" s="22">
        <f>J92+J58+J52+J33+J20</f>
        <v>14.964444742903083</v>
      </c>
      <c r="K96" s="22">
        <f>K92+K58+K52+K33+K20</f>
        <v>19.574089817999997</v>
      </c>
      <c r="L96" s="15" t="s">
        <v>162</v>
      </c>
      <c r="M96" s="15"/>
      <c r="N96" s="15"/>
    </row>
    <row r="97" spans="1:15" x14ac:dyDescent="0.45">
      <c r="A97" s="15" t="s">
        <v>119</v>
      </c>
      <c r="B97" s="17">
        <f>1000000*B96/$M$103</f>
        <v>4901.1987104337632</v>
      </c>
      <c r="C97" s="11"/>
      <c r="D97" s="11"/>
      <c r="E97" s="11"/>
      <c r="F97" s="11"/>
      <c r="G97" s="17">
        <f>B97+H97+I97+J97+K97</f>
        <v>20436.578074843026</v>
      </c>
      <c r="H97" s="17">
        <f>1000000*H96/$M$103</f>
        <v>5412.7139010730743</v>
      </c>
      <c r="I97" s="17">
        <f>1000000*I96/$M$103</f>
        <v>0</v>
      </c>
      <c r="J97" s="17">
        <f>1000000*J96/$M$103</f>
        <v>4385.8278847898837</v>
      </c>
      <c r="K97" s="17">
        <f>1000000*K96/$M$103</f>
        <v>5736.8375785463058</v>
      </c>
      <c r="L97" s="15" t="s">
        <v>118</v>
      </c>
      <c r="M97" s="23"/>
      <c r="N97" s="15"/>
    </row>
    <row r="98" spans="1:15" x14ac:dyDescent="0.45">
      <c r="A98" s="15" t="s">
        <v>121</v>
      </c>
      <c r="B98" s="16"/>
      <c r="C98" s="12"/>
      <c r="D98" s="12"/>
      <c r="E98" s="12"/>
      <c r="F98" s="12"/>
      <c r="G98" s="17"/>
      <c r="H98" s="16"/>
      <c r="I98" s="17">
        <f>I96*1000000/($M$104*$M$109)</f>
        <v>0</v>
      </c>
      <c r="J98" s="17">
        <f>J96*1000000/($M$104*$M$110)</f>
        <v>90.142533149787241</v>
      </c>
      <c r="K98" s="17">
        <f>K96*1000000/($M$104*$M$111)</f>
        <v>84.305667232319735</v>
      </c>
      <c r="L98" s="15" t="s">
        <v>123</v>
      </c>
      <c r="M98" s="23">
        <f>I98*6.6/1000</f>
        <v>0</v>
      </c>
      <c r="N98" s="15" t="s">
        <v>131</v>
      </c>
    </row>
    <row r="99" spans="1:15" x14ac:dyDescent="0.45">
      <c r="A99" s="15" t="s">
        <v>161</v>
      </c>
      <c r="B99" s="43">
        <f>B92</f>
        <v>0.42149000000000003</v>
      </c>
      <c r="C99" s="10"/>
      <c r="D99" s="10"/>
      <c r="E99" s="10"/>
      <c r="F99" s="10"/>
      <c r="G99" s="43">
        <f>B99+H99+I99+J99+K99</f>
        <v>28.473391058031083</v>
      </c>
      <c r="H99" s="43">
        <f>H92</f>
        <v>5.0469874971279998</v>
      </c>
      <c r="I99" s="43">
        <f>I92</f>
        <v>0</v>
      </c>
      <c r="J99" s="43">
        <f>J92</f>
        <v>13.484823742903083</v>
      </c>
      <c r="K99" s="43">
        <f>K92</f>
        <v>9.5200898179999989</v>
      </c>
      <c r="L99" s="44" t="s">
        <v>56</v>
      </c>
      <c r="M99" s="45"/>
      <c r="N99" s="15"/>
    </row>
    <row r="100" spans="1:15" x14ac:dyDescent="0.45">
      <c r="A100" s="15" t="s">
        <v>120</v>
      </c>
      <c r="B100" s="17">
        <f>1000000*B92/$M$103</f>
        <v>123.53165298944901</v>
      </c>
      <c r="C100" s="11"/>
      <c r="D100" s="11"/>
      <c r="E100" s="11"/>
      <c r="F100" s="11"/>
      <c r="G100" s="17">
        <f>B100+H100+I100+J100+K100</f>
        <v>8345.0735809000817</v>
      </c>
      <c r="H100" s="17">
        <f>1000000*H92/$M$103</f>
        <v>1479.1874258874559</v>
      </c>
      <c r="I100" s="17">
        <f t="shared" ref="I100:K100" si="13">1000000*I92/$M$103</f>
        <v>0</v>
      </c>
      <c r="J100" s="17">
        <f t="shared" si="13"/>
        <v>3952.175774590587</v>
      </c>
      <c r="K100" s="17">
        <f t="shared" si="13"/>
        <v>2790.1787274325902</v>
      </c>
      <c r="L100" s="15" t="s">
        <v>118</v>
      </c>
      <c r="M100" s="23"/>
      <c r="N100" s="15"/>
    </row>
    <row r="101" spans="1:15" x14ac:dyDescent="0.45">
      <c r="A101" s="15" t="s">
        <v>122</v>
      </c>
      <c r="B101" s="17"/>
      <c r="C101" s="11"/>
      <c r="D101" s="11"/>
      <c r="E101" s="11"/>
      <c r="F101" s="11"/>
      <c r="G101" s="17"/>
      <c r="H101" s="17"/>
      <c r="I101" s="17">
        <f>I92*1000000/($M$104*$M$109)</f>
        <v>0</v>
      </c>
      <c r="J101" s="17">
        <f>J92*1000000/($M$104*$M$110)</f>
        <v>81.229620754232073</v>
      </c>
      <c r="K101" s="17">
        <f>K92*1000000/($M$104*$M$111)</f>
        <v>41.003057188388311</v>
      </c>
      <c r="L101" s="15" t="s">
        <v>123</v>
      </c>
      <c r="M101" s="23">
        <f>I101*6.6/1000</f>
        <v>0</v>
      </c>
      <c r="N101" s="15" t="s">
        <v>131</v>
      </c>
    </row>
    <row r="102" spans="1:15" x14ac:dyDescent="0.45">
      <c r="K102" s="3" t="s">
        <v>9</v>
      </c>
    </row>
    <row r="103" spans="1:15" x14ac:dyDescent="0.45">
      <c r="K103" s="3">
        <v>1</v>
      </c>
      <c r="L103" s="1" t="s">
        <v>8</v>
      </c>
      <c r="M103" s="1">
        <v>3412</v>
      </c>
      <c r="N103" s="1" t="s">
        <v>6</v>
      </c>
    </row>
    <row r="104" spans="1:15" x14ac:dyDescent="0.45">
      <c r="K104" s="3">
        <v>1</v>
      </c>
      <c r="L104" s="1" t="s">
        <v>7</v>
      </c>
      <c r="M104" s="1">
        <v>116090</v>
      </c>
      <c r="N104" s="1" t="s">
        <v>6</v>
      </c>
    </row>
    <row r="105" spans="1:15" x14ac:dyDescent="0.45">
      <c r="A105" s="1" t="s">
        <v>125</v>
      </c>
      <c r="K105" s="3">
        <v>1</v>
      </c>
      <c r="L105" s="1" t="s">
        <v>5</v>
      </c>
      <c r="M105" s="1">
        <v>0.08</v>
      </c>
      <c r="N105" s="1" t="s">
        <v>4</v>
      </c>
      <c r="O105" s="1" t="s">
        <v>179</v>
      </c>
    </row>
    <row r="106" spans="1:15" x14ac:dyDescent="0.45">
      <c r="A106" s="1" t="s">
        <v>14</v>
      </c>
      <c r="B106" s="3" t="s">
        <v>0</v>
      </c>
      <c r="K106" s="3">
        <v>1</v>
      </c>
      <c r="L106" s="1" t="s">
        <v>3</v>
      </c>
      <c r="M106" s="1">
        <v>2.5</v>
      </c>
      <c r="N106" s="1" t="s">
        <v>61</v>
      </c>
      <c r="O106" s="1" t="s">
        <v>180</v>
      </c>
    </row>
    <row r="107" spans="1:15" x14ac:dyDescent="0.45">
      <c r="A107" s="1" t="s">
        <v>127</v>
      </c>
      <c r="K107" s="3">
        <v>1</v>
      </c>
      <c r="L107" s="1" t="s">
        <v>65</v>
      </c>
      <c r="M107" s="1">
        <v>0.66</v>
      </c>
      <c r="N107" s="1" t="s">
        <v>0</v>
      </c>
      <c r="O107" s="1" t="s">
        <v>2</v>
      </c>
    </row>
    <row r="108" spans="1:15" x14ac:dyDescent="0.45">
      <c r="A108" s="18" t="s">
        <v>126</v>
      </c>
      <c r="K108" s="3">
        <v>1</v>
      </c>
      <c r="L108" s="1" t="s">
        <v>66</v>
      </c>
      <c r="M108" s="1">
        <v>0.8</v>
      </c>
      <c r="N108" s="1" t="s">
        <v>0</v>
      </c>
      <c r="O108" s="1" t="s">
        <v>62</v>
      </c>
    </row>
    <row r="109" spans="1:15" x14ac:dyDescent="0.45">
      <c r="K109" s="3" t="s">
        <v>0</v>
      </c>
      <c r="L109" s="1" t="s">
        <v>1</v>
      </c>
      <c r="M109" s="1">
        <v>0.59</v>
      </c>
      <c r="N109" s="1" t="s">
        <v>15</v>
      </c>
    </row>
    <row r="110" spans="1:15" x14ac:dyDescent="0.45">
      <c r="A110" s="1" t="s">
        <v>132</v>
      </c>
      <c r="L110" s="1" t="s">
        <v>63</v>
      </c>
      <c r="M110" s="1">
        <v>1.43</v>
      </c>
      <c r="N110" s="1" t="s">
        <v>15</v>
      </c>
    </row>
    <row r="111" spans="1:15" x14ac:dyDescent="0.45">
      <c r="A111" s="4">
        <v>1.181</v>
      </c>
      <c r="B111" s="20" t="s">
        <v>133</v>
      </c>
      <c r="C111" s="19"/>
      <c r="L111" s="1" t="s">
        <v>64</v>
      </c>
      <c r="M111" s="1">
        <v>2</v>
      </c>
      <c r="N111" s="1" t="s">
        <v>15</v>
      </c>
    </row>
    <row r="112" spans="1:15" x14ac:dyDescent="0.45">
      <c r="A112" s="4">
        <v>2.4409999999999998</v>
      </c>
      <c r="B112" s="20" t="s">
        <v>51</v>
      </c>
      <c r="C112" s="19"/>
      <c r="K112" s="3">
        <v>1</v>
      </c>
      <c r="L112" s="1" t="s">
        <v>7</v>
      </c>
      <c r="M112" s="1">
        <v>6.6</v>
      </c>
      <c r="N112" s="1" t="s">
        <v>130</v>
      </c>
    </row>
  </sheetData>
  <mergeCells count="1">
    <mergeCell ref="H3:K3"/>
  </mergeCells>
  <hyperlinks>
    <hyperlink ref="A108" r:id="rId1" display="https://tedb.ornl.gov/wp-content/uploads/2021/02/TEDB_Ed_39.pdf" xr:uid="{8D6B93A6-2DDA-4B89-94DC-9718A4B6F99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C62F-A265-4647-B7F1-1B39B3F73567}">
  <dimension ref="C1:N27"/>
  <sheetViews>
    <sheetView topLeftCell="B10" zoomScale="150" zoomScaleNormal="150" workbookViewId="0">
      <selection activeCell="D20" sqref="D20"/>
    </sheetView>
  </sheetViews>
  <sheetFormatPr defaultRowHeight="11.7" x14ac:dyDescent="0.45"/>
  <cols>
    <col min="3" max="3" width="11.33203125" customWidth="1"/>
    <col min="4" max="4" width="15.46484375" customWidth="1"/>
    <col min="5" max="5" width="13.1328125" customWidth="1"/>
    <col min="6" max="6" width="27.796875" customWidth="1"/>
  </cols>
  <sheetData>
    <row r="1" spans="3:14" x14ac:dyDescent="0.45">
      <c r="C1" s="53"/>
      <c r="D1" s="53"/>
      <c r="E1" s="53"/>
      <c r="F1" s="53"/>
      <c r="G1" s="59" t="s">
        <v>57</v>
      </c>
      <c r="H1" s="59"/>
      <c r="I1" s="59" t="s">
        <v>59</v>
      </c>
      <c r="J1" s="59"/>
      <c r="K1" s="59" t="s">
        <v>57</v>
      </c>
      <c r="L1" s="59"/>
      <c r="M1" s="59" t="s">
        <v>59</v>
      </c>
      <c r="N1" s="59"/>
    </row>
    <row r="2" spans="3:14" x14ac:dyDescent="0.45">
      <c r="C2" s="53"/>
      <c r="D2" s="53"/>
      <c r="E2" s="53"/>
      <c r="F2" s="53"/>
      <c r="G2" s="59" t="s">
        <v>158</v>
      </c>
      <c r="H2" s="59" t="s">
        <v>159</v>
      </c>
      <c r="I2" s="59" t="s">
        <v>158</v>
      </c>
      <c r="J2" s="59" t="s">
        <v>159</v>
      </c>
      <c r="K2" s="59" t="s">
        <v>158</v>
      </c>
      <c r="L2" s="59" t="s">
        <v>159</v>
      </c>
      <c r="M2" s="59" t="s">
        <v>158</v>
      </c>
      <c r="N2" s="59" t="s">
        <v>159</v>
      </c>
    </row>
    <row r="3" spans="3:14" ht="14.4" x14ac:dyDescent="0.55000000000000004">
      <c r="C3" s="54"/>
      <c r="D3" s="55" t="s">
        <v>138</v>
      </c>
      <c r="E3" s="55" t="s">
        <v>139</v>
      </c>
      <c r="F3" s="56" t="s">
        <v>140</v>
      </c>
      <c r="G3" s="59" t="s">
        <v>56</v>
      </c>
      <c r="H3" s="59" t="s">
        <v>56</v>
      </c>
      <c r="I3" s="59" t="s">
        <v>56</v>
      </c>
      <c r="J3" s="59" t="s">
        <v>56</v>
      </c>
      <c r="K3" s="59" t="s">
        <v>163</v>
      </c>
      <c r="L3" s="59" t="s">
        <v>163</v>
      </c>
      <c r="M3" s="59" t="s">
        <v>163</v>
      </c>
      <c r="N3" s="59" t="s">
        <v>163</v>
      </c>
    </row>
    <row r="4" spans="3:14" x14ac:dyDescent="0.45">
      <c r="C4" s="57" t="s">
        <v>141</v>
      </c>
      <c r="D4" s="55" t="s">
        <v>142</v>
      </c>
      <c r="E4" s="55">
        <v>19.399999999999999</v>
      </c>
      <c r="F4" s="56" t="s">
        <v>143</v>
      </c>
      <c r="G4" s="60">
        <f>Case!B96</f>
        <v>16.72289</v>
      </c>
      <c r="H4" s="60">
        <f>Case!B96+Case!H96</f>
        <v>35.191069830461331</v>
      </c>
      <c r="I4" s="60">
        <f>Case!B92</f>
        <v>0.42149000000000003</v>
      </c>
      <c r="J4" s="60">
        <f>Case!B99+Case!H99</f>
        <v>5.4684774971280001</v>
      </c>
      <c r="K4" s="61">
        <f>G4*$E4</f>
        <v>324.42406599999998</v>
      </c>
      <c r="L4" s="61">
        <f t="shared" ref="L4:N4" si="0">H4*$E4</f>
        <v>682.70675471094978</v>
      </c>
      <c r="M4" s="61">
        <f t="shared" si="0"/>
        <v>8.1769060000000007</v>
      </c>
      <c r="N4" s="61">
        <f t="shared" si="0"/>
        <v>106.08846344428319</v>
      </c>
    </row>
    <row r="5" spans="3:14" x14ac:dyDescent="0.45">
      <c r="C5" s="57" t="s">
        <v>144</v>
      </c>
      <c r="D5" s="55" t="s">
        <v>145</v>
      </c>
      <c r="E5" s="55">
        <v>3.9</v>
      </c>
      <c r="F5" s="56" t="s">
        <v>146</v>
      </c>
      <c r="G5" s="60">
        <f>Case!C96</f>
        <v>18.288489000000002</v>
      </c>
      <c r="H5" s="59"/>
      <c r="I5" s="60">
        <f>Case!C92</f>
        <v>0.21532000000000001</v>
      </c>
      <c r="J5" s="59"/>
      <c r="K5" s="61">
        <f t="shared" ref="K5:K10" si="1">G5*$E5</f>
        <v>71.325107100000011</v>
      </c>
      <c r="L5" s="61">
        <f t="shared" ref="L5:L10" si="2">H5*$E5</f>
        <v>0</v>
      </c>
      <c r="M5" s="61">
        <f t="shared" ref="M5:M10" si="3">I5*$E5</f>
        <v>0.83974800000000005</v>
      </c>
      <c r="N5" s="61">
        <f t="shared" ref="N5:N10" si="4">J5*$E5</f>
        <v>0</v>
      </c>
    </row>
    <row r="6" spans="3:14" x14ac:dyDescent="0.45">
      <c r="C6" s="57" t="s">
        <v>147</v>
      </c>
      <c r="D6" s="55" t="s">
        <v>148</v>
      </c>
      <c r="E6" s="55">
        <v>23.3</v>
      </c>
      <c r="F6" s="56" t="s">
        <v>149</v>
      </c>
      <c r="G6" s="60">
        <f>Case!D96</f>
        <v>35.166983852999991</v>
      </c>
      <c r="H6" s="59"/>
      <c r="I6" s="60">
        <f>Case!D92</f>
        <v>29.359942852999996</v>
      </c>
      <c r="J6" s="59"/>
      <c r="K6" s="61">
        <f t="shared" si="1"/>
        <v>819.39072377489981</v>
      </c>
      <c r="L6" s="61">
        <f t="shared" si="2"/>
        <v>0</v>
      </c>
      <c r="M6" s="61">
        <f t="shared" si="3"/>
        <v>684.08666847489997</v>
      </c>
      <c r="N6" s="61">
        <f t="shared" si="4"/>
        <v>0</v>
      </c>
    </row>
    <row r="7" spans="3:14" x14ac:dyDescent="0.45">
      <c r="C7" s="57" t="s">
        <v>150</v>
      </c>
      <c r="D7" s="55" t="s">
        <v>151</v>
      </c>
      <c r="E7" s="55">
        <v>1.9</v>
      </c>
      <c r="F7" s="56" t="s">
        <v>143</v>
      </c>
      <c r="G7" s="60">
        <f>Case!E96</f>
        <v>0.78439999999999999</v>
      </c>
      <c r="H7" s="59"/>
      <c r="I7" s="59">
        <v>0</v>
      </c>
      <c r="J7" s="59"/>
      <c r="K7" s="61">
        <f t="shared" si="1"/>
        <v>1.4903599999999999</v>
      </c>
      <c r="L7" s="61">
        <f t="shared" si="2"/>
        <v>0</v>
      </c>
      <c r="M7" s="61">
        <f t="shared" si="3"/>
        <v>0</v>
      </c>
      <c r="N7" s="61">
        <f t="shared" si="4"/>
        <v>0</v>
      </c>
    </row>
    <row r="8" spans="3:14" x14ac:dyDescent="0.45">
      <c r="C8" s="57" t="s">
        <v>68</v>
      </c>
      <c r="D8" s="55" t="s">
        <v>154</v>
      </c>
      <c r="E8" s="55">
        <v>29.5</v>
      </c>
      <c r="F8" s="56" t="s">
        <v>155</v>
      </c>
      <c r="G8" s="59"/>
      <c r="H8" s="61">
        <f>Case!I98*0.116</f>
        <v>0</v>
      </c>
      <c r="I8" s="59"/>
      <c r="J8" s="61">
        <f>Case!I101*0.116</f>
        <v>0</v>
      </c>
      <c r="K8" s="61">
        <f t="shared" si="1"/>
        <v>0</v>
      </c>
      <c r="L8" s="61">
        <f t="shared" si="2"/>
        <v>0</v>
      </c>
      <c r="M8" s="61">
        <f t="shared" si="3"/>
        <v>0</v>
      </c>
      <c r="N8" s="61">
        <f t="shared" si="4"/>
        <v>0</v>
      </c>
    </row>
    <row r="9" spans="3:14" ht="14.25" customHeight="1" x14ac:dyDescent="0.45">
      <c r="C9" s="57" t="s">
        <v>172</v>
      </c>
      <c r="D9" s="55" t="s">
        <v>152</v>
      </c>
      <c r="E9" s="55">
        <v>26</v>
      </c>
      <c r="F9" s="56" t="s">
        <v>153</v>
      </c>
      <c r="G9" s="59"/>
      <c r="H9" s="61">
        <f>Case!J98*0.116</f>
        <v>10.45653384537532</v>
      </c>
      <c r="I9" s="59"/>
      <c r="J9" s="61">
        <f>Case!J101*0.116</f>
        <v>9.4226360074909206</v>
      </c>
      <c r="K9" s="61">
        <f>G9*$E9</f>
        <v>0</v>
      </c>
      <c r="L9" s="61">
        <f>H9*$E9</f>
        <v>271.86987997975831</v>
      </c>
      <c r="M9" s="61">
        <f>I9*$E9</f>
        <v>0</v>
      </c>
      <c r="N9" s="61">
        <f>J9*$E9</f>
        <v>244.98853619476392</v>
      </c>
    </row>
    <row r="10" spans="3:14" x14ac:dyDescent="0.45">
      <c r="C10" s="57" t="s">
        <v>67</v>
      </c>
      <c r="D10" s="55" t="s">
        <v>156</v>
      </c>
      <c r="E10" s="55">
        <v>50</v>
      </c>
      <c r="F10" s="56" t="s">
        <v>157</v>
      </c>
      <c r="G10" s="59"/>
      <c r="H10" s="61">
        <f>Case!K98*0.116</f>
        <v>9.7794573989490896</v>
      </c>
      <c r="I10" s="59"/>
      <c r="J10" s="61">
        <f>Case!K101*0.116</f>
        <v>4.7563546338530447</v>
      </c>
      <c r="K10" s="61">
        <f t="shared" si="1"/>
        <v>0</v>
      </c>
      <c r="L10" s="61">
        <f t="shared" si="2"/>
        <v>488.97286994745446</v>
      </c>
      <c r="M10" s="61">
        <f t="shared" si="3"/>
        <v>0</v>
      </c>
      <c r="N10" s="61">
        <f t="shared" si="4"/>
        <v>237.81773169265225</v>
      </c>
    </row>
    <row r="11" spans="3:14" ht="14.4" x14ac:dyDescent="0.45">
      <c r="C11" s="58"/>
      <c r="D11" s="53"/>
      <c r="E11" s="53"/>
      <c r="F11" s="53"/>
      <c r="G11" s="59"/>
      <c r="H11" s="59"/>
      <c r="I11" s="59"/>
      <c r="J11" s="59"/>
      <c r="K11" s="61">
        <f>SUM(K4:K10)</f>
        <v>1216.6302568748999</v>
      </c>
      <c r="L11" s="61">
        <f>SUM(L4:L10)</f>
        <v>1443.5495046381625</v>
      </c>
      <c r="M11" s="61">
        <f>SUM(M4:M10)</f>
        <v>693.10332247489998</v>
      </c>
      <c r="N11" s="61">
        <f>SUM(N4:N10)</f>
        <v>588.8947313316994</v>
      </c>
    </row>
    <row r="13" spans="3:14" ht="14.4" x14ac:dyDescent="0.55000000000000004">
      <c r="F13" s="40"/>
      <c r="G13" s="41" t="s">
        <v>141</v>
      </c>
      <c r="H13" s="41" t="s">
        <v>68</v>
      </c>
      <c r="I13" s="41" t="s">
        <v>164</v>
      </c>
      <c r="J13" s="41" t="s">
        <v>67</v>
      </c>
      <c r="K13" s="41" t="s">
        <v>57</v>
      </c>
      <c r="L13" s="41" t="s">
        <v>165</v>
      </c>
    </row>
    <row r="14" spans="3:14" ht="14.4" x14ac:dyDescent="0.55000000000000004">
      <c r="F14" s="42" t="s">
        <v>166</v>
      </c>
      <c r="G14" s="40"/>
      <c r="H14" s="40"/>
      <c r="I14" s="40"/>
      <c r="J14" s="40"/>
      <c r="K14" s="46">
        <v>1217</v>
      </c>
      <c r="L14" s="40"/>
    </row>
    <row r="15" spans="3:14" x14ac:dyDescent="0.45">
      <c r="F15" s="42" t="s">
        <v>167</v>
      </c>
      <c r="G15" s="46">
        <v>715</v>
      </c>
      <c r="H15" s="46">
        <v>542</v>
      </c>
      <c r="I15" s="46">
        <v>27</v>
      </c>
      <c r="J15" s="41" t="s">
        <v>0</v>
      </c>
      <c r="K15" s="46">
        <f>SUM(G15:J15)</f>
        <v>1284</v>
      </c>
      <c r="L15" s="46">
        <f>K15-K14</f>
        <v>67</v>
      </c>
    </row>
    <row r="16" spans="3:14" x14ac:dyDescent="0.45">
      <c r="F16" s="42" t="s">
        <v>117</v>
      </c>
      <c r="G16" s="46">
        <v>715</v>
      </c>
      <c r="H16" s="46">
        <v>288</v>
      </c>
      <c r="I16" s="46">
        <v>197</v>
      </c>
      <c r="J16" s="41" t="s">
        <v>0</v>
      </c>
      <c r="K16" s="46">
        <f t="shared" ref="K16:K17" si="5">SUM(G16:J16)</f>
        <v>1200</v>
      </c>
      <c r="L16" s="46">
        <f>K16-K14</f>
        <v>-17</v>
      </c>
    </row>
    <row r="17" spans="6:12" x14ac:dyDescent="0.45">
      <c r="F17" s="42" t="s">
        <v>116</v>
      </c>
      <c r="G17" s="46">
        <v>715</v>
      </c>
      <c r="H17" s="46" t="s">
        <v>0</v>
      </c>
      <c r="I17" s="46">
        <v>197</v>
      </c>
      <c r="J17" s="46">
        <v>489</v>
      </c>
      <c r="K17" s="46">
        <f t="shared" si="5"/>
        <v>1401</v>
      </c>
      <c r="L17" s="46">
        <f>K17-K14</f>
        <v>184</v>
      </c>
    </row>
    <row r="18" spans="6:12" ht="14.4" x14ac:dyDescent="0.55000000000000004">
      <c r="F18" s="40"/>
      <c r="G18" s="40"/>
      <c r="H18" s="40"/>
      <c r="I18" s="40"/>
      <c r="J18" s="40"/>
      <c r="K18" s="40"/>
      <c r="L18" s="40"/>
    </row>
    <row r="19" spans="6:12" ht="14.4" x14ac:dyDescent="0.55000000000000004">
      <c r="F19" s="42" t="s">
        <v>59</v>
      </c>
      <c r="G19" s="40"/>
      <c r="H19" s="40"/>
      <c r="I19" s="40"/>
      <c r="J19" s="40"/>
      <c r="K19" s="40"/>
      <c r="L19" s="40"/>
    </row>
    <row r="20" spans="6:12" ht="14.4" x14ac:dyDescent="0.55000000000000004">
      <c r="F20" s="42" t="s">
        <v>166</v>
      </c>
      <c r="G20" s="40"/>
      <c r="H20" s="40"/>
      <c r="I20" s="40"/>
      <c r="J20" s="40"/>
      <c r="K20" s="46">
        <v>693</v>
      </c>
      <c r="L20" s="40"/>
    </row>
    <row r="21" spans="6:12" x14ac:dyDescent="0.45">
      <c r="F21" s="42" t="s">
        <v>167</v>
      </c>
      <c r="G21" s="46">
        <v>134</v>
      </c>
      <c r="H21" s="46">
        <v>393</v>
      </c>
      <c r="I21" s="41" t="s">
        <v>0</v>
      </c>
      <c r="J21" s="41" t="s">
        <v>0</v>
      </c>
      <c r="K21" s="46">
        <f>SUM(G21:J21)</f>
        <v>527</v>
      </c>
      <c r="L21" s="46">
        <f>K21-K$20</f>
        <v>-166</v>
      </c>
    </row>
    <row r="22" spans="6:12" x14ac:dyDescent="0.45">
      <c r="F22" s="42" t="s">
        <v>117</v>
      </c>
      <c r="G22" s="46">
        <v>134</v>
      </c>
      <c r="H22" s="46">
        <v>140</v>
      </c>
      <c r="I22" s="46">
        <v>170</v>
      </c>
      <c r="J22" s="41" t="s">
        <v>0</v>
      </c>
      <c r="K22" s="46">
        <f t="shared" ref="K22:K27" si="6">SUM(G22:J22)</f>
        <v>444</v>
      </c>
      <c r="L22" s="46">
        <f t="shared" ref="L22:L27" si="7">K22-K$20</f>
        <v>-249</v>
      </c>
    </row>
    <row r="23" spans="6:12" x14ac:dyDescent="0.45">
      <c r="F23" s="42" t="s">
        <v>116</v>
      </c>
      <c r="G23" s="46">
        <v>134</v>
      </c>
      <c r="H23" s="41" t="s">
        <v>0</v>
      </c>
      <c r="I23" s="46">
        <v>170</v>
      </c>
      <c r="J23" s="46">
        <v>238</v>
      </c>
      <c r="K23" s="46">
        <f t="shared" si="6"/>
        <v>542</v>
      </c>
      <c r="L23" s="46">
        <f t="shared" si="7"/>
        <v>-151</v>
      </c>
    </row>
    <row r="24" spans="6:12" x14ac:dyDescent="0.45">
      <c r="F24" s="42" t="s">
        <v>168</v>
      </c>
      <c r="G24" s="46">
        <v>192</v>
      </c>
      <c r="H24" s="46">
        <v>173</v>
      </c>
      <c r="I24" s="41" t="s">
        <v>0</v>
      </c>
      <c r="J24" s="41" t="s">
        <v>0</v>
      </c>
      <c r="K24" s="46">
        <f t="shared" si="6"/>
        <v>365</v>
      </c>
      <c r="L24" s="46">
        <f t="shared" si="7"/>
        <v>-328</v>
      </c>
    </row>
    <row r="25" spans="6:12" x14ac:dyDescent="0.45">
      <c r="F25" s="42" t="s">
        <v>169</v>
      </c>
      <c r="G25" s="46">
        <v>106</v>
      </c>
      <c r="H25" s="46">
        <v>500</v>
      </c>
      <c r="I25" s="41" t="s">
        <v>0</v>
      </c>
      <c r="J25" s="41" t="s">
        <v>0</v>
      </c>
      <c r="K25" s="46">
        <f t="shared" si="6"/>
        <v>606</v>
      </c>
      <c r="L25" s="46">
        <f t="shared" si="7"/>
        <v>-87</v>
      </c>
    </row>
    <row r="26" spans="6:12" x14ac:dyDescent="0.45">
      <c r="F26" s="42" t="s">
        <v>170</v>
      </c>
      <c r="G26" s="46">
        <v>106</v>
      </c>
      <c r="H26" s="46">
        <v>140</v>
      </c>
      <c r="I26" s="46">
        <v>245</v>
      </c>
      <c r="J26" s="41" t="s">
        <v>0</v>
      </c>
      <c r="K26" s="46">
        <f t="shared" si="6"/>
        <v>491</v>
      </c>
      <c r="L26" s="46">
        <f t="shared" si="7"/>
        <v>-202</v>
      </c>
    </row>
    <row r="27" spans="6:12" x14ac:dyDescent="0.45">
      <c r="F27" s="42" t="s">
        <v>171</v>
      </c>
      <c r="G27" s="46">
        <v>106</v>
      </c>
      <c r="H27" s="41" t="s">
        <v>0</v>
      </c>
      <c r="I27" s="46">
        <v>245</v>
      </c>
      <c r="J27" s="46">
        <v>238</v>
      </c>
      <c r="K27" s="46">
        <f t="shared" si="6"/>
        <v>589</v>
      </c>
      <c r="L27" s="46">
        <f t="shared" si="7"/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Tamor</dc:creator>
  <cp:lastModifiedBy>Mike Tamor</cp:lastModifiedBy>
  <dcterms:created xsi:type="dcterms:W3CDTF">2021-12-01T15:25:05Z</dcterms:created>
  <dcterms:modified xsi:type="dcterms:W3CDTF">2022-03-28T03:00:04Z</dcterms:modified>
</cp:coreProperties>
</file>