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Data_Wasootch/LATEST/SAPFLOW/"/>
    </mc:Choice>
  </mc:AlternateContent>
  <xr:revisionPtr revIDLastSave="0" documentId="8_{56C2C619-3454-8E42-963D-B581E95A81D6}" xr6:coauthVersionLast="47" xr6:coauthVersionMax="47" xr10:uidLastSave="{00000000-0000-0000-0000-000000000000}"/>
  <bookViews>
    <workbookView xWindow="11300" yWindow="1620" windowWidth="36500" windowHeight="17440" xr2:uid="{59B65119-9913-7A42-9897-1170427A87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2" i="1"/>
  <c r="S6" i="1" s="1"/>
  <c r="S2" i="1"/>
  <c r="R2" i="1"/>
  <c r="B17" i="1"/>
  <c r="H6" i="1"/>
  <c r="G6" i="1"/>
  <c r="G7" i="1"/>
  <c r="H3" i="1"/>
  <c r="H2" i="1"/>
  <c r="G3" i="1"/>
  <c r="G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L34" i="1"/>
  <c r="M34" i="1" s="1"/>
  <c r="F34" i="1"/>
  <c r="P34" i="1"/>
  <c r="B36" i="1"/>
  <c r="B38" i="1" s="1"/>
  <c r="I34" i="1"/>
  <c r="D33" i="1"/>
  <c r="H33" i="1" s="1"/>
  <c r="B31" i="1"/>
  <c r="C29" i="1"/>
  <c r="F20" i="1"/>
  <c r="D17" i="1"/>
  <c r="C3" i="1"/>
  <c r="C2" i="1"/>
  <c r="B3" i="1"/>
  <c r="B4" i="1"/>
  <c r="B5" i="1"/>
  <c r="B6" i="1"/>
  <c r="B7" i="1"/>
  <c r="B8" i="1"/>
  <c r="B9" i="1"/>
  <c r="B10" i="1"/>
  <c r="B11" i="1"/>
  <c r="B12" i="1"/>
  <c r="B2" i="1"/>
  <c r="S5" i="1" l="1"/>
  <c r="D2" i="1"/>
  <c r="K21" i="1"/>
  <c r="P33" i="1"/>
  <c r="H7" i="1"/>
  <c r="N21" i="1"/>
  <c r="F33" i="1"/>
  <c r="G33" i="1" s="1"/>
  <c r="I33" i="1"/>
  <c r="L33" i="1"/>
  <c r="M33" i="1" s="1"/>
  <c r="B28" i="1"/>
  <c r="E21" i="1"/>
  <c r="D3" i="1"/>
  <c r="J6" i="1"/>
  <c r="J3" i="1"/>
  <c r="J7" i="1"/>
  <c r="B29" i="1"/>
  <c r="D32" i="1"/>
  <c r="B18" i="1"/>
  <c r="F17" i="1" s="1"/>
  <c r="G20" i="1"/>
  <c r="I20" i="1" s="1"/>
  <c r="D35" i="1"/>
  <c r="G34" i="1"/>
  <c r="H34" i="1"/>
  <c r="I35" i="1" l="1"/>
  <c r="P35" i="1"/>
  <c r="L35" i="1"/>
  <c r="M35" i="1" s="1"/>
  <c r="F35" i="1"/>
  <c r="G35" i="1" s="1"/>
  <c r="L32" i="1"/>
  <c r="M32" i="1" s="1"/>
  <c r="F32" i="1"/>
  <c r="P32" i="1"/>
  <c r="G17" i="1"/>
  <c r="I17" i="1" s="1"/>
  <c r="D8" i="1"/>
  <c r="D31" i="1"/>
  <c r="H32" i="1"/>
  <c r="I32" i="1"/>
  <c r="G32" i="1"/>
  <c r="B45" i="1"/>
  <c r="B46" i="1" s="1"/>
  <c r="B30" i="1"/>
  <c r="B32" i="1" s="1"/>
  <c r="J2" i="1"/>
  <c r="H35" i="1"/>
  <c r="D36" i="1"/>
  <c r="G11" i="1" l="1"/>
  <c r="G13" i="1" s="1"/>
  <c r="I36" i="1"/>
  <c r="F36" i="1"/>
  <c r="P36" i="1"/>
  <c r="L36" i="1"/>
  <c r="M36" i="1" s="1"/>
  <c r="L31" i="1"/>
  <c r="M31" i="1" s="1"/>
  <c r="F31" i="1"/>
  <c r="G31" i="1" s="1"/>
  <c r="P31" i="1"/>
  <c r="D30" i="1"/>
  <c r="H31" i="1"/>
  <c r="I31" i="1"/>
  <c r="D37" i="1"/>
  <c r="G36" i="1"/>
  <c r="H36" i="1"/>
  <c r="L30" i="1" l="1"/>
  <c r="M30" i="1" s="1"/>
  <c r="F30" i="1"/>
  <c r="P30" i="1"/>
  <c r="I37" i="1"/>
  <c r="L37" i="1"/>
  <c r="M37" i="1" s="1"/>
  <c r="F37" i="1"/>
  <c r="P37" i="1"/>
  <c r="D29" i="1"/>
  <c r="H30" i="1"/>
  <c r="I30" i="1"/>
  <c r="G30" i="1"/>
  <c r="D38" i="1"/>
  <c r="H37" i="1"/>
  <c r="G37" i="1"/>
  <c r="L29" i="1" l="1"/>
  <c r="M29" i="1" s="1"/>
  <c r="F29" i="1"/>
  <c r="P29" i="1"/>
  <c r="I38" i="1"/>
  <c r="L38" i="1"/>
  <c r="M38" i="1" s="1"/>
  <c r="F38" i="1"/>
  <c r="P38" i="1"/>
  <c r="H29" i="1"/>
  <c r="I29" i="1"/>
  <c r="G29" i="1"/>
  <c r="D28" i="1"/>
  <c r="D39" i="1"/>
  <c r="H38" i="1"/>
  <c r="G38" i="1"/>
  <c r="I39" i="1" l="1"/>
  <c r="L39" i="1"/>
  <c r="M39" i="1" s="1"/>
  <c r="F39" i="1"/>
  <c r="P39" i="1"/>
  <c r="F28" i="1"/>
  <c r="G28" i="1" s="1"/>
  <c r="P28" i="1"/>
  <c r="L28" i="1"/>
  <c r="M28" i="1" s="1"/>
  <c r="D27" i="1"/>
  <c r="H28" i="1"/>
  <c r="I28" i="1"/>
  <c r="D40" i="1"/>
  <c r="G39" i="1"/>
  <c r="H39" i="1"/>
  <c r="P27" i="1" l="1"/>
  <c r="L27" i="1"/>
  <c r="M27" i="1" s="1"/>
  <c r="F27" i="1"/>
  <c r="G27" i="1" s="1"/>
  <c r="I40" i="1"/>
  <c r="L40" i="1"/>
  <c r="M40" i="1" s="1"/>
  <c r="F40" i="1"/>
  <c r="G40" i="1" s="1"/>
  <c r="P40" i="1"/>
  <c r="D26" i="1"/>
  <c r="I27" i="1"/>
  <c r="H27" i="1"/>
  <c r="D41" i="1"/>
  <c r="H40" i="1"/>
  <c r="P26" i="1" l="1"/>
  <c r="L26" i="1"/>
  <c r="M26" i="1" s="1"/>
  <c r="F26" i="1"/>
  <c r="G26" i="1" s="1"/>
  <c r="L41" i="1"/>
  <c r="M41" i="1" s="1"/>
  <c r="F41" i="1"/>
  <c r="P41" i="1"/>
  <c r="I41" i="1"/>
  <c r="D25" i="1"/>
  <c r="I26" i="1"/>
  <c r="H26" i="1"/>
  <c r="D42" i="1"/>
  <c r="G41" i="1"/>
  <c r="H41" i="1"/>
  <c r="L25" i="1" l="1"/>
  <c r="M25" i="1" s="1"/>
  <c r="F25" i="1"/>
  <c r="G25" i="1" s="1"/>
  <c r="P25" i="1"/>
  <c r="I42" i="1"/>
  <c r="P42" i="1"/>
  <c r="L42" i="1"/>
  <c r="M42" i="1" s="1"/>
  <c r="F42" i="1"/>
  <c r="G42" i="1" s="1"/>
  <c r="D24" i="1"/>
  <c r="H25" i="1"/>
  <c r="I25" i="1"/>
  <c r="D43" i="1"/>
  <c r="H42" i="1"/>
  <c r="L24" i="1" l="1"/>
  <c r="M24" i="1" s="1"/>
  <c r="F24" i="1"/>
  <c r="G24" i="1" s="1"/>
  <c r="P24" i="1"/>
  <c r="I43" i="1"/>
  <c r="P43" i="1"/>
  <c r="L43" i="1"/>
  <c r="M43" i="1" s="1"/>
  <c r="F43" i="1"/>
  <c r="G43" i="1" s="1"/>
  <c r="D23" i="1"/>
  <c r="H24" i="1"/>
  <c r="I24" i="1"/>
  <c r="D44" i="1"/>
  <c r="H43" i="1"/>
  <c r="L23" i="1" l="1"/>
  <c r="M23" i="1" s="1"/>
  <c r="F23" i="1"/>
  <c r="G23" i="1" s="1"/>
  <c r="P23" i="1"/>
  <c r="I44" i="1"/>
  <c r="F44" i="1"/>
  <c r="P44" i="1"/>
  <c r="L44" i="1"/>
  <c r="M44" i="1" s="1"/>
  <c r="D22" i="1"/>
  <c r="H23" i="1"/>
  <c r="I23" i="1"/>
  <c r="D45" i="1"/>
  <c r="G44" i="1"/>
  <c r="H44" i="1"/>
  <c r="O22" i="1" l="1"/>
  <c r="P22" i="1" s="1"/>
  <c r="L22" i="1"/>
  <c r="M22" i="1" s="1"/>
  <c r="F22" i="1"/>
  <c r="I45" i="1"/>
  <c r="L45" i="1"/>
  <c r="M45" i="1" s="1"/>
  <c r="F45" i="1"/>
  <c r="G45" i="1" s="1"/>
  <c r="P45" i="1"/>
  <c r="G22" i="1"/>
  <c r="H22" i="1"/>
  <c r="I22" i="1"/>
  <c r="D46" i="1"/>
  <c r="H45" i="1"/>
  <c r="I46" i="1" l="1"/>
  <c r="L46" i="1"/>
  <c r="M46" i="1" s="1"/>
  <c r="F46" i="1"/>
  <c r="P46" i="1"/>
  <c r="D47" i="1"/>
  <c r="H46" i="1"/>
  <c r="G46" i="1"/>
  <c r="I47" i="1" l="1"/>
  <c r="L47" i="1"/>
  <c r="M47" i="1" s="1"/>
  <c r="F47" i="1"/>
  <c r="P47" i="1"/>
  <c r="D48" i="1"/>
  <c r="G47" i="1"/>
  <c r="H47" i="1"/>
  <c r="I48" i="1" l="1"/>
  <c r="L48" i="1"/>
  <c r="M48" i="1" s="1"/>
  <c r="F48" i="1"/>
  <c r="P48" i="1"/>
  <c r="D49" i="1"/>
  <c r="G48" i="1"/>
  <c r="H48" i="1"/>
  <c r="I49" i="1" l="1"/>
  <c r="L49" i="1"/>
  <c r="M49" i="1" s="1"/>
  <c r="F49" i="1"/>
  <c r="G49" i="1" s="1"/>
  <c r="P49" i="1"/>
  <c r="D50" i="1"/>
  <c r="H49" i="1"/>
  <c r="I50" i="1" l="1"/>
  <c r="P50" i="1"/>
  <c r="L50" i="1"/>
  <c r="M50" i="1" s="1"/>
  <c r="F50" i="1"/>
  <c r="D51" i="1"/>
  <c r="G50" i="1"/>
  <c r="H50" i="1"/>
  <c r="I51" i="1" l="1"/>
  <c r="P51" i="1"/>
  <c r="L51" i="1"/>
  <c r="M51" i="1" s="1"/>
  <c r="F51" i="1"/>
  <c r="D52" i="1"/>
  <c r="G51" i="1"/>
  <c r="H51" i="1"/>
  <c r="I52" i="1" l="1"/>
  <c r="F52" i="1"/>
  <c r="P52" i="1"/>
  <c r="L52" i="1"/>
  <c r="M52" i="1" s="1"/>
  <c r="D53" i="1"/>
  <c r="G52" i="1"/>
  <c r="H52" i="1"/>
  <c r="I53" i="1" l="1"/>
  <c r="L53" i="1"/>
  <c r="M53" i="1" s="1"/>
  <c r="F53" i="1"/>
  <c r="P53" i="1"/>
  <c r="D54" i="1"/>
  <c r="H53" i="1"/>
  <c r="G53" i="1"/>
  <c r="I54" i="1" l="1"/>
  <c r="L54" i="1"/>
  <c r="M54" i="1" s="1"/>
  <c r="F54" i="1"/>
  <c r="P54" i="1"/>
  <c r="D55" i="1"/>
  <c r="H54" i="1"/>
  <c r="G54" i="1"/>
  <c r="I55" i="1" l="1"/>
  <c r="L55" i="1"/>
  <c r="M55" i="1" s="1"/>
  <c r="F55" i="1"/>
  <c r="P55" i="1"/>
  <c r="G55" i="1"/>
  <c r="H55" i="1"/>
</calcChain>
</file>

<file path=xl/sharedStrings.xml><?xml version="1.0" encoding="utf-8"?>
<sst xmlns="http://schemas.openxmlformats.org/spreadsheetml/2006/main" count="22" uniqueCount="18">
  <si>
    <t>k</t>
  </si>
  <si>
    <t>x2</t>
  </si>
  <si>
    <t>x1</t>
  </si>
  <si>
    <t>Vh 0.6</t>
  </si>
  <si>
    <t>x1^2</t>
  </si>
  <si>
    <t>Vh</t>
  </si>
  <si>
    <t>4kt</t>
  </si>
  <si>
    <t>4kt ln (t1/t2)</t>
  </si>
  <si>
    <t xml:space="preserve">from paper </t>
  </si>
  <si>
    <t>ln(t1/t2)</t>
  </si>
  <si>
    <t>4kt ln ()</t>
  </si>
  <si>
    <t xml:space="preserve">probe mis </t>
  </si>
  <si>
    <t xml:space="preserve">x2^2 </t>
  </si>
  <si>
    <t>x1^2-x2^2</t>
  </si>
  <si>
    <t xml:space="preserve">Vh measured = 11 </t>
  </si>
  <si>
    <t>Vh*x/k*3600</t>
  </si>
  <si>
    <t>ln(rat)</t>
  </si>
  <si>
    <t xml:space="preserve">rat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</si>
</sst>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"/>
    <numFmt numFmtId="168" formatCode="0.000"/>
    <numFmt numFmtId="171" formatCode="0.000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7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4DCD-CC30-9C42-9A46-5C6E9D076121}">
  <dimension ref="A1:S55"/>
  <sheetViews>
    <sheetView tabSelected="1" workbookViewId="0">
      <selection activeCell="R11" sqref="R11"/>
    </sheetView>
  </sheetViews>
  <sheetFormatPr baseColWidth="10" defaultRowHeight="16" x14ac:dyDescent="0.2"/>
  <cols>
    <col min="4" max="5" width="17.5" customWidth="1"/>
    <col min="6" max="6" width="12.1640625" bestFit="1" customWidth="1"/>
    <col min="10" max="10" width="12.83203125" bestFit="1" customWidth="1"/>
    <col min="11" max="11" width="11.33203125" customWidth="1"/>
    <col min="16" max="16" width="13.1640625" customWidth="1"/>
  </cols>
  <sheetData>
    <row r="1" spans="1:19" x14ac:dyDescent="0.2">
      <c r="C1" t="s">
        <v>0</v>
      </c>
      <c r="D1" t="s">
        <v>3</v>
      </c>
      <c r="G1" t="s">
        <v>1</v>
      </c>
      <c r="H1" t="s">
        <v>2</v>
      </c>
      <c r="J1" t="s">
        <v>5</v>
      </c>
    </row>
    <row r="2" spans="1:19" x14ac:dyDescent="0.2">
      <c r="A2">
        <v>0</v>
      </c>
      <c r="B2">
        <f>(0.001*A2)+1.12</f>
        <v>1.1200000000000001</v>
      </c>
      <c r="C2">
        <f>2.5*10^-3</f>
        <v>2.5000000000000001E-3</v>
      </c>
      <c r="D2">
        <f>3600*C2*(1/0.6)*LN(B10)</f>
        <v>2.7348233519093217</v>
      </c>
      <c r="G2">
        <f>SQRT((4*C2*80*LOG(B10))+(0.6^2))</f>
        <v>0.65064967289479203</v>
      </c>
      <c r="H2">
        <f>SQRT((4*C2*80*LOG(B10))+(G2^2))</f>
        <v>0.69763170346265069</v>
      </c>
      <c r="J2" s="3">
        <f>((4*C2*80*LN(B10))+(H2^2)-(G2^2))/(2*80*(H2-G2))</f>
        <v>2.783008734199742E-2</v>
      </c>
      <c r="K2" s="6"/>
      <c r="L2" s="4"/>
      <c r="M2" s="4"/>
      <c r="P2" s="5"/>
      <c r="Q2">
        <f>(C3/0.6)*LOG(0.97)*3600*200</f>
        <v>-55.161868109759013</v>
      </c>
      <c r="R2">
        <f>(C3/0.6)*LOG(0.97+0.01)*3600*200</f>
        <v>-36.58726436229648</v>
      </c>
      <c r="S2">
        <f>(C3/0.6)*LOG(0.97+0.02)*3600*200</f>
        <v>-18.201238528216866</v>
      </c>
    </row>
    <row r="3" spans="1:19" x14ac:dyDescent="0.2">
      <c r="A3">
        <v>10</v>
      </c>
      <c r="B3">
        <f t="shared" ref="B3:B12" si="0">(0.001*A3)+1.12</f>
        <v>1.1300000000000001</v>
      </c>
      <c r="C3" s="2">
        <f>(0.0034+0.0037+0.0033+0.0035)/4</f>
        <v>3.4749999999999998E-3</v>
      </c>
      <c r="D3">
        <f>3600*C3*(1/0.6)*LN(B10)</f>
        <v>3.8014044591539577</v>
      </c>
      <c r="G3">
        <f>SQRT((4*C3*80*LOG(B10))+(0.6^2))</f>
        <v>0.66936503165683736</v>
      </c>
      <c r="H3">
        <f>SQRT((4*C3*80*LOG(B10))+(G3^2))</f>
        <v>0.73218787972071608</v>
      </c>
      <c r="J3" s="3">
        <f>((4*C3*80*LN(B10))+(H3^2)-(G3^2))/(2*80*(H3-G3))</f>
        <v>2.8929673450986942E-2</v>
      </c>
      <c r="L3" s="4"/>
      <c r="M3" s="4"/>
      <c r="P3" s="4"/>
    </row>
    <row r="4" spans="1:19" x14ac:dyDescent="0.2">
      <c r="A4">
        <v>20</v>
      </c>
      <c r="B4">
        <f t="shared" si="0"/>
        <v>1.1400000000000001</v>
      </c>
      <c r="J4" s="3"/>
    </row>
    <row r="5" spans="1:19" x14ac:dyDescent="0.2">
      <c r="A5">
        <v>30</v>
      </c>
      <c r="B5">
        <f t="shared" si="0"/>
        <v>1.1500000000000001</v>
      </c>
      <c r="G5" t="s">
        <v>1</v>
      </c>
      <c r="H5" t="s">
        <v>2</v>
      </c>
      <c r="J5" s="3"/>
      <c r="S5" s="3">
        <f>Q2-R2</f>
        <v>-18.574603747462533</v>
      </c>
    </row>
    <row r="6" spans="1:19" x14ac:dyDescent="0.2">
      <c r="A6">
        <v>40</v>
      </c>
      <c r="B6">
        <f t="shared" si="0"/>
        <v>1.1600000000000001</v>
      </c>
      <c r="G6">
        <f>SQRT((H6^2)-(4*C2*80*LOG(B10)))</f>
        <v>0.48302174518731578</v>
      </c>
      <c r="H6">
        <f>SQRT((0.6^2)-(4*C2*80*LOG(B10)))</f>
        <v>0.54466044758353815</v>
      </c>
      <c r="J6" s="3">
        <f>((4*C2*80*LN(B10))+(H6^2)-(G6^2))/(2*80*(H6-G6))</f>
        <v>2.121254931362785E-2</v>
      </c>
      <c r="S6" s="3">
        <f>Q2-S2</f>
        <v>-36.96062958154215</v>
      </c>
    </row>
    <row r="7" spans="1:19" x14ac:dyDescent="0.2">
      <c r="A7">
        <v>50</v>
      </c>
      <c r="B7">
        <f t="shared" si="0"/>
        <v>1.1700000000000002</v>
      </c>
      <c r="G7">
        <f>SQRT(ABS((H7^2)-(4*C3*80*LOG(B10))))</f>
        <v>0.26307581272356345</v>
      </c>
      <c r="H7">
        <f>SQRT((0.6^2)-(4*C3*80*LN(B10)))</f>
        <v>0.39655822882033642</v>
      </c>
      <c r="J7" s="3">
        <f>((4*C3*80*LN(B10))+(H7^2)-(G7^2))/(2*80*(H7-G7))</f>
        <v>1.3615609702714368E-2</v>
      </c>
    </row>
    <row r="8" spans="1:19" x14ac:dyDescent="0.2">
      <c r="A8">
        <v>60</v>
      </c>
      <c r="B8">
        <f t="shared" si="0"/>
        <v>1.1800000000000002</v>
      </c>
      <c r="D8">
        <f>0.6-G2</f>
        <v>-5.0649672894792053E-2</v>
      </c>
    </row>
    <row r="9" spans="1:19" x14ac:dyDescent="0.2">
      <c r="A9">
        <v>70</v>
      </c>
      <c r="B9">
        <f t="shared" si="0"/>
        <v>1.1900000000000002</v>
      </c>
    </row>
    <row r="10" spans="1:19" x14ac:dyDescent="0.2">
      <c r="A10" s="1">
        <v>80</v>
      </c>
      <c r="B10" s="1">
        <f t="shared" si="0"/>
        <v>1.2000000000000002</v>
      </c>
    </row>
    <row r="11" spans="1:19" x14ac:dyDescent="0.2">
      <c r="A11">
        <v>90</v>
      </c>
      <c r="B11">
        <f t="shared" si="0"/>
        <v>1.2100000000000002</v>
      </c>
      <c r="G11">
        <f>G2^2-H2^2</f>
        <v>-6.3344996838099965E-2</v>
      </c>
      <c r="Q11">
        <f>(C3/0.6)*LOG(1.09)*3600*200</f>
        <v>156.06849641240069</v>
      </c>
    </row>
    <row r="12" spans="1:19" x14ac:dyDescent="0.2">
      <c r="A12">
        <v>100</v>
      </c>
      <c r="B12">
        <f t="shared" si="0"/>
        <v>1.2200000000000002</v>
      </c>
    </row>
    <row r="13" spans="1:19" x14ac:dyDescent="0.2">
      <c r="G13">
        <f>EXP(G11/B18)</f>
        <v>0.92387246103743226</v>
      </c>
    </row>
    <row r="17" spans="1:16" x14ac:dyDescent="0.2">
      <c r="A17" t="s">
        <v>7</v>
      </c>
      <c r="B17">
        <f>4*C2*80*LOG(B10)</f>
        <v>6.334499683809991E-2</v>
      </c>
      <c r="D17">
        <f>0.3^2-0.6^2</f>
        <v>-0.27</v>
      </c>
      <c r="F17">
        <f>D17/B18</f>
        <v>-0.33750000000000002</v>
      </c>
      <c r="G17">
        <f>EXP(F17)</f>
        <v>0.71355197470650245</v>
      </c>
      <c r="I17">
        <f>((4*C2*80*F17)+(0.6^2)-(G17^2))/(2*80*(0.6-G17))</f>
        <v>2.307073598295746E-2</v>
      </c>
    </row>
    <row r="18" spans="1:16" x14ac:dyDescent="0.2">
      <c r="A18" t="s">
        <v>6</v>
      </c>
      <c r="B18">
        <f>4*C2*80</f>
        <v>0.8</v>
      </c>
    </row>
    <row r="20" spans="1:16" x14ac:dyDescent="0.2">
      <c r="F20">
        <f>LN(0.9)</f>
        <v>-0.10536051565782628</v>
      </c>
      <c r="G20">
        <f>F20*B18</f>
        <v>-8.4288412526261028E-2</v>
      </c>
      <c r="I20">
        <f t="shared" ref="I20" si="1">((4*C5*80*F20)+(0.6^2)-(G20^2))/(2*80*(0.6-G20))</f>
        <v>3.2231974217108686E-3</v>
      </c>
    </row>
    <row r="21" spans="1:16" x14ac:dyDescent="0.2">
      <c r="D21" t="s">
        <v>16</v>
      </c>
      <c r="E21">
        <f>SQRT((4*C2*60*B27)+(0.6^2))</f>
        <v>0.71833139984271888</v>
      </c>
      <c r="H21" t="s">
        <v>17</v>
      </c>
      <c r="K21">
        <f>SQRT((4*C2*70*B27)+(0.6^2))</f>
        <v>0.73620649277223849</v>
      </c>
      <c r="N21">
        <f>SQRT((4*C2*80*B27)+(0.6^2))</f>
        <v>0.7536577472566709</v>
      </c>
    </row>
    <row r="22" spans="1:16" x14ac:dyDescent="0.2">
      <c r="D22">
        <f t="shared" ref="D22:D28" si="2">D23-0.01</f>
        <v>0.1399999999999999</v>
      </c>
      <c r="E22">
        <v>60</v>
      </c>
      <c r="F22">
        <f>((4*0.0025*E22*D22)+(0.6^2)-(0.718^2))/(2*E22*(0.6-0.718))</f>
        <v>5.0511299435028268E-3</v>
      </c>
      <c r="G22">
        <f t="shared" ref="G22:G28" si="3">F22*3600</f>
        <v>18.184067796610176</v>
      </c>
      <c r="H22">
        <f>EXP(D22)</f>
        <v>1.1502737988572271</v>
      </c>
      <c r="I22">
        <f>(0.0025/0.6)*D22*3600</f>
        <v>2.0999999999999988</v>
      </c>
      <c r="K22">
        <v>70</v>
      </c>
      <c r="L22">
        <f>((4*0.0025*K22*D22)+(0.6^2)-(0.736^2))/(2*K22*(0.6-0.736))</f>
        <v>4.3957983193277329E-3</v>
      </c>
      <c r="M22">
        <f>L22*3600</f>
        <v>15.824873949579839</v>
      </c>
      <c r="N22">
        <v>80</v>
      </c>
      <c r="O22">
        <f>((4*0.0025*K22*D22)+(0.6^2)-(0.754^2))/(2*K22*(0.6-0.754))</f>
        <v>5.1259740259740304E-3</v>
      </c>
      <c r="P22">
        <f>O22*3600</f>
        <v>18.453506493506509</v>
      </c>
    </row>
    <row r="23" spans="1:16" x14ac:dyDescent="0.2">
      <c r="D23">
        <f t="shared" si="2"/>
        <v>0.14999999999999991</v>
      </c>
      <c r="E23">
        <v>60</v>
      </c>
      <c r="F23">
        <f t="shared" ref="F23:F55" si="4">((4*0.0025*E23*D23)+(0.6^2)-(0.718^2))/(2*E23*(0.6-0.718))</f>
        <v>4.6274011299435045E-3</v>
      </c>
      <c r="G23">
        <f t="shared" si="3"/>
        <v>16.658644067796615</v>
      </c>
      <c r="H23">
        <f>EXP(D23)</f>
        <v>1.1618342427282831</v>
      </c>
      <c r="I23">
        <f>(0.0025/0.6)*D23*3600</f>
        <v>2.2499999999999987</v>
      </c>
      <c r="K23">
        <v>70</v>
      </c>
      <c r="L23">
        <f t="shared" ref="L23:L55" si="5">((4*0.0025*K23*D23)+(0.6^2)-(0.736^2))/(2*K23*(0.6-0.736))</f>
        <v>4.0281512605042005E-3</v>
      </c>
      <c r="M23">
        <f t="shared" ref="M23:M55" si="6">L23*3600</f>
        <v>14.501344537815122</v>
      </c>
      <c r="N23">
        <v>80</v>
      </c>
      <c r="O23">
        <f t="shared" ref="O23:O55" si="7">((4*0.0025*K23*D23)+(0.6^2)-(0.754^2))/(2*K23*(0.6-0.754))</f>
        <v>4.801298701298703E-3</v>
      </c>
      <c r="P23">
        <f>O23*3600</f>
        <v>17.28467532467533</v>
      </c>
    </row>
    <row r="24" spans="1:16" x14ac:dyDescent="0.2">
      <c r="D24">
        <f t="shared" si="2"/>
        <v>0.15999999999999992</v>
      </c>
      <c r="E24">
        <v>60</v>
      </c>
      <c r="F24">
        <f t="shared" si="4"/>
        <v>4.2036723163841822E-3</v>
      </c>
      <c r="G24">
        <f t="shared" si="3"/>
        <v>15.133220338983056</v>
      </c>
      <c r="H24">
        <f>EXP(D24)</f>
        <v>1.1735108709918101</v>
      </c>
      <c r="I24">
        <f>(0.0025/0.6)*D24*3600</f>
        <v>2.3999999999999986</v>
      </c>
      <c r="K24">
        <v>70</v>
      </c>
      <c r="L24">
        <f t="shared" si="5"/>
        <v>3.6605042016806706E-3</v>
      </c>
      <c r="M24">
        <f t="shared" si="6"/>
        <v>13.177815126050413</v>
      </c>
      <c r="N24">
        <v>80</v>
      </c>
      <c r="O24">
        <f t="shared" si="7"/>
        <v>4.4766233766233782E-3</v>
      </c>
      <c r="P24">
        <f t="shared" ref="P23:P55" si="8">O24*3600</f>
        <v>16.115844155844162</v>
      </c>
    </row>
    <row r="25" spans="1:16" x14ac:dyDescent="0.2">
      <c r="D25">
        <f t="shared" si="2"/>
        <v>0.16999999999999993</v>
      </c>
      <c r="E25">
        <v>60</v>
      </c>
      <c r="F25">
        <f t="shared" si="4"/>
        <v>3.7799435028248599E-3</v>
      </c>
      <c r="G25">
        <f t="shared" si="3"/>
        <v>13.607796610169496</v>
      </c>
      <c r="H25">
        <f>EXP(D25)</f>
        <v>1.1853048513203654</v>
      </c>
      <c r="I25">
        <f>(0.0025/0.6)*D25*3600</f>
        <v>2.5499999999999989</v>
      </c>
      <c r="K25">
        <v>70</v>
      </c>
      <c r="L25">
        <f t="shared" si="5"/>
        <v>3.2928571428571412E-3</v>
      </c>
      <c r="M25">
        <f t="shared" si="6"/>
        <v>11.854285714285709</v>
      </c>
      <c r="N25">
        <v>80</v>
      </c>
      <c r="O25">
        <f t="shared" si="7"/>
        <v>4.1519480519480534E-3</v>
      </c>
      <c r="P25">
        <f t="shared" si="8"/>
        <v>14.947012987012993</v>
      </c>
    </row>
    <row r="26" spans="1:16" x14ac:dyDescent="0.2">
      <c r="A26" t="s">
        <v>8</v>
      </c>
      <c r="D26" s="1">
        <f t="shared" si="2"/>
        <v>0.17999999999999994</v>
      </c>
      <c r="E26">
        <v>60</v>
      </c>
      <c r="F26">
        <f t="shared" si="4"/>
        <v>3.3562146892655376E-3</v>
      </c>
      <c r="G26" s="1">
        <f t="shared" si="3"/>
        <v>12.082372881355935</v>
      </c>
      <c r="H26">
        <f>EXP(D26)</f>
        <v>1.1972173631218102</v>
      </c>
      <c r="I26">
        <f>(0.0025/0.6)*D26*3600</f>
        <v>2.6999999999999988</v>
      </c>
      <c r="K26">
        <v>70</v>
      </c>
      <c r="L26">
        <f t="shared" si="5"/>
        <v>2.9252100840336114E-3</v>
      </c>
      <c r="M26" s="1">
        <f t="shared" si="6"/>
        <v>10.530756302521</v>
      </c>
      <c r="N26">
        <v>80</v>
      </c>
      <c r="O26">
        <f t="shared" si="7"/>
        <v>3.8272727272727286E-3</v>
      </c>
      <c r="P26" s="1">
        <f t="shared" si="8"/>
        <v>13.778181818181823</v>
      </c>
    </row>
    <row r="27" spans="1:16" x14ac:dyDescent="0.2">
      <c r="A27" t="s">
        <v>9</v>
      </c>
      <c r="B27">
        <v>0.26</v>
      </c>
      <c r="D27" s="1">
        <f t="shared" si="2"/>
        <v>0.18999999999999995</v>
      </c>
      <c r="E27">
        <v>60</v>
      </c>
      <c r="F27">
        <f t="shared" si="4"/>
        <v>2.9324858757062149E-3</v>
      </c>
      <c r="G27" s="1">
        <f t="shared" si="3"/>
        <v>10.556949152542373</v>
      </c>
      <c r="H27">
        <f>EXP(D27)</f>
        <v>1.2092495976572515</v>
      </c>
      <c r="I27">
        <f>(0.0025/0.6)*D27*3600</f>
        <v>2.8499999999999992</v>
      </c>
      <c r="K27">
        <v>70</v>
      </c>
      <c r="L27">
        <f t="shared" si="5"/>
        <v>2.5575630252100815E-3</v>
      </c>
      <c r="M27" s="1">
        <f t="shared" si="6"/>
        <v>9.207226890756294</v>
      </c>
      <c r="N27">
        <v>80</v>
      </c>
      <c r="O27">
        <f t="shared" si="7"/>
        <v>3.5025974025974034E-3</v>
      </c>
      <c r="P27" s="1">
        <f t="shared" si="8"/>
        <v>12.609350649350652</v>
      </c>
    </row>
    <row r="28" spans="1:16" x14ac:dyDescent="0.2">
      <c r="A28" t="s">
        <v>10</v>
      </c>
      <c r="B28">
        <f>4*C2*80*B27</f>
        <v>0.20800000000000002</v>
      </c>
      <c r="C28" t="s">
        <v>11</v>
      </c>
      <c r="D28" s="1">
        <f t="shared" si="2"/>
        <v>0.19999999999999996</v>
      </c>
      <c r="E28">
        <v>60</v>
      </c>
      <c r="F28">
        <f t="shared" si="4"/>
        <v>2.5087570621468926E-3</v>
      </c>
      <c r="G28" s="1">
        <f t="shared" si="3"/>
        <v>9.0315254237288141</v>
      </c>
      <c r="H28">
        <f>EXP(D28)</f>
        <v>1.2214027581601699</v>
      </c>
      <c r="I28">
        <f>(0.0025/0.6)*D28*3600</f>
        <v>2.9999999999999996</v>
      </c>
      <c r="K28">
        <v>70</v>
      </c>
      <c r="L28">
        <f t="shared" si="5"/>
        <v>2.1899159663865521E-3</v>
      </c>
      <c r="M28" s="1">
        <f t="shared" si="6"/>
        <v>7.8836974789915875</v>
      </c>
      <c r="N28">
        <v>80</v>
      </c>
      <c r="O28">
        <f t="shared" si="7"/>
        <v>3.1779220779220786E-3</v>
      </c>
      <c r="P28" s="1">
        <f t="shared" si="8"/>
        <v>11.440519480519484</v>
      </c>
    </row>
    <row r="29" spans="1:16" x14ac:dyDescent="0.2">
      <c r="A29" t="s">
        <v>1</v>
      </c>
      <c r="B29" s="4">
        <f>SQRT(B28+(0.6^2))</f>
        <v>0.7536577472566709</v>
      </c>
      <c r="C29">
        <f>0.75-0.6</f>
        <v>0.15000000000000002</v>
      </c>
      <c r="D29" s="1">
        <f t="shared" ref="D29:D32" si="9">D30-0.01</f>
        <v>0.20999999999999996</v>
      </c>
      <c r="E29">
        <v>60</v>
      </c>
      <c r="F29">
        <f t="shared" si="4"/>
        <v>2.0850282485875703E-3</v>
      </c>
      <c r="G29" s="1">
        <f t="shared" ref="G29:G33" si="10">F29*3600</f>
        <v>7.5061016949152535</v>
      </c>
      <c r="H29">
        <f>EXP(D29)</f>
        <v>1.2336780599567432</v>
      </c>
      <c r="I29">
        <f>(0.0025/0.6)*D29*3600</f>
        <v>3.1499999999999995</v>
      </c>
      <c r="K29">
        <v>70</v>
      </c>
      <c r="L29">
        <f t="shared" si="5"/>
        <v>1.8222689075630223E-3</v>
      </c>
      <c r="M29" s="1">
        <f t="shared" si="6"/>
        <v>6.5601680672268801</v>
      </c>
      <c r="N29">
        <v>80</v>
      </c>
      <c r="O29">
        <f t="shared" si="7"/>
        <v>2.8532467532467539E-3</v>
      </c>
      <c r="P29" s="1">
        <f t="shared" si="8"/>
        <v>10.271688311688314</v>
      </c>
    </row>
    <row r="30" spans="1:16" x14ac:dyDescent="0.2">
      <c r="A30" t="s">
        <v>12</v>
      </c>
      <c r="B30">
        <f>B29^2</f>
        <v>0.56800000000000006</v>
      </c>
      <c r="D30" s="1">
        <f t="shared" si="9"/>
        <v>0.21999999999999997</v>
      </c>
      <c r="E30">
        <v>60</v>
      </c>
      <c r="F30">
        <f t="shared" si="4"/>
        <v>1.6612994350282478E-3</v>
      </c>
      <c r="G30" s="1">
        <f t="shared" si="10"/>
        <v>5.980677966101692</v>
      </c>
      <c r="H30">
        <f>EXP(D30)</f>
        <v>1.2460767305873808</v>
      </c>
      <c r="I30">
        <f>(0.0025/0.6)*D30*3600</f>
        <v>3.2999999999999994</v>
      </c>
      <c r="K30">
        <v>70</v>
      </c>
      <c r="L30">
        <f t="shared" si="5"/>
        <v>1.4546218487394927E-3</v>
      </c>
      <c r="M30" s="1">
        <f t="shared" si="6"/>
        <v>5.2366386554621736</v>
      </c>
      <c r="N30">
        <v>80</v>
      </c>
      <c r="O30">
        <f t="shared" si="7"/>
        <v>2.5285714285714286E-3</v>
      </c>
      <c r="P30" s="1">
        <f t="shared" si="8"/>
        <v>9.1028571428571432</v>
      </c>
    </row>
    <row r="31" spans="1:16" x14ac:dyDescent="0.2">
      <c r="A31" t="s">
        <v>4</v>
      </c>
      <c r="B31">
        <f>0.6^2</f>
        <v>0.36</v>
      </c>
      <c r="D31" s="1">
        <f t="shared" si="9"/>
        <v>0.22999999999999998</v>
      </c>
      <c r="E31">
        <v>60</v>
      </c>
      <c r="F31">
        <f t="shared" si="4"/>
        <v>1.2375706214689255E-3</v>
      </c>
      <c r="G31" s="1">
        <f t="shared" si="10"/>
        <v>4.4552542372881314</v>
      </c>
      <c r="H31">
        <f>EXP(D31)</f>
        <v>1.2586000099294778</v>
      </c>
      <c r="I31">
        <f>(0.0025/0.6)*D31*3600</f>
        <v>3.4499999999999997</v>
      </c>
      <c r="K31">
        <v>70</v>
      </c>
      <c r="L31">
        <f t="shared" si="5"/>
        <v>1.0869747899159628E-3</v>
      </c>
      <c r="M31" s="1">
        <f t="shared" si="6"/>
        <v>3.9131092436974662</v>
      </c>
      <c r="N31">
        <v>80</v>
      </c>
      <c r="O31">
        <f t="shared" si="7"/>
        <v>2.2038961038961039E-3</v>
      </c>
      <c r="P31" s="1">
        <f t="shared" si="8"/>
        <v>7.9340259740259738</v>
      </c>
    </row>
    <row r="32" spans="1:16" x14ac:dyDescent="0.2">
      <c r="A32" t="s">
        <v>13</v>
      </c>
      <c r="B32">
        <f>B31-B30</f>
        <v>-0.20800000000000007</v>
      </c>
      <c r="D32" s="1">
        <f t="shared" si="9"/>
        <v>0.24</v>
      </c>
      <c r="E32">
        <v>60</v>
      </c>
      <c r="F32">
        <f t="shared" si="4"/>
        <v>8.1384180790960298E-4</v>
      </c>
      <c r="G32" s="1">
        <f t="shared" si="10"/>
        <v>2.9298305084745708</v>
      </c>
      <c r="H32">
        <f>EXP(D32)</f>
        <v>1.2712491503214047</v>
      </c>
      <c r="I32">
        <f>(0.0025/0.6)*D32*3600</f>
        <v>3.6</v>
      </c>
      <c r="K32">
        <v>70</v>
      </c>
      <c r="L32">
        <f t="shared" si="5"/>
        <v>7.1932773109243319E-4</v>
      </c>
      <c r="M32" s="1">
        <f t="shared" si="6"/>
        <v>2.5895798319327596</v>
      </c>
      <c r="N32">
        <v>80</v>
      </c>
      <c r="O32">
        <f t="shared" si="7"/>
        <v>1.8792207792207789E-3</v>
      </c>
      <c r="P32" s="1">
        <f t="shared" si="8"/>
        <v>6.7651948051948034</v>
      </c>
    </row>
    <row r="33" spans="1:16" x14ac:dyDescent="0.2">
      <c r="D33" s="1">
        <f>D34-0.01</f>
        <v>0.25</v>
      </c>
      <c r="E33">
        <v>60</v>
      </c>
      <c r="F33">
        <f t="shared" si="4"/>
        <v>3.9011299435028058E-4</v>
      </c>
      <c r="G33" s="1">
        <f t="shared" si="10"/>
        <v>1.40440677966101</v>
      </c>
      <c r="H33">
        <f>EXP(D33)</f>
        <v>1.2840254166877414</v>
      </c>
      <c r="I33">
        <f>(0.0025/0.6)*D33*3600</f>
        <v>3.75</v>
      </c>
      <c r="K33">
        <v>70</v>
      </c>
      <c r="L33">
        <f t="shared" si="5"/>
        <v>3.5168067226890352E-4</v>
      </c>
      <c r="M33" s="1">
        <f t="shared" si="6"/>
        <v>1.2660504201680527</v>
      </c>
      <c r="N33">
        <v>80</v>
      </c>
      <c r="O33">
        <f t="shared" si="7"/>
        <v>1.5545454545454539E-3</v>
      </c>
      <c r="P33" s="1">
        <f t="shared" si="8"/>
        <v>5.596363636363634</v>
      </c>
    </row>
    <row r="34" spans="1:16" x14ac:dyDescent="0.2">
      <c r="D34" s="1">
        <v>0.26</v>
      </c>
      <c r="E34">
        <v>60</v>
      </c>
      <c r="F34">
        <f t="shared" si="4"/>
        <v>-3.3615819209041805E-5</v>
      </c>
      <c r="G34" s="1">
        <f>F34*3600</f>
        <v>-0.1210169491525505</v>
      </c>
      <c r="H34">
        <f>EXP(D34)</f>
        <v>1.2969300866657718</v>
      </c>
      <c r="I34">
        <f>(0.0025/0.6)*D34*3600</f>
        <v>3.9</v>
      </c>
      <c r="K34">
        <v>70</v>
      </c>
      <c r="L34">
        <f t="shared" si="5"/>
        <v>-1.5966386554626151E-5</v>
      </c>
      <c r="M34" s="1">
        <f t="shared" si="6"/>
        <v>-5.7478991596654143E-2</v>
      </c>
      <c r="N34">
        <v>80</v>
      </c>
      <c r="O34">
        <f t="shared" si="7"/>
        <v>1.2298701298701291E-3</v>
      </c>
      <c r="P34" s="1">
        <f t="shared" si="8"/>
        <v>4.4275324675324645</v>
      </c>
    </row>
    <row r="35" spans="1:16" x14ac:dyDescent="0.2">
      <c r="A35" t="s">
        <v>14</v>
      </c>
      <c r="D35" s="1">
        <f>D34+0.01</f>
        <v>0.27</v>
      </c>
      <c r="E35">
        <v>60</v>
      </c>
      <c r="F35">
        <f t="shared" si="4"/>
        <v>-4.5734463276836423E-4</v>
      </c>
      <c r="G35" s="1">
        <f>F35*3600</f>
        <v>-1.6464406779661112</v>
      </c>
      <c r="H35">
        <f>EXP(D35)</f>
        <v>1.3099644507332473</v>
      </c>
      <c r="I35">
        <f>(0.0025/0.6)*D35*3600</f>
        <v>4.0500000000000007</v>
      </c>
      <c r="K35">
        <v>70</v>
      </c>
      <c r="L35">
        <f t="shared" si="5"/>
        <v>-3.8361344537815584E-4</v>
      </c>
      <c r="M35" s="1">
        <f t="shared" si="6"/>
        <v>-1.381008403361361</v>
      </c>
      <c r="N35">
        <v>80</v>
      </c>
      <c r="O35">
        <f t="shared" si="7"/>
        <v>9.0519480519480407E-4</v>
      </c>
      <c r="P35" s="1">
        <f t="shared" si="8"/>
        <v>3.2587012987012947</v>
      </c>
    </row>
    <row r="36" spans="1:16" x14ac:dyDescent="0.2">
      <c r="A36" t="s">
        <v>15</v>
      </c>
      <c r="B36">
        <f>(-2*0.6)/(3600*0.0025)</f>
        <v>-0.13333333333333333</v>
      </c>
      <c r="C36" t="s">
        <v>9</v>
      </c>
      <c r="D36" s="1">
        <f t="shared" ref="D36:D55" si="11">D35+0.01</f>
        <v>0.28000000000000003</v>
      </c>
      <c r="E36">
        <v>60</v>
      </c>
      <c r="F36">
        <f t="shared" si="4"/>
        <v>-8.8107344632768663E-4</v>
      </c>
      <c r="G36" s="1">
        <f t="shared" ref="G36:G55" si="12">F36*3600</f>
        <v>-3.171864406779672</v>
      </c>
      <c r="H36">
        <f>EXP(D36)</f>
        <v>1.3231298123374369</v>
      </c>
      <c r="I36">
        <f>(0.0025/0.6)*D36*3600</f>
        <v>4.2</v>
      </c>
      <c r="K36">
        <v>70</v>
      </c>
      <c r="L36">
        <f t="shared" si="5"/>
        <v>-7.5126050420168552E-4</v>
      </c>
      <c r="M36" s="1">
        <f t="shared" si="6"/>
        <v>-2.7045378151260677</v>
      </c>
      <c r="N36">
        <v>80</v>
      </c>
      <c r="O36">
        <f t="shared" si="7"/>
        <v>5.8051948051947918E-4</v>
      </c>
      <c r="P36" s="1">
        <f t="shared" si="8"/>
        <v>2.0898701298701252</v>
      </c>
    </row>
    <row r="37" spans="1:16" x14ac:dyDescent="0.2">
      <c r="D37">
        <f t="shared" si="11"/>
        <v>0.29000000000000004</v>
      </c>
      <c r="E37">
        <v>60</v>
      </c>
      <c r="F37">
        <f t="shared" si="4"/>
        <v>-1.3048022598870089E-3</v>
      </c>
      <c r="G37">
        <f t="shared" si="12"/>
        <v>-4.6972881355932321</v>
      </c>
      <c r="H37">
        <f>EXP(D37)</f>
        <v>1.3364274880254721</v>
      </c>
      <c r="I37">
        <f>(0.0025/0.6)*D37*3600</f>
        <v>4.3500000000000005</v>
      </c>
      <c r="K37">
        <v>70</v>
      </c>
      <c r="L37">
        <f t="shared" si="5"/>
        <v>-1.1189075630252151E-3</v>
      </c>
      <c r="M37">
        <f t="shared" si="6"/>
        <v>-4.0280672268907747</v>
      </c>
      <c r="N37">
        <v>80</v>
      </c>
      <c r="O37">
        <f t="shared" si="7"/>
        <v>2.5584415584415423E-4</v>
      </c>
      <c r="P37">
        <f t="shared" si="8"/>
        <v>0.92103896103895522</v>
      </c>
    </row>
    <row r="38" spans="1:16" x14ac:dyDescent="0.2">
      <c r="B38">
        <f>EXP(B36)</f>
        <v>0.87517331904294748</v>
      </c>
      <c r="D38">
        <f t="shared" si="11"/>
        <v>0.30000000000000004</v>
      </c>
      <c r="E38">
        <v>60</v>
      </c>
      <c r="F38">
        <f t="shared" si="4"/>
        <v>-1.7285310734463314E-3</v>
      </c>
      <c r="G38">
        <f t="shared" si="12"/>
        <v>-6.2227118644067936</v>
      </c>
      <c r="H38">
        <f>EXP(D38)</f>
        <v>1.3498588075760032</v>
      </c>
      <c r="I38">
        <f>(0.0025/0.6)*D38*3600</f>
        <v>4.5000000000000009</v>
      </c>
      <c r="K38">
        <v>70</v>
      </c>
      <c r="L38">
        <f t="shared" si="5"/>
        <v>-1.486554621848745E-3</v>
      </c>
      <c r="M38">
        <f t="shared" si="6"/>
        <v>-5.3515966386554821</v>
      </c>
      <c r="N38">
        <v>80</v>
      </c>
      <c r="O38">
        <f t="shared" si="7"/>
        <v>-6.8831168831170715E-5</v>
      </c>
      <c r="P38">
        <f t="shared" si="8"/>
        <v>-0.24779220779221459</v>
      </c>
    </row>
    <row r="39" spans="1:16" x14ac:dyDescent="0.2">
      <c r="D39">
        <f t="shared" si="11"/>
        <v>0.31000000000000005</v>
      </c>
      <c r="E39">
        <v>60</v>
      </c>
      <c r="F39">
        <f t="shared" si="4"/>
        <v>-2.1522598870056539E-3</v>
      </c>
      <c r="G39">
        <f t="shared" si="12"/>
        <v>-7.7481355932203542</v>
      </c>
      <c r="H39">
        <f>EXP(D39)</f>
        <v>1.3634251141321778</v>
      </c>
      <c r="I39">
        <f>(0.0025/0.6)*D39*3600</f>
        <v>4.6500000000000004</v>
      </c>
      <c r="K39">
        <v>70</v>
      </c>
      <c r="L39">
        <f t="shared" si="5"/>
        <v>-1.8542016806722746E-3</v>
      </c>
      <c r="M39">
        <f t="shared" si="6"/>
        <v>-6.6751260504201886</v>
      </c>
      <c r="N39">
        <v>80</v>
      </c>
      <c r="O39">
        <f t="shared" si="7"/>
        <v>-3.9350649350649566E-4</v>
      </c>
      <c r="P39">
        <f t="shared" si="8"/>
        <v>-1.4166233766233844</v>
      </c>
    </row>
    <row r="40" spans="1:16" x14ac:dyDescent="0.2">
      <c r="D40">
        <f t="shared" si="11"/>
        <v>0.32000000000000006</v>
      </c>
      <c r="E40">
        <v>60</v>
      </c>
      <c r="F40">
        <f t="shared" si="4"/>
        <v>-2.5759887005649762E-3</v>
      </c>
      <c r="G40">
        <f t="shared" si="12"/>
        <v>-9.2735593220339148</v>
      </c>
      <c r="H40">
        <f>EXP(D40)</f>
        <v>1.3771277643359572</v>
      </c>
      <c r="I40">
        <f>(0.0025/0.6)*D40*3600</f>
        <v>4.8000000000000007</v>
      </c>
      <c r="K40">
        <v>70</v>
      </c>
      <c r="L40">
        <f t="shared" si="5"/>
        <v>-2.2218487394958042E-3</v>
      </c>
      <c r="M40">
        <f t="shared" si="6"/>
        <v>-7.9986554621848951</v>
      </c>
      <c r="N40">
        <v>80</v>
      </c>
      <c r="O40">
        <f t="shared" si="7"/>
        <v>-7.1818181818182061E-4</v>
      </c>
      <c r="P40">
        <f t="shared" si="8"/>
        <v>-2.5854545454545543</v>
      </c>
    </row>
    <row r="41" spans="1:16" x14ac:dyDescent="0.2">
      <c r="D41">
        <f t="shared" si="11"/>
        <v>0.33000000000000007</v>
      </c>
      <c r="E41">
        <v>60</v>
      </c>
      <c r="F41">
        <f t="shared" si="4"/>
        <v>-2.9997175141242985E-3</v>
      </c>
      <c r="G41">
        <f t="shared" si="12"/>
        <v>-10.798983050847475</v>
      </c>
      <c r="H41">
        <f>EXP(D41)</f>
        <v>1.3909681284637803</v>
      </c>
      <c r="I41">
        <f>(0.0025/0.6)*D41*3600</f>
        <v>4.9500000000000011</v>
      </c>
      <c r="K41">
        <v>70</v>
      </c>
      <c r="L41">
        <f t="shared" si="5"/>
        <v>-2.5894957983193341E-3</v>
      </c>
      <c r="M41">
        <f t="shared" si="6"/>
        <v>-9.3221848739496025</v>
      </c>
      <c r="N41">
        <v>80</v>
      </c>
      <c r="O41">
        <f t="shared" si="7"/>
        <v>-1.0428571428571455E-3</v>
      </c>
      <c r="P41">
        <f t="shared" si="8"/>
        <v>-3.7542857142857238</v>
      </c>
    </row>
    <row r="42" spans="1:16" x14ac:dyDescent="0.2">
      <c r="D42">
        <f t="shared" si="11"/>
        <v>0.34000000000000008</v>
      </c>
      <c r="E42">
        <v>60</v>
      </c>
      <c r="F42">
        <f t="shared" si="4"/>
        <v>-3.4234463276836213E-3</v>
      </c>
      <c r="G42">
        <f t="shared" si="12"/>
        <v>-12.324406779661036</v>
      </c>
      <c r="H42">
        <f>EXP(D42)</f>
        <v>1.404947590563594</v>
      </c>
      <c r="I42">
        <f>(0.0025/0.6)*D42*3600</f>
        <v>5.1000000000000014</v>
      </c>
      <c r="K42">
        <v>70</v>
      </c>
      <c r="L42">
        <f t="shared" si="5"/>
        <v>-2.9571428571428635E-3</v>
      </c>
      <c r="M42">
        <f t="shared" si="6"/>
        <v>-10.645714285714309</v>
      </c>
      <c r="N42">
        <v>80</v>
      </c>
      <c r="O42">
        <f t="shared" si="7"/>
        <v>-1.3675324675324705E-3</v>
      </c>
      <c r="P42">
        <f t="shared" si="8"/>
        <v>-4.9231168831168937</v>
      </c>
    </row>
    <row r="43" spans="1:16" x14ac:dyDescent="0.2">
      <c r="D43">
        <f t="shared" si="11"/>
        <v>0.35000000000000009</v>
      </c>
      <c r="E43">
        <v>60</v>
      </c>
      <c r="F43">
        <f t="shared" si="4"/>
        <v>-3.8471751412429435E-3</v>
      </c>
      <c r="G43">
        <f t="shared" si="12"/>
        <v>-13.849830508474597</v>
      </c>
      <c r="H43">
        <f>EXP(D43)</f>
        <v>1.4190675485932573</v>
      </c>
      <c r="I43">
        <f>(0.0025/0.6)*D43*3600</f>
        <v>5.2500000000000009</v>
      </c>
      <c r="K43">
        <v>70</v>
      </c>
      <c r="L43">
        <f t="shared" si="5"/>
        <v>-3.3247899159663933E-3</v>
      </c>
      <c r="M43">
        <f t="shared" si="6"/>
        <v>-11.969243697479016</v>
      </c>
      <c r="N43">
        <v>80</v>
      </c>
      <c r="O43">
        <f t="shared" si="7"/>
        <v>-1.6922077922077953E-3</v>
      </c>
      <c r="P43">
        <f t="shared" si="8"/>
        <v>-6.0919480519480631</v>
      </c>
    </row>
    <row r="44" spans="1:16" x14ac:dyDescent="0.2">
      <c r="D44">
        <f t="shared" si="11"/>
        <v>0.3600000000000001</v>
      </c>
      <c r="E44">
        <v>60</v>
      </c>
      <c r="F44">
        <f t="shared" si="4"/>
        <v>-4.2709039548022663E-3</v>
      </c>
      <c r="G44">
        <f t="shared" si="12"/>
        <v>-15.375254237288159</v>
      </c>
      <c r="H44">
        <f>EXP(D44)</f>
        <v>1.4333294145603404</v>
      </c>
      <c r="I44">
        <f>(0.0025/0.6)*D44*3600</f>
        <v>5.4000000000000012</v>
      </c>
      <c r="K44">
        <v>70</v>
      </c>
      <c r="L44">
        <f t="shared" si="5"/>
        <v>-3.6924369747899232E-3</v>
      </c>
      <c r="M44">
        <f t="shared" si="6"/>
        <v>-13.292773109243724</v>
      </c>
      <c r="N44">
        <v>80</v>
      </c>
      <c r="O44">
        <f t="shared" si="7"/>
        <v>-2.0168831168831205E-3</v>
      </c>
      <c r="P44">
        <f t="shared" si="8"/>
        <v>-7.2607792207792334</v>
      </c>
    </row>
    <row r="45" spans="1:16" x14ac:dyDescent="0.2">
      <c r="B45">
        <f>(-2*B29)/(3600*0.0025)</f>
        <v>-0.16747949939037132</v>
      </c>
      <c r="D45">
        <f t="shared" si="11"/>
        <v>0.37000000000000011</v>
      </c>
      <c r="E45">
        <v>60</v>
      </c>
      <c r="F45">
        <f t="shared" si="4"/>
        <v>-4.6946327683615886E-3</v>
      </c>
      <c r="G45">
        <f t="shared" si="12"/>
        <v>-16.900677966101718</v>
      </c>
      <c r="H45">
        <f>EXP(D45)</f>
        <v>1.4477346146633245</v>
      </c>
      <c r="I45">
        <f>(0.0025/0.6)*D45*3600</f>
        <v>5.5500000000000016</v>
      </c>
      <c r="K45">
        <v>70</v>
      </c>
      <c r="L45">
        <f t="shared" si="5"/>
        <v>-4.0600840336134526E-3</v>
      </c>
      <c r="M45">
        <f t="shared" si="6"/>
        <v>-14.616302521008429</v>
      </c>
      <c r="N45">
        <v>80</v>
      </c>
      <c r="O45">
        <f t="shared" si="7"/>
        <v>-2.3415584415584453E-3</v>
      </c>
      <c r="P45">
        <f t="shared" si="8"/>
        <v>-8.4296103896104029</v>
      </c>
    </row>
    <row r="46" spans="1:16" x14ac:dyDescent="0.2">
      <c r="B46">
        <f>EXP(B45)</f>
        <v>0.84579395640283883</v>
      </c>
      <c r="D46">
        <f t="shared" si="11"/>
        <v>0.38000000000000012</v>
      </c>
      <c r="E46">
        <v>60</v>
      </c>
      <c r="F46">
        <f t="shared" si="4"/>
        <v>-5.1183615819209109E-3</v>
      </c>
      <c r="G46">
        <f t="shared" si="12"/>
        <v>-18.426101694915278</v>
      </c>
      <c r="H46">
        <f>EXP(D46)</f>
        <v>1.4622845894342247</v>
      </c>
      <c r="I46">
        <f>(0.0025/0.6)*D46*3600</f>
        <v>5.7000000000000011</v>
      </c>
      <c r="K46">
        <v>70</v>
      </c>
      <c r="L46">
        <f t="shared" si="5"/>
        <v>-4.4277310924369824E-3</v>
      </c>
      <c r="M46">
        <f t="shared" si="6"/>
        <v>-15.939831932773137</v>
      </c>
      <c r="N46">
        <v>80</v>
      </c>
      <c r="O46">
        <f t="shared" si="7"/>
        <v>-2.6662337662337701E-3</v>
      </c>
      <c r="P46">
        <f t="shared" si="8"/>
        <v>-9.5984415584415714</v>
      </c>
    </row>
    <row r="47" spans="1:16" x14ac:dyDescent="0.2">
      <c r="D47">
        <f t="shared" si="11"/>
        <v>0.39000000000000012</v>
      </c>
      <c r="E47">
        <v>60</v>
      </c>
      <c r="F47">
        <f t="shared" si="4"/>
        <v>-5.5420903954802331E-3</v>
      </c>
      <c r="G47">
        <f t="shared" si="12"/>
        <v>-19.951525423728839</v>
      </c>
      <c r="H47">
        <f>EXP(D47)</f>
        <v>1.4769807938826427</v>
      </c>
      <c r="I47">
        <f>(0.0025/0.6)*D47*3600</f>
        <v>5.8500000000000023</v>
      </c>
      <c r="K47">
        <v>70</v>
      </c>
      <c r="L47">
        <f t="shared" si="5"/>
        <v>-4.7953781512605122E-3</v>
      </c>
      <c r="M47">
        <f t="shared" si="6"/>
        <v>-17.263361344537845</v>
      </c>
      <c r="N47">
        <v>80</v>
      </c>
      <c r="O47">
        <f t="shared" si="7"/>
        <v>-2.9909090909090953E-3</v>
      </c>
      <c r="P47">
        <f t="shared" si="8"/>
        <v>-10.767272727272744</v>
      </c>
    </row>
    <row r="48" spans="1:16" x14ac:dyDescent="0.2">
      <c r="D48">
        <f t="shared" si="11"/>
        <v>0.40000000000000013</v>
      </c>
      <c r="E48">
        <v>60</v>
      </c>
      <c r="F48">
        <f t="shared" si="4"/>
        <v>-5.9658192090395554E-3</v>
      </c>
      <c r="G48">
        <f t="shared" si="12"/>
        <v>-21.476949152542399</v>
      </c>
      <c r="H48">
        <f>EXP(D48)</f>
        <v>1.4918246976412706</v>
      </c>
      <c r="I48">
        <f>(0.0025/0.6)*D48*3600</f>
        <v>6.0000000000000018</v>
      </c>
      <c r="K48">
        <v>70</v>
      </c>
      <c r="L48">
        <f t="shared" si="5"/>
        <v>-5.1630252100840421E-3</v>
      </c>
      <c r="M48">
        <f t="shared" si="6"/>
        <v>-18.586890756302552</v>
      </c>
      <c r="N48">
        <v>80</v>
      </c>
      <c r="O48">
        <f t="shared" si="7"/>
        <v>-3.3155844155844201E-3</v>
      </c>
      <c r="P48">
        <f t="shared" si="8"/>
        <v>-11.936103896103912</v>
      </c>
    </row>
    <row r="49" spans="4:16" x14ac:dyDescent="0.2">
      <c r="D49">
        <f t="shared" si="11"/>
        <v>0.41000000000000014</v>
      </c>
      <c r="E49">
        <v>60</v>
      </c>
      <c r="F49">
        <f t="shared" si="4"/>
        <v>-6.3895480225988777E-3</v>
      </c>
      <c r="G49">
        <f t="shared" si="12"/>
        <v>-23.00237288135596</v>
      </c>
      <c r="H49">
        <f>EXP(D49)</f>
        <v>1.5068177851128537</v>
      </c>
      <c r="I49">
        <f>(0.0025/0.6)*D49*3600</f>
        <v>6.1500000000000021</v>
      </c>
      <c r="K49">
        <v>70</v>
      </c>
      <c r="L49">
        <f t="shared" si="5"/>
        <v>-5.5306722689075711E-3</v>
      </c>
      <c r="M49">
        <f t="shared" si="6"/>
        <v>-19.910420168067255</v>
      </c>
      <c r="N49">
        <v>80</v>
      </c>
      <c r="O49">
        <f t="shared" si="7"/>
        <v>-3.6402597402597449E-3</v>
      </c>
      <c r="P49">
        <f t="shared" si="8"/>
        <v>-13.104935064935081</v>
      </c>
    </row>
    <row r="50" spans="4:16" x14ac:dyDescent="0.2">
      <c r="D50">
        <f t="shared" si="11"/>
        <v>0.42000000000000015</v>
      </c>
      <c r="E50">
        <v>60</v>
      </c>
      <c r="F50">
        <f t="shared" si="4"/>
        <v>-6.8132768361582E-3</v>
      </c>
      <c r="G50">
        <f t="shared" si="12"/>
        <v>-24.527796610169521</v>
      </c>
      <c r="H50">
        <f>EXP(D50)</f>
        <v>1.5219615556186341</v>
      </c>
      <c r="I50">
        <f>(0.0025/0.6)*D50*3600</f>
        <v>6.3000000000000025</v>
      </c>
      <c r="K50">
        <v>70</v>
      </c>
      <c r="L50">
        <f t="shared" si="5"/>
        <v>-5.8983193277311009E-3</v>
      </c>
      <c r="M50">
        <f t="shared" si="6"/>
        <v>-21.233949579831965</v>
      </c>
      <c r="N50">
        <v>80</v>
      </c>
      <c r="O50">
        <f t="shared" si="7"/>
        <v>-3.9649350649350696E-3</v>
      </c>
      <c r="P50">
        <f t="shared" si="8"/>
        <v>-14.273766233766251</v>
      </c>
    </row>
    <row r="51" spans="4:16" x14ac:dyDescent="0.2">
      <c r="D51">
        <f t="shared" si="11"/>
        <v>0.43000000000000016</v>
      </c>
      <c r="E51">
        <v>60</v>
      </c>
      <c r="F51">
        <f t="shared" si="4"/>
        <v>-7.2370056497175223E-3</v>
      </c>
      <c r="G51">
        <f t="shared" si="12"/>
        <v>-26.053220338983081</v>
      </c>
      <c r="H51">
        <f>EXP(D51)</f>
        <v>1.5372575235482817</v>
      </c>
      <c r="I51">
        <f>(0.0025/0.6)*D51*3600</f>
        <v>6.450000000000002</v>
      </c>
      <c r="K51">
        <v>70</v>
      </c>
      <c r="L51">
        <f t="shared" si="5"/>
        <v>-6.2659663865546307E-3</v>
      </c>
      <c r="M51">
        <f t="shared" si="6"/>
        <v>-22.557478991596671</v>
      </c>
      <c r="N51">
        <v>80</v>
      </c>
      <c r="O51">
        <f t="shared" si="7"/>
        <v>-4.2896103896103944E-3</v>
      </c>
      <c r="P51">
        <f t="shared" si="8"/>
        <v>-15.44259740259742</v>
      </c>
    </row>
    <row r="52" spans="4:16" x14ac:dyDescent="0.2">
      <c r="D52">
        <f t="shared" si="11"/>
        <v>0.44000000000000017</v>
      </c>
      <c r="E52">
        <v>60</v>
      </c>
      <c r="F52">
        <f t="shared" si="4"/>
        <v>-7.6607344632768455E-3</v>
      </c>
      <c r="G52">
        <f t="shared" si="12"/>
        <v>-27.578644067796645</v>
      </c>
      <c r="H52">
        <f>EXP(D52)</f>
        <v>1.5527072185113362</v>
      </c>
      <c r="I52">
        <f>(0.0025/0.6)*D52*3600</f>
        <v>6.6000000000000023</v>
      </c>
      <c r="K52">
        <v>70</v>
      </c>
      <c r="L52">
        <f t="shared" si="5"/>
        <v>-6.6336134453781606E-3</v>
      </c>
      <c r="M52">
        <f t="shared" si="6"/>
        <v>-23.881008403361378</v>
      </c>
      <c r="N52">
        <v>80</v>
      </c>
      <c r="O52">
        <f t="shared" si="7"/>
        <v>-4.6142857142857201E-3</v>
      </c>
      <c r="P52">
        <f t="shared" si="8"/>
        <v>-16.611428571428593</v>
      </c>
    </row>
    <row r="53" spans="4:16" x14ac:dyDescent="0.2">
      <c r="D53">
        <f t="shared" si="11"/>
        <v>0.45000000000000018</v>
      </c>
      <c r="E53">
        <v>60</v>
      </c>
      <c r="F53">
        <f t="shared" si="4"/>
        <v>-8.0844632768361669E-3</v>
      </c>
      <c r="G53">
        <f t="shared" si="12"/>
        <v>-29.104067796610202</v>
      </c>
      <c r="H53">
        <f>EXP(D53)</f>
        <v>1.5683121854901692</v>
      </c>
      <c r="I53">
        <f>(0.0025/0.6)*D53*3600</f>
        <v>6.7500000000000027</v>
      </c>
      <c r="K53">
        <v>70</v>
      </c>
      <c r="L53">
        <f t="shared" si="5"/>
        <v>-7.0012605042016904E-3</v>
      </c>
      <c r="M53">
        <f t="shared" si="6"/>
        <v>-25.204537815126084</v>
      </c>
      <c r="N53">
        <v>80</v>
      </c>
      <c r="O53">
        <f t="shared" si="7"/>
        <v>-4.9389610389610449E-3</v>
      </c>
      <c r="P53">
        <f t="shared" si="8"/>
        <v>-17.780259740259762</v>
      </c>
    </row>
    <row r="54" spans="4:16" x14ac:dyDescent="0.2">
      <c r="D54">
        <f t="shared" si="11"/>
        <v>0.46000000000000019</v>
      </c>
      <c r="E54">
        <v>60</v>
      </c>
      <c r="F54">
        <f t="shared" si="4"/>
        <v>-8.5081920903954892E-3</v>
      </c>
      <c r="G54">
        <f t="shared" si="12"/>
        <v>-30.629491525423759</v>
      </c>
      <c r="H54">
        <f>EXP(D54)</f>
        <v>1.584073984994482</v>
      </c>
      <c r="I54">
        <f>(0.0025/0.6)*D54*3600</f>
        <v>6.900000000000003</v>
      </c>
      <c r="K54">
        <v>70</v>
      </c>
      <c r="L54">
        <f t="shared" si="5"/>
        <v>-7.3689075630252203E-3</v>
      </c>
      <c r="M54">
        <f t="shared" si="6"/>
        <v>-26.528067226890794</v>
      </c>
      <c r="N54">
        <v>80</v>
      </c>
      <c r="O54">
        <f t="shared" si="7"/>
        <v>-5.2636363636363696E-3</v>
      </c>
      <c r="P54">
        <f t="shared" si="8"/>
        <v>-18.949090909090931</v>
      </c>
    </row>
    <row r="55" spans="4:16" x14ac:dyDescent="0.2">
      <c r="D55">
        <f t="shared" si="11"/>
        <v>0.4700000000000002</v>
      </c>
      <c r="E55">
        <v>60</v>
      </c>
      <c r="F55">
        <f t="shared" si="4"/>
        <v>-8.9319209039548115E-3</v>
      </c>
      <c r="G55">
        <f t="shared" si="12"/>
        <v>-32.154915254237324</v>
      </c>
      <c r="H55">
        <f>EXP(D55)</f>
        <v>1.5999941932173605</v>
      </c>
      <c r="I55">
        <f>(0.0025/0.6)*D55*3600</f>
        <v>7.0500000000000025</v>
      </c>
      <c r="K55">
        <v>70</v>
      </c>
      <c r="L55">
        <f t="shared" si="5"/>
        <v>-7.7365546218487492E-3</v>
      </c>
      <c r="M55">
        <f t="shared" si="6"/>
        <v>-27.851596638655497</v>
      </c>
      <c r="N55">
        <v>80</v>
      </c>
      <c r="O55">
        <f t="shared" si="7"/>
        <v>-5.5883116883116944E-3</v>
      </c>
      <c r="P55">
        <f t="shared" si="8"/>
        <v>-20.117922077922099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2022-10-31T21:02:56Z</dcterms:created>
  <dcterms:modified xsi:type="dcterms:W3CDTF">2022-11-04T19:28:56Z</dcterms:modified>
</cp:coreProperties>
</file>