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drawings/drawing2.xml" ContentType="application/vnd.openxmlformats-officedocument.drawing+xml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charts/chart4.xml" ContentType="application/vnd.openxmlformats-officedocument.drawingml.chart+xml"/>
  <Override PartName="/xl/pivotTables/pivotTable2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6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pivotTables/pivotTable3.xml" ContentType="application/vnd.openxmlformats-officedocument.spreadsheetml.pivotTable+xml"/>
  <Override PartName="/xl/drawings/drawing7.xml" ContentType="application/vnd.openxmlformats-officedocument.drawing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6.xml" ContentType="application/vnd.openxmlformats-officedocument.drawingml.chart+xml"/>
  <Override PartName="/xl/drawings/drawing10.xml" ContentType="application/vnd.openxmlformats-officedocument.drawing+xml"/>
  <Override PartName="/xl/charts/chart7.xml" ContentType="application/vnd.openxmlformats-officedocument.drawingml.chart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1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bcra\archivos\445\Esteban\Estadística\Prácticas\"/>
    </mc:Choice>
  </mc:AlternateContent>
  <xr:revisionPtr revIDLastSave="0" documentId="13_ncr:1_{1B11D1B9-8843-4D67-9932-07DE060B5EEB}" xr6:coauthVersionLast="28" xr6:coauthVersionMax="28" xr10:uidLastSave="{00000000-0000-0000-0000-000000000000}"/>
  <bookViews>
    <workbookView xWindow="240" yWindow="30" windowWidth="18795" windowHeight="12015" tabRatio="787" xr2:uid="{00000000-000D-0000-FFFF-FFFF00000000}"/>
  </bookViews>
  <sheets>
    <sheet name="Ej 16" sheetId="1" r:id="rId1"/>
    <sheet name="Ej 17" sheetId="4" r:id="rId2"/>
    <sheet name="Ej 18" sheetId="2" r:id="rId3"/>
    <sheet name="Ej 19" sheetId="3" r:id="rId4"/>
    <sheet name="Ej 20" sheetId="5" r:id="rId5"/>
    <sheet name="Ej 21" sheetId="6" r:id="rId6"/>
    <sheet name="Ej 22" sheetId="7" r:id="rId7"/>
    <sheet name="Ej 23" sheetId="8" r:id="rId8"/>
    <sheet name="Ej 24" sheetId="10" r:id="rId9"/>
    <sheet name="Ej 25" sheetId="9" r:id="rId10"/>
    <sheet name="Ej 26" sheetId="12" r:id="rId11"/>
    <sheet name="Ej 27" sheetId="13" r:id="rId12"/>
    <sheet name="Ej 28" sheetId="14" r:id="rId13"/>
    <sheet name="Ej 29" sheetId="11" r:id="rId14"/>
  </sheets>
  <definedNames>
    <definedName name="_xlchart.v1.0" hidden="1">'Ej 21'!$C$6:$C$65</definedName>
    <definedName name="_xlchart.v1.1" hidden="1">'Ej 21'!$C$6:$C$65</definedName>
    <definedName name="_xlchart.v1.2" hidden="1">'Ej 22'!$D$6</definedName>
    <definedName name="_xlchart.v1.3" hidden="1">'Ej 22'!$D$7:$D$14</definedName>
    <definedName name="_xlchart.v1.4" hidden="1">'Ej 22'!$D$7:$D$14</definedName>
    <definedName name="_xlchart.v1.5" hidden="1">'Ej 22'!$E$7:$E$14</definedName>
    <definedName name="_xlchart.v1.6" hidden="1">'Ej 22'!$E$6</definedName>
    <definedName name="_xlchart.v1.7" hidden="1">'Ej 22'!$E$7:$E$14</definedName>
    <definedName name="_xlchart.v1.8" hidden="1">'Ej 23'!$C$5:$C$64</definedName>
    <definedName name="_xlchart.v1.9" hidden="1">'Ej 23'!$C$5:$C$64</definedName>
  </definedNames>
  <calcPr calcId="171027"/>
  <pivotCaches>
    <pivotCache cacheId="0" r:id="rId15"/>
    <pivotCache cacheId="1" r:id="rId16"/>
    <pivotCache cacheId="2" r:id="rId17"/>
    <pivotCache cacheId="3" r:id="rId18"/>
    <pivotCache cacheId="4" r:id="rId19"/>
    <pivotCache cacheId="5" r:id="rId20"/>
    <pivotCache cacheId="6" r:id="rId21"/>
    <pivotCache cacheId="7" r:id="rId22"/>
    <pivotCache cacheId="8" r:id="rId23"/>
    <pivotCache cacheId="9" r:id="rId24"/>
    <pivotCache cacheId="10" r:id="rId25"/>
    <pivotCache cacheId="11" r:id="rId26"/>
    <pivotCache cacheId="12" r:id="rId27"/>
  </pivotCaches>
</workbook>
</file>

<file path=xl/calcChain.xml><?xml version="1.0" encoding="utf-8"?>
<calcChain xmlns="http://schemas.openxmlformats.org/spreadsheetml/2006/main">
  <c r="D120" i="14" l="1"/>
  <c r="C41" i="14" a="1"/>
  <c r="C41" i="14" s="1"/>
  <c r="D41" i="14" s="1"/>
  <c r="N3" i="14"/>
  <c r="N4" i="14"/>
  <c r="N5" i="14"/>
  <c r="N6" i="14"/>
  <c r="N7" i="14"/>
  <c r="N8" i="14"/>
  <c r="N9" i="14"/>
  <c r="N10" i="14"/>
  <c r="N11" i="14"/>
  <c r="N12" i="14"/>
  <c r="N13" i="14"/>
  <c r="N14" i="14"/>
  <c r="N15" i="14"/>
  <c r="N16" i="14"/>
  <c r="N17" i="14"/>
  <c r="N18" i="14"/>
  <c r="N19" i="14"/>
  <c r="N20" i="14"/>
  <c r="N21" i="14"/>
  <c r="N22" i="14"/>
  <c r="N23" i="14"/>
  <c r="N24" i="14"/>
  <c r="N25" i="14"/>
  <c r="N26" i="14"/>
  <c r="N27" i="14"/>
  <c r="N28" i="14"/>
  <c r="N29" i="14"/>
  <c r="N30" i="14"/>
  <c r="N31" i="14"/>
  <c r="N32" i="14"/>
  <c r="N33" i="14"/>
  <c r="N34" i="14"/>
  <c r="N35" i="14"/>
  <c r="N36" i="14"/>
  <c r="N37" i="14"/>
  <c r="N38" i="14"/>
  <c r="N39" i="14"/>
  <c r="N40" i="14"/>
  <c r="N41" i="14"/>
  <c r="N42" i="14"/>
  <c r="N43" i="14"/>
  <c r="N44" i="14"/>
  <c r="N45" i="14"/>
  <c r="N46" i="14"/>
  <c r="N47" i="14"/>
  <c r="N48" i="14"/>
  <c r="N49" i="14"/>
  <c r="N50" i="14"/>
  <c r="N51" i="14"/>
  <c r="N52" i="14"/>
  <c r="N53" i="14"/>
  <c r="N54" i="14"/>
  <c r="N55" i="14"/>
  <c r="N56" i="14"/>
  <c r="N57" i="14"/>
  <c r="N58" i="14"/>
  <c r="N59" i="14"/>
  <c r="N60" i="14"/>
  <c r="N61" i="14"/>
  <c r="N62" i="14"/>
  <c r="N63" i="14"/>
  <c r="N64" i="14"/>
  <c r="N65" i="14"/>
  <c r="N66" i="14"/>
  <c r="N67" i="14"/>
  <c r="N68" i="14"/>
  <c r="N69" i="14"/>
  <c r="N70" i="14"/>
  <c r="N71" i="14"/>
  <c r="N72" i="14"/>
  <c r="N73" i="14"/>
  <c r="N74" i="14"/>
  <c r="N75" i="14"/>
  <c r="N76" i="14"/>
  <c r="N77" i="14"/>
  <c r="N78" i="14"/>
  <c r="N79" i="14"/>
  <c r="N80" i="14"/>
  <c r="N81" i="14"/>
  <c r="N82" i="14"/>
  <c r="N83" i="14"/>
  <c r="N84" i="14"/>
  <c r="N85" i="14"/>
  <c r="N86" i="14"/>
  <c r="N87" i="14"/>
  <c r="N88" i="14"/>
  <c r="N89" i="14"/>
  <c r="N90" i="14"/>
  <c r="N91" i="14"/>
  <c r="N92" i="14"/>
  <c r="N93" i="14"/>
  <c r="N94" i="14"/>
  <c r="N95" i="14"/>
  <c r="N96" i="14"/>
  <c r="N97" i="14"/>
  <c r="N98" i="14"/>
  <c r="N99" i="14"/>
  <c r="N100" i="14"/>
  <c r="N101" i="14"/>
  <c r="N102" i="14"/>
  <c r="N103" i="14"/>
  <c r="N104" i="14"/>
  <c r="N105" i="14"/>
  <c r="N106" i="14"/>
  <c r="N107" i="14"/>
  <c r="N108" i="14"/>
  <c r="N109" i="14"/>
  <c r="N110" i="14"/>
  <c r="N111" i="14"/>
  <c r="N112" i="14"/>
  <c r="N113" i="14"/>
  <c r="N114" i="14"/>
  <c r="N115" i="14"/>
  <c r="N116" i="14"/>
  <c r="N117" i="14"/>
  <c r="N118" i="14"/>
  <c r="N119" i="14"/>
  <c r="N120" i="14"/>
  <c r="N121" i="14"/>
  <c r="N122" i="14"/>
  <c r="N123" i="14"/>
  <c r="N124" i="14"/>
  <c r="N125" i="14"/>
  <c r="N126" i="14"/>
  <c r="N127" i="14"/>
  <c r="N128" i="14"/>
  <c r="N129" i="14"/>
  <c r="N130" i="14"/>
  <c r="N131" i="14"/>
  <c r="N132" i="14"/>
  <c r="N133" i="14"/>
  <c r="N134" i="14"/>
  <c r="N135" i="14"/>
  <c r="N136" i="14"/>
  <c r="N2" i="14"/>
  <c r="M3" i="14"/>
  <c r="M4" i="14"/>
  <c r="M5" i="14"/>
  <c r="M6" i="14"/>
  <c r="M7" i="14"/>
  <c r="M8" i="14"/>
  <c r="M9" i="14"/>
  <c r="M10" i="14"/>
  <c r="M11" i="14"/>
  <c r="M12" i="14"/>
  <c r="M13" i="14"/>
  <c r="M14" i="14"/>
  <c r="M15" i="14"/>
  <c r="M16" i="14"/>
  <c r="M17" i="14"/>
  <c r="M18" i="14"/>
  <c r="M19" i="14"/>
  <c r="M20" i="14"/>
  <c r="M21" i="14"/>
  <c r="M22" i="14"/>
  <c r="M23" i="14"/>
  <c r="M24" i="14"/>
  <c r="M25" i="14"/>
  <c r="M26" i="14"/>
  <c r="M27" i="14"/>
  <c r="M28" i="14"/>
  <c r="M29" i="14"/>
  <c r="M30" i="14"/>
  <c r="M31" i="14"/>
  <c r="M32" i="14"/>
  <c r="M33" i="14"/>
  <c r="M34" i="14"/>
  <c r="M35" i="14"/>
  <c r="M36" i="14"/>
  <c r="M37" i="14"/>
  <c r="M38" i="14"/>
  <c r="M39" i="14"/>
  <c r="M40" i="14"/>
  <c r="M41" i="14"/>
  <c r="M42" i="14"/>
  <c r="M43" i="14"/>
  <c r="M44" i="14"/>
  <c r="M45" i="14"/>
  <c r="M46" i="14"/>
  <c r="M47" i="14"/>
  <c r="M48" i="14"/>
  <c r="M49" i="14"/>
  <c r="M50" i="14"/>
  <c r="M51" i="14"/>
  <c r="M52" i="14"/>
  <c r="M53" i="14"/>
  <c r="M54" i="14"/>
  <c r="M55" i="14"/>
  <c r="M56" i="14"/>
  <c r="M57" i="14"/>
  <c r="M58" i="14"/>
  <c r="M59" i="14"/>
  <c r="M60" i="14"/>
  <c r="M61" i="14"/>
  <c r="M62" i="14"/>
  <c r="M63" i="14"/>
  <c r="M64" i="14"/>
  <c r="M65" i="14"/>
  <c r="M66" i="14"/>
  <c r="M67" i="14"/>
  <c r="M68" i="14"/>
  <c r="M69" i="14"/>
  <c r="M70" i="14"/>
  <c r="M71" i="14"/>
  <c r="M72" i="14"/>
  <c r="M73" i="14"/>
  <c r="M74" i="14"/>
  <c r="M75" i="14"/>
  <c r="M76" i="14"/>
  <c r="M77" i="14"/>
  <c r="M78" i="14"/>
  <c r="M79" i="14"/>
  <c r="M80" i="14"/>
  <c r="M81" i="14"/>
  <c r="M82" i="14"/>
  <c r="M83" i="14"/>
  <c r="M84" i="14"/>
  <c r="M85" i="14"/>
  <c r="M86" i="14"/>
  <c r="M87" i="14"/>
  <c r="M88" i="14"/>
  <c r="M89" i="14"/>
  <c r="M90" i="14"/>
  <c r="M91" i="14"/>
  <c r="M92" i="14"/>
  <c r="M93" i="14"/>
  <c r="M94" i="14"/>
  <c r="M95" i="14"/>
  <c r="M96" i="14"/>
  <c r="M97" i="14"/>
  <c r="M98" i="14"/>
  <c r="M99" i="14"/>
  <c r="M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113" i="14"/>
  <c r="M114" i="14"/>
  <c r="M115" i="14"/>
  <c r="M116" i="14"/>
  <c r="M117" i="14"/>
  <c r="M118" i="14"/>
  <c r="M119" i="14"/>
  <c r="M120" i="14"/>
  <c r="M121" i="14"/>
  <c r="M122" i="14"/>
  <c r="M123" i="14"/>
  <c r="M124" i="14"/>
  <c r="M125" i="14"/>
  <c r="M126" i="14"/>
  <c r="M127" i="14"/>
  <c r="M128" i="14"/>
  <c r="M129" i="14"/>
  <c r="M130" i="14"/>
  <c r="M131" i="14"/>
  <c r="M132" i="14"/>
  <c r="M133" i="14"/>
  <c r="M134" i="14"/>
  <c r="M135" i="14"/>
  <c r="M136" i="14"/>
  <c r="M2" i="14"/>
  <c r="C35" i="14"/>
  <c r="C27" i="14"/>
  <c r="D4" i="14"/>
  <c r="C32" i="14"/>
  <c r="C30" i="14"/>
  <c r="D5" i="14"/>
  <c r="C34" i="14"/>
  <c r="C28" i="14"/>
  <c r="C36" i="14"/>
  <c r="C29" i="14"/>
  <c r="C31" i="14"/>
  <c r="D27" i="14"/>
  <c r="C33" i="14"/>
  <c r="E27" i="14" l="1"/>
  <c r="E28" i="14" s="1"/>
  <c r="E29" i="14" s="1"/>
  <c r="E30" i="14" s="1"/>
  <c r="E31" i="14" s="1"/>
  <c r="E32" i="14" s="1"/>
  <c r="E33" i="14" s="1"/>
  <c r="E34" i="14" s="1"/>
  <c r="E35" i="14" s="1"/>
  <c r="E36" i="14" s="1"/>
  <c r="C37" i="14"/>
  <c r="C51" i="14"/>
  <c r="D51" i="14" s="1"/>
  <c r="C47" i="14"/>
  <c r="D47" i="14" s="1"/>
  <c r="C43" i="14"/>
  <c r="D43" i="14" s="1"/>
  <c r="C48" i="14"/>
  <c r="D48" i="14" s="1"/>
  <c r="C44" i="14"/>
  <c r="D44" i="14" s="1"/>
  <c r="C50" i="14"/>
  <c r="D50" i="14" s="1"/>
  <c r="C46" i="14"/>
  <c r="D46" i="14" s="1"/>
  <c r="C42" i="14"/>
  <c r="D42" i="14" s="1"/>
  <c r="C49" i="14"/>
  <c r="D49" i="14" s="1"/>
  <c r="C45" i="14"/>
  <c r="D45" i="14" s="1"/>
  <c r="H22" i="13"/>
  <c r="H72" i="12"/>
  <c r="G32" i="12"/>
  <c r="G31" i="12"/>
  <c r="G30" i="12"/>
  <c r="G5" i="12"/>
  <c r="G4" i="12"/>
  <c r="G3" i="12"/>
  <c r="C86" i="11" a="1"/>
  <c r="C86" i="11" s="1"/>
  <c r="B82" i="11"/>
  <c r="B81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O22" i="11"/>
  <c r="O23" i="11"/>
  <c r="O24" i="11"/>
  <c r="O25" i="11"/>
  <c r="O26" i="11"/>
  <c r="O27" i="11"/>
  <c r="O28" i="11"/>
  <c r="O29" i="11"/>
  <c r="O30" i="11"/>
  <c r="O31" i="11"/>
  <c r="O32" i="11"/>
  <c r="O33" i="11"/>
  <c r="O34" i="11"/>
  <c r="O35" i="11"/>
  <c r="O36" i="11"/>
  <c r="O37" i="11"/>
  <c r="O38" i="11"/>
  <c r="O39" i="11"/>
  <c r="O40" i="11"/>
  <c r="O41" i="11"/>
  <c r="O42" i="11"/>
  <c r="O43" i="11"/>
  <c r="O44" i="11"/>
  <c r="O45" i="11"/>
  <c r="O46" i="11"/>
  <c r="O47" i="11"/>
  <c r="O48" i="11"/>
  <c r="O49" i="11"/>
  <c r="O50" i="11"/>
  <c r="O51" i="11"/>
  <c r="O52" i="11"/>
  <c r="O53" i="11"/>
  <c r="O54" i="11"/>
  <c r="O55" i="11"/>
  <c r="O56" i="11"/>
  <c r="O57" i="11"/>
  <c r="O58" i="11"/>
  <c r="O59" i="11"/>
  <c r="O60" i="11"/>
  <c r="O61" i="11"/>
  <c r="O62" i="11"/>
  <c r="O63" i="11"/>
  <c r="O64" i="11"/>
  <c r="O65" i="11"/>
  <c r="O66" i="11"/>
  <c r="O67" i="11"/>
  <c r="O68" i="11"/>
  <c r="O69" i="11"/>
  <c r="O70" i="11"/>
  <c r="O71" i="11"/>
  <c r="O72" i="11"/>
  <c r="O73" i="11"/>
  <c r="O74" i="11"/>
  <c r="O75" i="11"/>
  <c r="O76" i="11"/>
  <c r="O77" i="11"/>
  <c r="O78" i="11"/>
  <c r="O79" i="11"/>
  <c r="O80" i="11"/>
  <c r="O81" i="11"/>
  <c r="O82" i="11"/>
  <c r="O83" i="11"/>
  <c r="O84" i="11"/>
  <c r="O85" i="11"/>
  <c r="O86" i="11"/>
  <c r="O87" i="11"/>
  <c r="O88" i="11"/>
  <c r="O89" i="11"/>
  <c r="O90" i="11"/>
  <c r="O91" i="11"/>
  <c r="O92" i="11"/>
  <c r="O93" i="11"/>
  <c r="O94" i="11"/>
  <c r="O95" i="11"/>
  <c r="O96" i="11"/>
  <c r="O97" i="11"/>
  <c r="O98" i="11"/>
  <c r="O99" i="11"/>
  <c r="O100" i="11"/>
  <c r="O101" i="11"/>
  <c r="O2" i="11"/>
  <c r="Z3" i="11"/>
  <c r="Z4" i="11"/>
  <c r="Z5" i="11"/>
  <c r="Z6" i="11"/>
  <c r="Z7" i="11"/>
  <c r="Z8" i="11"/>
  <c r="Z9" i="11"/>
  <c r="Z10" i="11"/>
  <c r="Z11" i="11"/>
  <c r="Z12" i="11"/>
  <c r="Z13" i="11"/>
  <c r="Z14" i="11"/>
  <c r="Z15" i="11"/>
  <c r="Z16" i="11"/>
  <c r="Z17" i="11"/>
  <c r="Z18" i="11"/>
  <c r="Z19" i="11"/>
  <c r="Z20" i="11"/>
  <c r="Z21" i="11"/>
  <c r="Z22" i="11"/>
  <c r="Z23" i="11"/>
  <c r="Z24" i="11"/>
  <c r="Z25" i="11"/>
  <c r="Z26" i="11"/>
  <c r="Z27" i="11"/>
  <c r="Z28" i="11"/>
  <c r="Z29" i="11"/>
  <c r="Z30" i="11"/>
  <c r="Z31" i="11"/>
  <c r="Z32" i="11"/>
  <c r="Z33" i="11"/>
  <c r="Z34" i="11"/>
  <c r="Z35" i="11"/>
  <c r="Z36" i="11"/>
  <c r="Z37" i="11"/>
  <c r="Z38" i="11"/>
  <c r="Z39" i="11"/>
  <c r="Z40" i="11"/>
  <c r="Z41" i="11"/>
  <c r="Z42" i="11"/>
  <c r="Z43" i="11"/>
  <c r="Z44" i="11"/>
  <c r="Z45" i="11"/>
  <c r="Z46" i="11"/>
  <c r="Z47" i="11"/>
  <c r="Z48" i="11"/>
  <c r="Z49" i="11"/>
  <c r="Z50" i="11"/>
  <c r="Z51" i="11"/>
  <c r="Z52" i="11"/>
  <c r="Z53" i="11"/>
  <c r="Z54" i="11"/>
  <c r="Z55" i="11"/>
  <c r="Z56" i="11"/>
  <c r="Z57" i="11"/>
  <c r="Z58" i="11"/>
  <c r="Z59" i="11"/>
  <c r="Z60" i="11"/>
  <c r="Z61" i="11"/>
  <c r="Z62" i="11"/>
  <c r="Z63" i="11"/>
  <c r="Z64" i="11"/>
  <c r="Z65" i="11"/>
  <c r="Z66" i="11"/>
  <c r="Z67" i="11"/>
  <c r="Z68" i="11"/>
  <c r="Z69" i="11"/>
  <c r="Z70" i="11"/>
  <c r="Z71" i="11"/>
  <c r="Z72" i="11"/>
  <c r="Z73" i="11"/>
  <c r="Z74" i="11"/>
  <c r="Z75" i="11"/>
  <c r="Z76" i="11"/>
  <c r="Z77" i="11"/>
  <c r="Z78" i="11"/>
  <c r="Z79" i="11"/>
  <c r="Z80" i="11"/>
  <c r="Z81" i="11"/>
  <c r="Z82" i="11"/>
  <c r="Z83" i="11"/>
  <c r="Z84" i="11"/>
  <c r="Z85" i="11"/>
  <c r="Z86" i="11"/>
  <c r="Z87" i="11"/>
  <c r="Z88" i="11"/>
  <c r="Z89" i="11"/>
  <c r="Z90" i="11"/>
  <c r="Z91" i="11"/>
  <c r="Z92" i="11"/>
  <c r="Z93" i="11"/>
  <c r="Z94" i="11"/>
  <c r="Z95" i="11"/>
  <c r="Z96" i="11"/>
  <c r="Z97" i="11"/>
  <c r="Z98" i="11"/>
  <c r="Z99" i="11"/>
  <c r="Z100" i="11"/>
  <c r="Z101" i="11"/>
  <c r="Z2" i="11"/>
  <c r="W3" i="11"/>
  <c r="W4" i="11"/>
  <c r="W5" i="11"/>
  <c r="W6" i="11"/>
  <c r="W7" i="11"/>
  <c r="W8" i="11"/>
  <c r="W9" i="11"/>
  <c r="W10" i="11"/>
  <c r="W11" i="11"/>
  <c r="W12" i="11"/>
  <c r="W13" i="11"/>
  <c r="W14" i="11"/>
  <c r="W15" i="11"/>
  <c r="W16" i="11"/>
  <c r="W17" i="11"/>
  <c r="W18" i="11"/>
  <c r="W19" i="11"/>
  <c r="W20" i="11"/>
  <c r="W21" i="11"/>
  <c r="W22" i="11"/>
  <c r="W23" i="11"/>
  <c r="W24" i="11"/>
  <c r="W25" i="11"/>
  <c r="W26" i="11"/>
  <c r="W27" i="11"/>
  <c r="W28" i="11"/>
  <c r="W29" i="11"/>
  <c r="W30" i="11"/>
  <c r="W31" i="11"/>
  <c r="W32" i="11"/>
  <c r="W33" i="11"/>
  <c r="W34" i="11"/>
  <c r="W35" i="11"/>
  <c r="W36" i="11"/>
  <c r="W37" i="11"/>
  <c r="W38" i="11"/>
  <c r="W39" i="11"/>
  <c r="W40" i="11"/>
  <c r="W41" i="11"/>
  <c r="W42" i="11"/>
  <c r="W43" i="11"/>
  <c r="W44" i="11"/>
  <c r="W45" i="11"/>
  <c r="W46" i="11"/>
  <c r="W47" i="11"/>
  <c r="W48" i="11"/>
  <c r="W49" i="11"/>
  <c r="W50" i="11"/>
  <c r="W51" i="11"/>
  <c r="W52" i="11"/>
  <c r="W53" i="11"/>
  <c r="W54" i="11"/>
  <c r="W55" i="11"/>
  <c r="W56" i="11"/>
  <c r="W57" i="11"/>
  <c r="W58" i="11"/>
  <c r="W59" i="11"/>
  <c r="W60" i="11"/>
  <c r="W61" i="11"/>
  <c r="W62" i="11"/>
  <c r="W63" i="11"/>
  <c r="W64" i="11"/>
  <c r="W65" i="11"/>
  <c r="W66" i="11"/>
  <c r="W67" i="11"/>
  <c r="W68" i="11"/>
  <c r="W69" i="11"/>
  <c r="W70" i="11"/>
  <c r="W71" i="11"/>
  <c r="W72" i="11"/>
  <c r="W73" i="11"/>
  <c r="W74" i="11"/>
  <c r="W75" i="11"/>
  <c r="W76" i="11"/>
  <c r="W77" i="11"/>
  <c r="W78" i="11"/>
  <c r="W79" i="11"/>
  <c r="W80" i="11"/>
  <c r="W81" i="11"/>
  <c r="W82" i="11"/>
  <c r="W83" i="11"/>
  <c r="W84" i="11"/>
  <c r="W85" i="11"/>
  <c r="W86" i="11"/>
  <c r="W87" i="11"/>
  <c r="W88" i="11"/>
  <c r="W89" i="11"/>
  <c r="W90" i="11"/>
  <c r="W91" i="11"/>
  <c r="W92" i="11"/>
  <c r="W93" i="11"/>
  <c r="W94" i="11"/>
  <c r="W95" i="11"/>
  <c r="W96" i="11"/>
  <c r="W97" i="11"/>
  <c r="W98" i="11"/>
  <c r="W99" i="11"/>
  <c r="W100" i="11"/>
  <c r="W101" i="11"/>
  <c r="W2" i="11"/>
  <c r="T3" i="11"/>
  <c r="T4" i="11"/>
  <c r="T5" i="11"/>
  <c r="T6" i="11"/>
  <c r="T7" i="11"/>
  <c r="T8" i="11"/>
  <c r="T9" i="11"/>
  <c r="T10" i="11"/>
  <c r="T11" i="11"/>
  <c r="T12" i="11"/>
  <c r="T13" i="11"/>
  <c r="T14" i="11"/>
  <c r="T15" i="11"/>
  <c r="T16" i="11"/>
  <c r="T17" i="11"/>
  <c r="T18" i="11"/>
  <c r="T19" i="11"/>
  <c r="T20" i="11"/>
  <c r="T21" i="11"/>
  <c r="T22" i="11"/>
  <c r="T23" i="11"/>
  <c r="T24" i="11"/>
  <c r="T25" i="11"/>
  <c r="T26" i="11"/>
  <c r="T27" i="11"/>
  <c r="T28" i="11"/>
  <c r="T29" i="11"/>
  <c r="T30" i="11"/>
  <c r="T31" i="11"/>
  <c r="T32" i="11"/>
  <c r="T33" i="11"/>
  <c r="T34" i="11"/>
  <c r="T35" i="11"/>
  <c r="T36" i="11"/>
  <c r="T37" i="11"/>
  <c r="T38" i="11"/>
  <c r="T39" i="11"/>
  <c r="T40" i="11"/>
  <c r="T41" i="11"/>
  <c r="T42" i="11"/>
  <c r="T43" i="11"/>
  <c r="T44" i="11"/>
  <c r="T45" i="11"/>
  <c r="T46" i="11"/>
  <c r="T47" i="11"/>
  <c r="T48" i="11"/>
  <c r="T49" i="11"/>
  <c r="T50" i="11"/>
  <c r="T51" i="11"/>
  <c r="T52" i="11"/>
  <c r="T53" i="11"/>
  <c r="T54" i="11"/>
  <c r="T55" i="11"/>
  <c r="T56" i="11"/>
  <c r="T57" i="11"/>
  <c r="T58" i="11"/>
  <c r="T59" i="11"/>
  <c r="T60" i="11"/>
  <c r="T61" i="11"/>
  <c r="T62" i="11"/>
  <c r="T63" i="11"/>
  <c r="T64" i="11"/>
  <c r="T65" i="11"/>
  <c r="T66" i="11"/>
  <c r="T67" i="11"/>
  <c r="T68" i="11"/>
  <c r="T69" i="11"/>
  <c r="T70" i="11"/>
  <c r="T71" i="11"/>
  <c r="T72" i="11"/>
  <c r="T73" i="11"/>
  <c r="T74" i="11"/>
  <c r="T75" i="11"/>
  <c r="T76" i="11"/>
  <c r="T77" i="11"/>
  <c r="T78" i="11"/>
  <c r="T79" i="11"/>
  <c r="T80" i="11"/>
  <c r="T81" i="11"/>
  <c r="T82" i="11"/>
  <c r="T83" i="11"/>
  <c r="T84" i="11"/>
  <c r="T85" i="11"/>
  <c r="T86" i="11"/>
  <c r="T87" i="11"/>
  <c r="T88" i="11"/>
  <c r="T89" i="11"/>
  <c r="T90" i="11"/>
  <c r="T91" i="11"/>
  <c r="T92" i="11"/>
  <c r="T93" i="11"/>
  <c r="T94" i="11"/>
  <c r="T95" i="11"/>
  <c r="T96" i="11"/>
  <c r="T97" i="11"/>
  <c r="T98" i="11"/>
  <c r="T99" i="11"/>
  <c r="T100" i="11"/>
  <c r="T101" i="11"/>
  <c r="T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L42" i="11"/>
  <c r="L43" i="11"/>
  <c r="L44" i="11"/>
  <c r="L45" i="11"/>
  <c r="L46" i="11"/>
  <c r="L47" i="11"/>
  <c r="L48" i="11"/>
  <c r="L49" i="11"/>
  <c r="L50" i="11"/>
  <c r="L51" i="11"/>
  <c r="L52" i="11"/>
  <c r="L53" i="11"/>
  <c r="L54" i="11"/>
  <c r="L55" i="11"/>
  <c r="L56" i="11"/>
  <c r="L57" i="11"/>
  <c r="L58" i="11"/>
  <c r="L59" i="11"/>
  <c r="L60" i="11"/>
  <c r="L61" i="11"/>
  <c r="L62" i="11"/>
  <c r="L63" i="11"/>
  <c r="L64" i="11"/>
  <c r="L65" i="11"/>
  <c r="L66" i="11"/>
  <c r="L67" i="11"/>
  <c r="L68" i="11"/>
  <c r="L69" i="11"/>
  <c r="L70" i="11"/>
  <c r="L71" i="11"/>
  <c r="L72" i="11"/>
  <c r="L73" i="11"/>
  <c r="L74" i="11"/>
  <c r="L75" i="11"/>
  <c r="L76" i="11"/>
  <c r="L77" i="11"/>
  <c r="L78" i="11"/>
  <c r="L79" i="11"/>
  <c r="L80" i="11"/>
  <c r="L81" i="11"/>
  <c r="L82" i="11"/>
  <c r="L83" i="11"/>
  <c r="L84" i="11"/>
  <c r="L85" i="11"/>
  <c r="L86" i="11"/>
  <c r="L87" i="11"/>
  <c r="L88" i="11"/>
  <c r="L89" i="11"/>
  <c r="L90" i="11"/>
  <c r="L91" i="11"/>
  <c r="L92" i="11"/>
  <c r="L93" i="11"/>
  <c r="L94" i="11"/>
  <c r="L95" i="11"/>
  <c r="L96" i="11"/>
  <c r="L97" i="11"/>
  <c r="L98" i="11"/>
  <c r="L99" i="11"/>
  <c r="L100" i="11"/>
  <c r="L101" i="11"/>
  <c r="L2" i="11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J51" i="11"/>
  <c r="J52" i="11"/>
  <c r="J53" i="11"/>
  <c r="J54" i="11"/>
  <c r="J55" i="11"/>
  <c r="J56" i="11"/>
  <c r="J57" i="11"/>
  <c r="J58" i="11"/>
  <c r="J59" i="11"/>
  <c r="J60" i="11"/>
  <c r="J61" i="11"/>
  <c r="J62" i="11"/>
  <c r="J63" i="11"/>
  <c r="J64" i="11"/>
  <c r="J65" i="11"/>
  <c r="J66" i="11"/>
  <c r="J67" i="11"/>
  <c r="J68" i="11"/>
  <c r="J69" i="11"/>
  <c r="J70" i="11"/>
  <c r="J71" i="11"/>
  <c r="J72" i="11"/>
  <c r="J73" i="11"/>
  <c r="J74" i="11"/>
  <c r="J75" i="11"/>
  <c r="J76" i="11"/>
  <c r="J77" i="11"/>
  <c r="J78" i="11"/>
  <c r="J79" i="11"/>
  <c r="J80" i="11"/>
  <c r="J81" i="11"/>
  <c r="J82" i="11"/>
  <c r="J83" i="11"/>
  <c r="J84" i="11"/>
  <c r="J85" i="11"/>
  <c r="J86" i="11"/>
  <c r="J87" i="11"/>
  <c r="J88" i="11"/>
  <c r="J89" i="11"/>
  <c r="J90" i="11"/>
  <c r="J91" i="11"/>
  <c r="J92" i="11"/>
  <c r="J93" i="11"/>
  <c r="J94" i="11"/>
  <c r="J95" i="11"/>
  <c r="J96" i="11"/>
  <c r="J97" i="11"/>
  <c r="J98" i="11"/>
  <c r="J99" i="11"/>
  <c r="J100" i="11"/>
  <c r="J101" i="11"/>
  <c r="J2" i="11"/>
  <c r="E77" i="10"/>
  <c r="E72" i="10"/>
  <c r="E73" i="10" s="1"/>
  <c r="E68" i="10"/>
  <c r="F63" i="10"/>
  <c r="E59" i="10"/>
  <c r="E54" i="10"/>
  <c r="E55" i="10" s="1"/>
  <c r="E52" i="10"/>
  <c r="E76" i="10" s="1"/>
  <c r="C48" i="10"/>
  <c r="C47" i="10"/>
  <c r="H72" i="9"/>
  <c r="H71" i="9"/>
  <c r="H70" i="9"/>
  <c r="H69" i="9"/>
  <c r="H68" i="9"/>
  <c r="G72" i="9"/>
  <c r="G71" i="9"/>
  <c r="G70" i="9"/>
  <c r="G69" i="9"/>
  <c r="G68" i="9"/>
  <c r="F72" i="9"/>
  <c r="F71" i="9"/>
  <c r="F70" i="9"/>
  <c r="F69" i="9"/>
  <c r="F68" i="9"/>
  <c r="H62" i="9"/>
  <c r="H61" i="9"/>
  <c r="H63" i="9" s="1"/>
  <c r="H60" i="9"/>
  <c r="H59" i="9"/>
  <c r="G62" i="9"/>
  <c r="G61" i="9"/>
  <c r="G63" i="9" s="1"/>
  <c r="G60" i="9"/>
  <c r="G59" i="9"/>
  <c r="F62" i="9"/>
  <c r="F61" i="9"/>
  <c r="F63" i="9" s="1"/>
  <c r="F60" i="9"/>
  <c r="F59" i="9"/>
  <c r="E153" i="8"/>
  <c r="E148" i="8"/>
  <c r="E143" i="8"/>
  <c r="E141" i="8"/>
  <c r="D104" i="8"/>
  <c r="D106" i="8" s="1"/>
  <c r="E36" i="7"/>
  <c r="E35" i="7"/>
  <c r="D36" i="7"/>
  <c r="D35" i="7"/>
  <c r="E30" i="7"/>
  <c r="E29" i="7"/>
  <c r="E31" i="7" s="1"/>
  <c r="D30" i="7"/>
  <c r="D31" i="7" s="1"/>
  <c r="D29" i="7"/>
  <c r="E27" i="7"/>
  <c r="D27" i="7"/>
  <c r="E21" i="7"/>
  <c r="E19" i="7"/>
  <c r="D19" i="7"/>
  <c r="D21" i="7" s="1"/>
  <c r="D149" i="6"/>
  <c r="D148" i="6"/>
  <c r="D147" i="6"/>
  <c r="C139" i="6"/>
  <c r="F134" i="6"/>
  <c r="C138" i="6"/>
  <c r="C129" i="6"/>
  <c r="C128" i="6"/>
  <c r="D84" i="6" a="1"/>
  <c r="D84" i="6" s="1"/>
  <c r="I77" i="6"/>
  <c r="I76" i="6"/>
  <c r="F78" i="5"/>
  <c r="F77" i="5"/>
  <c r="D73" i="11"/>
  <c r="D27" i="11"/>
  <c r="B94" i="8"/>
  <c r="D39" i="11"/>
  <c r="B97" i="8"/>
  <c r="D24" i="11"/>
  <c r="D12" i="11"/>
  <c r="D51" i="11"/>
  <c r="B92" i="8"/>
  <c r="D49" i="11"/>
  <c r="D23" i="11"/>
  <c r="D30" i="11"/>
  <c r="B93" i="8"/>
  <c r="D14" i="11"/>
  <c r="D42" i="11"/>
  <c r="D50" i="11"/>
  <c r="D41" i="11"/>
  <c r="D13" i="11"/>
  <c r="D76" i="11"/>
  <c r="D74" i="11"/>
  <c r="D38" i="11"/>
  <c r="D28" i="11"/>
  <c r="F80" i="5"/>
  <c r="F76" i="5"/>
  <c r="D15" i="11"/>
  <c r="D26" i="11"/>
  <c r="D28" i="14"/>
  <c r="F81" i="5"/>
  <c r="D31" i="11"/>
  <c r="B98" i="8"/>
  <c r="D52" i="11"/>
  <c r="D16" i="11"/>
  <c r="D37" i="11"/>
  <c r="D48" i="11"/>
  <c r="D75" i="11"/>
  <c r="D29" i="11"/>
  <c r="B96" i="8"/>
  <c r="D4" i="11"/>
  <c r="D25" i="11"/>
  <c r="D40" i="11"/>
  <c r="B95" i="8"/>
  <c r="D5" i="11"/>
  <c r="E78" i="10" l="1"/>
  <c r="E70" i="10"/>
  <c r="E75" i="10"/>
  <c r="E71" i="10"/>
  <c r="F64" i="10"/>
  <c r="G34" i="12"/>
  <c r="G35" i="12" s="1"/>
  <c r="G38" i="12" s="1"/>
  <c r="G39" i="12" s="1"/>
  <c r="G7" i="12"/>
  <c r="G8" i="12" s="1"/>
  <c r="G11" i="12" s="1"/>
  <c r="G12" i="12" s="1"/>
  <c r="C92" i="11"/>
  <c r="C88" i="11"/>
  <c r="C89" i="11"/>
  <c r="C91" i="11"/>
  <c r="C87" i="11"/>
  <c r="C90" i="11"/>
  <c r="B99" i="8"/>
  <c r="C130" i="6"/>
  <c r="D151" i="6"/>
  <c r="D152" i="6" s="1"/>
  <c r="D155" i="6" s="1"/>
  <c r="D156" i="6" s="1"/>
  <c r="D91" i="6"/>
  <c r="D87" i="6"/>
  <c r="D90" i="6"/>
  <c r="D86" i="6"/>
  <c r="D89" i="6"/>
  <c r="D85" i="6"/>
  <c r="D88" i="6"/>
  <c r="G52" i="2"/>
  <c r="G51" i="2"/>
  <c r="G50" i="2"/>
  <c r="G49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10" i="2"/>
  <c r="E54" i="4"/>
  <c r="D54" i="4"/>
  <c r="C54" i="4"/>
  <c r="E47" i="4"/>
  <c r="E49" i="4" s="1"/>
  <c r="D47" i="4"/>
  <c r="D49" i="4" s="1"/>
  <c r="C47" i="4"/>
  <c r="C49" i="4" s="1"/>
  <c r="M34" i="4"/>
  <c r="M33" i="4"/>
  <c r="D35" i="4"/>
  <c r="D31" i="4"/>
  <c r="D33" i="4" s="1"/>
  <c r="F78" i="1"/>
  <c r="D78" i="1"/>
  <c r="F49" i="1"/>
  <c r="F48" i="1"/>
  <c r="D49" i="1"/>
  <c r="D48" i="1"/>
  <c r="D51" i="1" s="1"/>
  <c r="F41" i="1"/>
  <c r="D41" i="1"/>
  <c r="F37" i="1"/>
  <c r="D37" i="1"/>
  <c r="F31" i="1"/>
  <c r="D31" i="1"/>
  <c r="F26" i="1"/>
  <c r="D26" i="1"/>
  <c r="F24" i="1"/>
  <c r="D24" i="1"/>
  <c r="H50" i="2"/>
  <c r="H49" i="2"/>
  <c r="D29" i="14"/>
  <c r="H52" i="2"/>
  <c r="H51" i="2"/>
  <c r="D29" i="1" l="1"/>
  <c r="C55" i="1" s="1"/>
  <c r="D55" i="1" s="1"/>
  <c r="F51" i="1"/>
  <c r="F29" i="1"/>
  <c r="E63" i="1" s="1"/>
  <c r="F63" i="1" s="1"/>
  <c r="C67" i="1"/>
  <c r="D67" i="1" s="1"/>
  <c r="C63" i="1"/>
  <c r="D63" i="1" s="1"/>
  <c r="C62" i="1"/>
  <c r="D62" i="1" s="1"/>
  <c r="C58" i="1"/>
  <c r="D58" i="1" s="1"/>
  <c r="C65" i="1"/>
  <c r="D65" i="1" s="1"/>
  <c r="C61" i="1"/>
  <c r="D61" i="1" s="1"/>
  <c r="C57" i="1"/>
  <c r="D57" i="1" s="1"/>
  <c r="C56" i="1"/>
  <c r="D56" i="1" s="1"/>
  <c r="C60" i="1"/>
  <c r="D60" i="1" s="1"/>
  <c r="C59" i="1"/>
  <c r="D59" i="1" s="1"/>
  <c r="E59" i="1"/>
  <c r="F59" i="1" s="1"/>
  <c r="E55" i="1"/>
  <c r="F55" i="1" s="1"/>
  <c r="E62" i="1"/>
  <c r="F62" i="1" s="1"/>
  <c r="E54" i="1"/>
  <c r="F54" i="1" s="1"/>
  <c r="E65" i="1"/>
  <c r="F65" i="1" s="1"/>
  <c r="E61" i="1"/>
  <c r="F61" i="1" s="1"/>
  <c r="E64" i="1"/>
  <c r="F64" i="1" s="1"/>
  <c r="E60" i="1"/>
  <c r="F60" i="1" s="1"/>
  <c r="E56" i="1"/>
  <c r="F56" i="1" s="1"/>
  <c r="H53" i="2"/>
  <c r="H6" i="4"/>
  <c r="I6" i="4" s="1"/>
  <c r="H10" i="4"/>
  <c r="I10" i="4" s="1"/>
  <c r="H14" i="4"/>
  <c r="I14" i="4" s="1"/>
  <c r="H18" i="4"/>
  <c r="I18" i="4" s="1"/>
  <c r="H22" i="4"/>
  <c r="I22" i="4" s="1"/>
  <c r="H26" i="4"/>
  <c r="I26" i="4" s="1"/>
  <c r="H7" i="4"/>
  <c r="I7" i="4" s="1"/>
  <c r="H11" i="4"/>
  <c r="I11" i="4" s="1"/>
  <c r="H15" i="4"/>
  <c r="I15" i="4" s="1"/>
  <c r="H19" i="4"/>
  <c r="I19" i="4" s="1"/>
  <c r="H23" i="4"/>
  <c r="I23" i="4" s="1"/>
  <c r="H27" i="4"/>
  <c r="I27" i="4" s="1"/>
  <c r="H8" i="4"/>
  <c r="I8" i="4" s="1"/>
  <c r="H12" i="4"/>
  <c r="I12" i="4" s="1"/>
  <c r="H16" i="4"/>
  <c r="I16" i="4" s="1"/>
  <c r="H20" i="4"/>
  <c r="I20" i="4" s="1"/>
  <c r="H24" i="4"/>
  <c r="I24" i="4" s="1"/>
  <c r="H28" i="4"/>
  <c r="I28" i="4" s="1"/>
  <c r="H5" i="4"/>
  <c r="I5" i="4" s="1"/>
  <c r="H9" i="4"/>
  <c r="I9" i="4" s="1"/>
  <c r="H13" i="4"/>
  <c r="I13" i="4" s="1"/>
  <c r="H17" i="4"/>
  <c r="I17" i="4" s="1"/>
  <c r="H21" i="4"/>
  <c r="I21" i="4" s="1"/>
  <c r="H25" i="4"/>
  <c r="I25" i="4" s="1"/>
  <c r="H29" i="4"/>
  <c r="I29" i="4" s="1"/>
  <c r="D30" i="14"/>
  <c r="C66" i="1" l="1"/>
  <c r="D66" i="1" s="1"/>
  <c r="D70" i="1" s="1"/>
  <c r="D72" i="1" s="1"/>
  <c r="D75" i="1" s="1"/>
  <c r="D82" i="1" s="1"/>
  <c r="C64" i="1"/>
  <c r="D64" i="1" s="1"/>
  <c r="C54" i="1"/>
  <c r="D54" i="1" s="1"/>
  <c r="E57" i="1"/>
  <c r="F57" i="1" s="1"/>
  <c r="E58" i="1"/>
  <c r="F58" i="1" s="1"/>
  <c r="I31" i="4"/>
  <c r="I33" i="4" s="1"/>
  <c r="I36" i="4" s="1"/>
  <c r="D31" i="14"/>
  <c r="F70" i="1" l="1"/>
  <c r="F72" i="1" s="1"/>
  <c r="F75" i="1" s="1"/>
  <c r="F82" i="1" s="1"/>
  <c r="E44" i="4"/>
  <c r="C43" i="4"/>
  <c r="C44" i="4"/>
  <c r="D43" i="4"/>
  <c r="E43" i="4"/>
  <c r="D44" i="4"/>
  <c r="D32" i="14"/>
  <c r="D37" i="3" l="1"/>
  <c r="D36" i="3"/>
  <c r="D35" i="3"/>
  <c r="D34" i="3"/>
  <c r="D33" i="3"/>
  <c r="D32" i="3"/>
  <c r="D31" i="3"/>
  <c r="D30" i="3"/>
  <c r="D29" i="3"/>
  <c r="D28" i="3"/>
  <c r="C37" i="3"/>
  <c r="C36" i="3"/>
  <c r="C35" i="3"/>
  <c r="C34" i="3"/>
  <c r="C33" i="3"/>
  <c r="C32" i="3"/>
  <c r="C31" i="3"/>
  <c r="C30" i="3"/>
  <c r="C29" i="3"/>
  <c r="C28" i="3"/>
  <c r="D33" i="14"/>
  <c r="M67" i="3" l="1"/>
  <c r="P43" i="3"/>
  <c r="M28" i="3"/>
  <c r="C39" i="3"/>
  <c r="C40" i="3" s="1"/>
  <c r="M31" i="3" s="1"/>
  <c r="M33" i="3"/>
  <c r="M37" i="3"/>
  <c r="M35" i="3"/>
  <c r="M32" i="3"/>
  <c r="M36" i="3"/>
  <c r="M29" i="3"/>
  <c r="M30" i="3"/>
  <c r="M34" i="3"/>
  <c r="D39" i="3"/>
  <c r="D40" i="3" s="1"/>
  <c r="N33" i="3" s="1"/>
  <c r="N54" i="3" s="1"/>
  <c r="D92" i="6"/>
  <c r="D34" i="14"/>
  <c r="N31" i="3" l="1"/>
  <c r="N52" i="3" s="1"/>
  <c r="N28" i="3"/>
  <c r="N49" i="3" s="1"/>
  <c r="N34" i="3"/>
  <c r="N55" i="3" s="1"/>
  <c r="N37" i="3"/>
  <c r="N58" i="3" s="1"/>
  <c r="N36" i="3"/>
  <c r="N57" i="3" s="1"/>
  <c r="N30" i="3"/>
  <c r="N51" i="3" s="1"/>
  <c r="N29" i="3"/>
  <c r="N50" i="3" s="1"/>
  <c r="N60" i="3" s="1"/>
  <c r="N61" i="3" s="1"/>
  <c r="N62" i="3" s="1"/>
  <c r="N32" i="3"/>
  <c r="N53" i="3" s="1"/>
  <c r="P28" i="3"/>
  <c r="M49" i="3"/>
  <c r="M52" i="3"/>
  <c r="P31" i="3"/>
  <c r="M55" i="3"/>
  <c r="M58" i="3"/>
  <c r="P30" i="3"/>
  <c r="M51" i="3"/>
  <c r="M57" i="3"/>
  <c r="P36" i="3"/>
  <c r="M56" i="3"/>
  <c r="P35" i="3"/>
  <c r="M54" i="3"/>
  <c r="P33" i="3"/>
  <c r="M50" i="3"/>
  <c r="P29" i="3"/>
  <c r="M53" i="3"/>
  <c r="N35" i="3"/>
  <c r="N56" i="3" s="1"/>
  <c r="D97" i="6"/>
  <c r="D98" i="6"/>
  <c r="D99" i="6"/>
  <c r="D100" i="6"/>
  <c r="D101" i="6"/>
  <c r="D102" i="6"/>
  <c r="D35" i="14"/>
  <c r="P34" i="3" l="1"/>
  <c r="P32" i="3"/>
  <c r="P37" i="3"/>
  <c r="M60" i="3"/>
  <c r="M61" i="3" s="1"/>
  <c r="M62" i="3" s="1"/>
  <c r="M64" i="3" s="1"/>
  <c r="P39" i="3"/>
  <c r="P40" i="3" s="1"/>
  <c r="D104" i="6"/>
  <c r="D36" i="14"/>
</calcChain>
</file>

<file path=xl/sharedStrings.xml><?xml version="1.0" encoding="utf-8"?>
<sst xmlns="http://schemas.openxmlformats.org/spreadsheetml/2006/main" count="666" uniqueCount="438">
  <si>
    <t>La Oficina de Visitantes de Hawaii reúne datos sobre la cantidad de personas que visitan las islas.</t>
  </si>
  <si>
    <t>Los datos siguientes son una muestra representativa de visitantes (en miles) durante varios días de noviembre de 1994:</t>
  </si>
  <si>
    <t>De Asia y el Pacífico</t>
  </si>
  <si>
    <t>Del resto de América, Canadá y Europa</t>
  </si>
  <si>
    <t>Introducir los valores en las celdas amarillas</t>
  </si>
  <si>
    <t>a) Calcule la media y la mediana de la cantidad de visitantes de ambas fuentes de procedencias.</t>
  </si>
  <si>
    <t>Utilizar la función suma() para sumar los valores</t>
  </si>
  <si>
    <t>Utilizar la función contar() para calcular n</t>
  </si>
  <si>
    <r>
      <rPr>
        <sz val="11"/>
        <color theme="1"/>
        <rFont val="Arial"/>
        <family val="2"/>
      </rPr>
      <t>Σ</t>
    </r>
    <r>
      <rPr>
        <sz val="11"/>
        <color theme="1"/>
        <rFont val="Calibri"/>
        <family val="2"/>
      </rPr>
      <t>x</t>
    </r>
    <r>
      <rPr>
        <vertAlign val="subscript"/>
        <sz val="11"/>
        <color theme="1"/>
        <rFont val="Calibri"/>
        <family val="2"/>
      </rPr>
      <t xml:space="preserve">i </t>
    </r>
    <r>
      <rPr>
        <sz val="11"/>
        <color theme="1"/>
        <rFont val="Calibri"/>
        <family val="2"/>
      </rPr>
      <t>=</t>
    </r>
  </si>
  <si>
    <t>n =</t>
  </si>
  <si>
    <t>Media =</t>
  </si>
  <si>
    <t>Dividir</t>
  </si>
  <si>
    <t>Comprobar resultados con la función promedio()</t>
  </si>
  <si>
    <t>Ordenarlos de menor a mayor para facilitar el cálculo de la mediana (Datos / Ordenar)</t>
  </si>
  <si>
    <t>Con los datos ordenados, identificar la mediana.</t>
  </si>
  <si>
    <t>Recordar que si n es par, la mediana es el promedio de los 2 valores centrales.</t>
  </si>
  <si>
    <t>Mediana =</t>
  </si>
  <si>
    <t>Comprobar resultados con la función mediana()</t>
  </si>
  <si>
    <t>b) Calcule el rango, la desviación estándar y el coeficiente de variación de los visitantes de ambas fuentes de procedencias.</t>
  </si>
  <si>
    <t>Máximo =</t>
  </si>
  <si>
    <t>Mínimo =</t>
  </si>
  <si>
    <t>Utilizar funciones max() y min()</t>
  </si>
  <si>
    <t>Restar para obtener el rango</t>
  </si>
  <si>
    <t>Rango =</t>
  </si>
  <si>
    <r>
      <t>(x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 xml:space="preserve"> - media)</t>
    </r>
  </si>
  <si>
    <r>
      <t>(x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 xml:space="preserve"> - media)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</si>
  <si>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Para calcular el desvío muestral, a cada valor de x restarle la media.</t>
  </si>
  <si>
    <t>Luego, elevar al cuadrado.</t>
  </si>
  <si>
    <t>Sumar los valores con la función suma()</t>
  </si>
  <si>
    <t>Dividir por n-1</t>
  </si>
  <si>
    <t>Utilizar la función raiz() para calcular la raíz cuadrada</t>
  </si>
  <si>
    <t>Desvío Muestral =</t>
  </si>
  <si>
    <t>cv =</t>
  </si>
  <si>
    <t>c) ¿Qué comparaciones pueden hacerse entre las cantidades de visitantes de las dos fuentes de procedencias?</t>
  </si>
  <si>
    <t>Considere una muestra con los siguientes 25 valores</t>
  </si>
  <si>
    <t>a) Calcule la media, varianza y el desvío estándar de la muestra</t>
  </si>
  <si>
    <r>
      <t>x</t>
    </r>
    <r>
      <rPr>
        <b/>
        <vertAlign val="subscript"/>
        <sz val="11"/>
        <color theme="1"/>
        <rFont val="Calibri"/>
        <family val="2"/>
        <scheme val="minor"/>
      </rPr>
      <t>i</t>
    </r>
  </si>
  <si>
    <t>Suma =</t>
  </si>
  <si>
    <t>Dividir por n</t>
  </si>
  <si>
    <t>Para calcular la varianza, a cada valor de x restarle la media.</t>
  </si>
  <si>
    <t>Dividir por n - 1</t>
  </si>
  <si>
    <t>Varianza =</t>
  </si>
  <si>
    <t>Desvío =</t>
  </si>
  <si>
    <t>Comprobar los resultados con las funciones var() y desvest()</t>
  </si>
  <si>
    <t>Comprobar los resultados con la función desvest()</t>
  </si>
  <si>
    <t>b) Cuente la cantidad de observaciones que caen en los intervalos media±s, media±2s, y media±3s.</t>
  </si>
  <si>
    <t>Exprese estas cantidades como un porcentaje del número total de mediciones.</t>
  </si>
  <si>
    <t>Cantidad de Observaciones</t>
  </si>
  <si>
    <t>Se pueden ordenar de menor a mayor los datos y utilizar la función contar()</t>
  </si>
  <si>
    <t>En porcentaje</t>
  </si>
  <si>
    <t>c) Compare los porcentajes hallados en el inciso b. con los porcentajes dados por la regla  de Chebyshev.</t>
  </si>
  <si>
    <t>k =</t>
  </si>
  <si>
    <r>
      <t>P(|X-</t>
    </r>
    <r>
      <rPr>
        <b/>
        <sz val="11"/>
        <color theme="1"/>
        <rFont val="Calibri"/>
        <family val="2"/>
      </rPr>
      <t>μ|&lt;ks) =</t>
    </r>
  </si>
  <si>
    <r>
      <t>Aplicar el Teorema de Chebyshev: 1 - 1/k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</si>
  <si>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 xml:space="preserve">A un grupo de 25 individuos se los consultó acerca del tipo de cerveza preferida. Las categorías utilizadas fueron: </t>
  </si>
  <si>
    <t>Individuo</t>
  </si>
  <si>
    <t>Cerveza artesanal</t>
  </si>
  <si>
    <t>Cerveza importada</t>
  </si>
  <si>
    <t>Cerveza Nacional en botella</t>
  </si>
  <si>
    <t>Cerveza Nacional en lata</t>
  </si>
  <si>
    <t>Categoría</t>
  </si>
  <si>
    <t>a) Realizar una tabla de frecuencias absolutas y relativas con las respuestas obtenidas, e interpretar la misma. ¿Cuántos individuos prefieren la cerveza importada?</t>
  </si>
  <si>
    <t>Tabla de Frecuencias Absolutas (Excel 2010)</t>
  </si>
  <si>
    <t>Utilizar la función buscarv() para completar las celdas E10-E34 con los siguientes parámetros:</t>
  </si>
  <si>
    <t>Valor_buscado: columna D</t>
  </si>
  <si>
    <t>Matriz_buscar_en: A4:B7</t>
  </si>
  <si>
    <t>Indicador_columnas: 2</t>
  </si>
  <si>
    <t>1. Insertar / Tabla Dinámica</t>
  </si>
  <si>
    <t>2. En "Tabla o Rango" seleccionar D9:E34</t>
  </si>
  <si>
    <t>3. Ubicar en Hoja de cálculo existente, celda G40</t>
  </si>
  <si>
    <t>4. En "Etiquetas de Fila" poner la variable Categoría</t>
  </si>
  <si>
    <t>5. En "Valores" poner la variable Xi</t>
  </si>
  <si>
    <t>5. En "Valores" / "Configuración de campo de valor" cambiar "suma" por "cuenta"</t>
  </si>
  <si>
    <t>Tabla de Frecuencias Relativas</t>
  </si>
  <si>
    <t>En base a la tabla de frecuencias absolutas, calcular los porcentajes.</t>
  </si>
  <si>
    <t>b) Construir un gráfico de barras que muestre las frecuencias absolutas y otro donde se muestren los porcentajes</t>
  </si>
  <si>
    <t>c) Construir un gráfico de sectores. (Muestre en el gráfico los niveles establecidos para la variable).</t>
  </si>
  <si>
    <t>Introducir los valores en la columna D</t>
  </si>
  <si>
    <t>A continuación, se muestran diez observaciones de dos variables:</t>
  </si>
  <si>
    <r>
      <t>y</t>
    </r>
    <r>
      <rPr>
        <b/>
        <vertAlign val="subscript"/>
        <sz val="11"/>
        <color theme="1"/>
        <rFont val="Calibri"/>
        <family val="2"/>
        <scheme val="minor"/>
      </rPr>
      <t>i</t>
    </r>
  </si>
  <si>
    <t>a) Trace un diagrama de dispersión con x en el eje horizontal. ¿Qué indica el diagrama acerca de la relación entre estas dos variables?</t>
  </si>
  <si>
    <t>b) Calcule e interprete la covarianza de la muestra de los datos.</t>
  </si>
  <si>
    <r>
      <t>(y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 xml:space="preserve"> - media)</t>
    </r>
  </si>
  <si>
    <r>
      <t>(x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 xml:space="preserve"> - media)(yi - media)</t>
    </r>
  </si>
  <si>
    <t>Covarianza =</t>
  </si>
  <si>
    <t>Dividir por n -1</t>
  </si>
  <si>
    <t>Comprobar utilizando la función covarianza.m()</t>
  </si>
  <si>
    <t>c) Calcule e interprete el coeficiente de correlación entre las variables.</t>
  </si>
  <si>
    <t>Es necesario calcular los desvíos</t>
  </si>
  <si>
    <r>
      <t>(y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 xml:space="preserve"> - media)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</si>
  <si>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Raiz</t>
  </si>
  <si>
    <t>Coeficiente de Correlación =</t>
  </si>
  <si>
    <t>Comprobar utilizando la función coef.de.correl()</t>
  </si>
  <si>
    <t>Ejercicio 20</t>
  </si>
  <si>
    <t>Ejercicio 16</t>
  </si>
  <si>
    <t>Ejercicio 17</t>
  </si>
  <si>
    <t>Ejercicio 18</t>
  </si>
  <si>
    <t>Ejercicio 19</t>
  </si>
  <si>
    <t>El jefe de personal de una empresa se encuentra analizando el cumplimiento del horario por parte de los empleados, y a tal efecto,</t>
  </si>
  <si>
    <t>registró la cantidad de llegadas tarde de cada operario durante el mes pasado y obtuvo los siguientes datos:</t>
  </si>
  <si>
    <t>Llegadas Tarde</t>
  </si>
  <si>
    <t>a) Indicar cual es la variable en estudio y clasificarla.</t>
  </si>
  <si>
    <t>b) Ordenar los datos anteriores en una distribución de frecuencias.</t>
  </si>
  <si>
    <t>4. En "Etiquetas de Fila" poner la variable Llegadas Tarde</t>
  </si>
  <si>
    <t>5. En "Valores" poner la variable Llegadas Tarde</t>
  </si>
  <si>
    <t xml:space="preserve">  ∙  exactamente 6 veces?</t>
  </si>
  <si>
    <t xml:space="preserve">  ∙  como máximo 5 veces?</t>
  </si>
  <si>
    <t xml:space="preserve">  ∙  como mínimo 2 veces?</t>
  </si>
  <si>
    <t xml:space="preserve">  ∙  exactamente 4 veces?</t>
  </si>
  <si>
    <t xml:space="preserve">  ∙  menos de 2 veces?</t>
  </si>
  <si>
    <t>c) Durante el mes pasado, ¿cuántos operarios llegaron tarde:</t>
  </si>
  <si>
    <t>d) Durante el mes pasado, ¿qué porcentaje de los operarios llegó tarde:</t>
  </si>
  <si>
    <t>e) ¿Cuál es la cantidad de llegadas tarde más frecuente?</t>
  </si>
  <si>
    <t>Responder en base a la Tabla de Frecuencias del inciso anterior.</t>
  </si>
  <si>
    <t>Ejercicio 21</t>
  </si>
  <si>
    <t>Con el objeto de determinar la cantidad de cajas que deben habilitarse en un supermercado, se decidió recolectar información acerca del tiempo requerido en minutos para atender a los clientes.</t>
  </si>
  <si>
    <t>La información obtenida a partir de una muestra de 60 clientes se presenta en la siguiente tabla:</t>
  </si>
  <si>
    <t>Tiempo</t>
  </si>
  <si>
    <t>a) Definir y clasificar la variable en estudio.</t>
  </si>
  <si>
    <t>b) Construir una distribución de frecuencias absolutas y relativas.</t>
  </si>
  <si>
    <t>2. En "Tabla o Rango" seleccionar C5:C45</t>
  </si>
  <si>
    <t>3. Ubicar en Hoja de cálculo existente, celda H56</t>
  </si>
  <si>
    <t>Valor Máximo</t>
  </si>
  <si>
    <t>Valor Mínimo</t>
  </si>
  <si>
    <t>Establecer las categorías de tal forma que incluyan los valores extremos</t>
  </si>
  <si>
    <t>Por ejemplo, vamos a establecer las categorías de 0 a 6, con un ancho de 1.</t>
  </si>
  <si>
    <t>Frecuencia</t>
  </si>
  <si>
    <t>y definir el ancho de las categorías. (Celdas C84:C90).</t>
  </si>
  <si>
    <t>Total</t>
  </si>
  <si>
    <t>Utilizar la función frecuencia() del siguiente modo:</t>
  </si>
  <si>
    <t>3. Presionar simultáneamente Ctrl + Mayúscula + Enter</t>
  </si>
  <si>
    <t>2. Escribir =FRECUENCIA(C6:C65,C84:C90)</t>
  </si>
  <si>
    <t>Intervalo</t>
  </si>
  <si>
    <t>(0,1]</t>
  </si>
  <si>
    <t>(1,2]</t>
  </si>
  <si>
    <t>(2,3]</t>
  </si>
  <si>
    <t>(3,4]</t>
  </si>
  <si>
    <t>(4,5]</t>
  </si>
  <si>
    <t>(5,6]</t>
  </si>
  <si>
    <t>Calcular las frecuencias en base a la tabla anterior</t>
  </si>
  <si>
    <t>c) Representar gráficamente las frecuencias anteriores mediante un histograma y un polígono de frecuencias.</t>
  </si>
  <si>
    <t>Calcular valores máximo y mínimo para establecer los límites de frecuencias</t>
  </si>
  <si>
    <t>Límites</t>
  </si>
  <si>
    <t>Frecuencia Relativa</t>
  </si>
  <si>
    <t>Realizar un gráfico de barras tomando como datos las celdas D85:D90 (Histograma)</t>
  </si>
  <si>
    <t>Para realizar el polígono de frecuencias, agregar una nueva serie tomando nuevamente como</t>
  </si>
  <si>
    <t>datos las celdas D85:D90. Sobre la nueva barra creada, cambiar tipo de gráfico a líneas.</t>
  </si>
  <si>
    <t>d) ¿Cuál es el tiempo promedio de atención?</t>
  </si>
  <si>
    <t>Promedio =</t>
  </si>
  <si>
    <t>e) El 50% de los casos con menores tiempos de atención, requieren ------- minutos como máximo para ser atendidos.</t>
  </si>
  <si>
    <t>f) El 40% de los casos con menores tiempos de atención, son atendidos en un tiempo mayor o igual a --------- minutos y menor o igual a -------- minutos</t>
  </si>
  <si>
    <t>Utilizar la función percentil()</t>
  </si>
  <si>
    <t>P50 =</t>
  </si>
  <si>
    <t>P40 =</t>
  </si>
  <si>
    <t>g) Realizar un box plot para analizar la forma de la distribución. Extraer conclusiones</t>
  </si>
  <si>
    <t>Mediana</t>
  </si>
  <si>
    <t>h) Determinar si el promedio es representativo del conjunto observado</t>
  </si>
  <si>
    <t>Existen herramientas online para generar fácilmente boxplots. Por ejemplo:</t>
  </si>
  <si>
    <t>http://www.alcula.com/es/calculadoras/estadistica/diagrama-de-caja/</t>
  </si>
  <si>
    <t>Ejercicio 22</t>
  </si>
  <si>
    <t>Una entidad financiera pone a disposición de sus clientes dos nuevos planes de inversión. La gerencia desea saber si se nota alguna preferencia por uno u otro tipo de inversión.</t>
  </si>
  <si>
    <t>Ante ello uno de los empleados encargado del estudio sugiere el cálculo de la media aritmética, la mediana, el modo y el rango.</t>
  </si>
  <si>
    <t>Los montos obtenidos durante 8 días se muestran a continuación y están expresados en miles de pesos.</t>
  </si>
  <si>
    <t>Plan A</t>
  </si>
  <si>
    <t>Plan B</t>
  </si>
  <si>
    <t>a) ¿Detecta el estudio alguna preferencia? Analizar la información que le brindan las medidas obtenidas.</t>
  </si>
  <si>
    <t>b) ¿Considera necesario el cálculo de alguna medida adicional? Justificar su respuesta.</t>
  </si>
  <si>
    <t>Ejercicio 23</t>
  </si>
  <si>
    <t>Los siguientes datos muestran la cantidad de clientes que ingresan a las cajas de seguridad en el horario bancario en 60 sucursales de un importante banco de la ciudad:</t>
  </si>
  <si>
    <t>Clientes</t>
  </si>
  <si>
    <t>b) Construir una distribución de frecuencias absolutas</t>
  </si>
  <si>
    <t>c) Construir una distribución de frecuencias relativas</t>
  </si>
  <si>
    <t>d) Determinar la cantidad promedio de personas ingresadas</t>
  </si>
  <si>
    <t>e) Realizar un gráfico apropiado para esta variable.</t>
  </si>
  <si>
    <t>f) En la mitad de los locales ingresan ------ clientes como máximo.</t>
  </si>
  <si>
    <t>Utilizar la función mediana()</t>
  </si>
  <si>
    <t>Comprobar con la función percentil()</t>
  </si>
  <si>
    <t>g) El 10% de los locales con mayor cantidad de clientes, tienen ----- como mínimo.</t>
  </si>
  <si>
    <t>Calcular el percentil adecuado</t>
  </si>
  <si>
    <t>h) ¿Cuál es la cantidad de clientes más habitual?</t>
  </si>
  <si>
    <t>Utilizar la función moda()</t>
  </si>
  <si>
    <t>Moda =</t>
  </si>
  <si>
    <t>i) ¿El promedio de la cantidad de clientes por local es representativo del conjunto de datos? Justificar.</t>
  </si>
  <si>
    <t>Utilizar la función promedio()</t>
  </si>
  <si>
    <t>media - k*s</t>
  </si>
  <si>
    <t>media + k*s</t>
  </si>
  <si>
    <t>k=1</t>
  </si>
  <si>
    <t>k=2</t>
  </si>
  <si>
    <t>k=3</t>
  </si>
  <si>
    <t>Etiquetas de fila</t>
  </si>
  <si>
    <t>Total general</t>
  </si>
  <si>
    <t>Cuenta de xi</t>
  </si>
  <si>
    <t>La variable es la cantidad de llegadas tarde que tuvo cada empleado. Es numérica discreta.</t>
  </si>
  <si>
    <t>Cuenta de Llegadas Tarde</t>
  </si>
  <si>
    <t>Rtas:</t>
  </si>
  <si>
    <t>La variable es el tiempo requerido para atender a un cliente. Es numérica contínua.</t>
  </si>
  <si>
    <t>1. Seleccionar las celdas D84:D91 (Una más que los límites)</t>
  </si>
  <si>
    <t>Valores menores o iguales a 0</t>
  </si>
  <si>
    <t>Mayor a 0 y menor o igual a 1</t>
  </si>
  <si>
    <t>Mayor a 1 y menor o igual a 2</t>
  </si>
  <si>
    <t>Mayor a 2 y menor o igual a 3</t>
  </si>
  <si>
    <t>Mayor a 3 y menor o igual a 4</t>
  </si>
  <si>
    <t>Mayor a 4 y menor o igual a 5</t>
  </si>
  <si>
    <t>Mayor a 5 y menor o igual a 6</t>
  </si>
  <si>
    <t>Mayor a 6</t>
  </si>
  <si>
    <t>Alternativa: usar algún graficador online como http://www.socscistatistics.com/descriptive/histograms/</t>
  </si>
  <si>
    <t>Para nombre del eje x tomar las celdas C97:C102.</t>
  </si>
  <si>
    <t>Notar que el graficador online, los intervalos se definen como</t>
  </si>
  <si>
    <t>[0,1), [1,2), [2,3), [3,4), [4,5) y [5,6)</t>
  </si>
  <si>
    <t>Calcular la Mediana y los extremos de la Caja</t>
  </si>
  <si>
    <t>Primer Cuartil (Q1)</t>
  </si>
  <si>
    <t>Tercel Cuartil (Q3)</t>
  </si>
  <si>
    <t>Calcular Rango Intercuartílico y multiplicarlo por 1,5</t>
  </si>
  <si>
    <t>RIC</t>
  </si>
  <si>
    <t>RIC*1.5</t>
  </si>
  <si>
    <t>Calcular máximo valor posible para bigote superior y mínimo valor posible para bigote inferior</t>
  </si>
  <si>
    <t>Q3 + RIC*1.5</t>
  </si>
  <si>
    <t>Q1 - RIC*1.5</t>
  </si>
  <si>
    <t>Ordenar de menor a mayor los datos y determinar el valor de los bigotes</t>
  </si>
  <si>
    <t>Bigote Superior</t>
  </si>
  <si>
    <t>Bigote Inferior</t>
  </si>
  <si>
    <t>Notar que la forma de cálculo de los bigotes puede ser diferente a la vista en clase. En el graficador online, el bigote superior es el máximo valor menor o igual a la Mediana+RIC*1,5. Por eso el bigote lo ubica en 2,5 en lugar de 3,1. El bigote inferior también lo calcula de diferente manera (mínimo valor mayor o igual a Mediana-RIC*1,5), pero los resultados no difieren.</t>
  </si>
  <si>
    <t>El estudio no detecta ninguna preferencia.</t>
  </si>
  <si>
    <t>Histograma</t>
  </si>
  <si>
    <t>Histogramas</t>
  </si>
  <si>
    <t>Boxplots</t>
  </si>
  <si>
    <t>Ahora se aprecian grandes diferencias entre los dos planes de inversión</t>
  </si>
  <si>
    <t>Cantidad de clientes que ingresan a las cajas de seguridad de un banco por día. Numérica Discreta.</t>
  </si>
  <si>
    <t>Cuenta de Clientes</t>
  </si>
  <si>
    <t>Boxplot</t>
  </si>
  <si>
    <t>P90 =</t>
  </si>
  <si>
    <t>Dieta_1</t>
  </si>
  <si>
    <t>Dieta_2</t>
  </si>
  <si>
    <t>Dieta_3</t>
  </si>
  <si>
    <t>Dieta 1</t>
  </si>
  <si>
    <t>Dieta 2</t>
  </si>
  <si>
    <t>Dieta 3</t>
  </si>
  <si>
    <t>La Dieta 2 es bimodal</t>
  </si>
  <si>
    <t>La Dieta 3 es asimétrica</t>
  </si>
  <si>
    <t>La única Dieta que podría aproximarse con una distribución normal es la 1.</t>
  </si>
  <si>
    <t>La Dieta 2 tiene una mayor dispersión (se ve por el alto de la caja).</t>
  </si>
  <si>
    <t>En el boxplot, no se observa el carácter bimodal de la Dieta 2 que sí se observaba en el histograma.</t>
  </si>
  <si>
    <t>La falta de simetría de la Dieta 3 se ve tanto en el boxplot como en el histograma.</t>
  </si>
  <si>
    <t>En la Dieta 1 hay un valor atípico por lo bajo. En la Dieta 3 hay varios valores atípicos por lo elevados.</t>
  </si>
  <si>
    <t>a)</t>
  </si>
  <si>
    <t>b)</t>
  </si>
  <si>
    <t>c)</t>
  </si>
  <si>
    <t>Las 3 dietas tienes valores máximos y mínimos similares, pero la Dieta 3 tiene valores medio y mediano muy por debajo que las demás dietas. Esto se debe a que la Dieta 3 está sesgada hacia los valores bajos, mientras que las otras dietas son simétricas. En la Dieta 3 la media es superior a la mediana por la presencia de valores atípicos.</t>
  </si>
  <si>
    <t>d)</t>
  </si>
  <si>
    <t>P10 =</t>
  </si>
  <si>
    <t>P25 =</t>
  </si>
  <si>
    <t>P75 =</t>
  </si>
  <si>
    <t>Los percentiles de la Dieta 3 son más bajos que los de las demás dietas, por el sesgo de la distribución. La Dieta 1 tiene los datos más concentrados en torno a la mediana que la Dieta 2 (mayores valores en P10 y P25, menores valores en P75 y P90).</t>
  </si>
  <si>
    <t>e)</t>
  </si>
  <si>
    <t>La Dieta 3 se descarta porque genera valores muy bajos de glucosa (casi el 75% tiene niveles inferiores a 80).</t>
  </si>
  <si>
    <t>En la Dieta 2, algo menos del 50% de la muestra se encuentra en el rango buscado de 80-110. Pero los dos picos de la distribución se producen fuera de los límites.</t>
  </si>
  <si>
    <t>En la Dieta 1, más del 50% de la muestra se encuentra en el rango buscado de 80 y 110. Esta parece ser la dieta más aconsejable.</t>
  </si>
  <si>
    <t>Ejercicio 24</t>
  </si>
  <si>
    <t>El estallido del transbordador espacial Challenger con sus astronautas, el 28 de Enero de 1986 a los 73 segundos del despegue, condujo a efectuar varios estudios para investigar los motivos</t>
  </si>
  <si>
    <t>de su fracaso al elevarse. La atención se dirigió rápidamente al comportamiento de los "anillos-O" (O-rings) del motor del cohete (juntas que deben asegurar la perfecta estanqueidad de los</t>
  </si>
  <si>
    <t>cohetes aceleradores). Los datos de las observaciones de la temperatura del anillo (en grados Fahrenheit, °F) para cada ignición de prueba o de despegue real del motor cohete, como el</t>
  </si>
  <si>
    <t>del transbordador (Presidential Commission on the Space Shuttle Challenger Accident, Vol. 1, 1986, pp. 129 􀀀 131) son los siguientes:</t>
  </si>
  <si>
    <t>Temperatura</t>
  </si>
  <si>
    <t>a) Hallar los valores mínimo y máximo.</t>
  </si>
  <si>
    <t>a) Calcular la media de los datos registrados. ¿Diere mucho la media recortada al 10%?</t>
  </si>
  <si>
    <t>Calcular a cuanto equivale el 10% de la muestra</t>
  </si>
  <si>
    <t>10% de n =</t>
  </si>
  <si>
    <t>Ordenar la muestra y calcular la media sin considerar el 5% de valores mínimos ni el 5% de valores máximos.</t>
  </si>
  <si>
    <t>Media Recortada =</t>
  </si>
  <si>
    <t>Se ignoraron 4 datos, dos a cada extremo. Las medias no difieren mucho.</t>
  </si>
  <si>
    <t>c) ¿Qué porcentaje de los valores cae entre 60 y 70?</t>
  </si>
  <si>
    <t>Utilizar la función contar() y dividir por n</t>
  </si>
  <si>
    <t>Valores entre 60 y 70 =</t>
  </si>
  <si>
    <t>En % =</t>
  </si>
  <si>
    <t>d) ¿Qué porcentaje de los valores cae en el intervalo (media - s; media + s)? ¿Cuál porcentaje en (media - 2s; media + 2s)?</t>
  </si>
  <si>
    <t>Utilizar la función desvest()</t>
  </si>
  <si>
    <t>media + s =</t>
  </si>
  <si>
    <t>media - s =</t>
  </si>
  <si>
    <t>Cantidad de valores en este intervalo =</t>
  </si>
  <si>
    <t>media - 2s =</t>
  </si>
  <si>
    <t>media + 3s =</t>
  </si>
  <si>
    <t>D_R</t>
  </si>
  <si>
    <t>EDAD</t>
  </si>
  <si>
    <t>SEXO</t>
  </si>
  <si>
    <t>CIVIL</t>
  </si>
  <si>
    <t>HS.TRA</t>
  </si>
  <si>
    <t>USTED</t>
  </si>
  <si>
    <t>ANTIGUE</t>
  </si>
  <si>
    <t>SUELDO</t>
  </si>
  <si>
    <t>LEER</t>
  </si>
  <si>
    <t>ESTUD</t>
  </si>
  <si>
    <t>FINAL</t>
  </si>
  <si>
    <t>VIVIEN</t>
  </si>
  <si>
    <t>HABIT</t>
  </si>
  <si>
    <t>ESUST</t>
  </si>
  <si>
    <t>TOTAL</t>
  </si>
  <si>
    <t>ACTI</t>
  </si>
  <si>
    <t>NOACTI</t>
  </si>
  <si>
    <t>Varón</t>
  </si>
  <si>
    <t>Mujer</t>
  </si>
  <si>
    <t>Sexo_Cat</t>
  </si>
  <si>
    <t>Cuenta de Sexo_Cat</t>
  </si>
  <si>
    <t>Civil_Cat</t>
  </si>
  <si>
    <t>Casado</t>
  </si>
  <si>
    <t>Separado/Divorciado</t>
  </si>
  <si>
    <t>Soltero</t>
  </si>
  <si>
    <t>Unido</t>
  </si>
  <si>
    <t>Viudo</t>
  </si>
  <si>
    <t>Cuenta de Civil_Cat</t>
  </si>
  <si>
    <t>En %</t>
  </si>
  <si>
    <t>Estud_Cat</t>
  </si>
  <si>
    <t>Comercial</t>
  </si>
  <si>
    <t>Nacional</t>
  </si>
  <si>
    <t>No sabe leer ni escribir</t>
  </si>
  <si>
    <t>Normal</t>
  </si>
  <si>
    <t>Otra enseñanza media</t>
  </si>
  <si>
    <t>Primario</t>
  </si>
  <si>
    <t>Superior</t>
  </si>
  <si>
    <t>Técnica</t>
  </si>
  <si>
    <t>Universitaria</t>
  </si>
  <si>
    <t>Cuenta de Estud_Cat</t>
  </si>
  <si>
    <t>Vivien_Cat</t>
  </si>
  <si>
    <t>Casa</t>
  </si>
  <si>
    <t>Construcción no destinada a fines habitacionales</t>
  </si>
  <si>
    <t>Departamento</t>
  </si>
  <si>
    <t>Inquilinato</t>
  </si>
  <si>
    <t>Vivienda en lugar de trabajo</t>
  </si>
  <si>
    <t>Vivienda en villa</t>
  </si>
  <si>
    <t>Cuenta de Vivien_Cat</t>
  </si>
  <si>
    <t>Esust_Cat</t>
  </si>
  <si>
    <t>Inquilino o arrendatario de la vivienda</t>
  </si>
  <si>
    <t>Ocupante con relación de dependencia</t>
  </si>
  <si>
    <t>Ocupante gratuito</t>
  </si>
  <si>
    <t>Propietario de la vivienda solamente</t>
  </si>
  <si>
    <t>Propietario de la vivienda y terreno</t>
  </si>
  <si>
    <t>Cuenta de Esust_Cat</t>
  </si>
  <si>
    <t>Usted_Cat</t>
  </si>
  <si>
    <t>f)</t>
  </si>
  <si>
    <t>Obrero o empleado</t>
  </si>
  <si>
    <t>Patrón o empleado</t>
  </si>
  <si>
    <t>Trabajador por su cuenta</t>
  </si>
  <si>
    <t>Trabajador sin salario</t>
  </si>
  <si>
    <t>Cuenta de Usted_Cat</t>
  </si>
  <si>
    <t>Edad Mínima =</t>
  </si>
  <si>
    <t>Edad Máxima =</t>
  </si>
  <si>
    <t>Tabla de frecuencias utilizando la función =frecuencia()</t>
  </si>
  <si>
    <t>Menor de 20 años</t>
  </si>
  <si>
    <t>[20,30)</t>
  </si>
  <si>
    <t>[30,40)</t>
  </si>
  <si>
    <t>[40,50)</t>
  </si>
  <si>
    <t>[50,60)</t>
  </si>
  <si>
    <t>[60,70)</t>
  </si>
  <si>
    <t>Más de 70</t>
  </si>
  <si>
    <t>Frecuencia Absoluta</t>
  </si>
  <si>
    <t>Forma</t>
  </si>
  <si>
    <t>Tamanio</t>
  </si>
  <si>
    <t>Precio</t>
  </si>
  <si>
    <t>Princesa</t>
  </si>
  <si>
    <t>Redonda</t>
  </si>
  <si>
    <t>Esmeralda</t>
  </si>
  <si>
    <t>Talla 58 facetas</t>
  </si>
  <si>
    <t>Oval</t>
  </si>
  <si>
    <t>Animal</t>
  </si>
  <si>
    <t>Gestación</t>
  </si>
  <si>
    <t>Longevidad</t>
  </si>
  <si>
    <t>alce</t>
  </si>
  <si>
    <t>ardilla</t>
  </si>
  <si>
    <t>búfalo</t>
  </si>
  <si>
    <t>burro</t>
  </si>
  <si>
    <t>caballo</t>
  </si>
  <si>
    <t>cabra</t>
  </si>
  <si>
    <t>camello</t>
  </si>
  <si>
    <t>canguro</t>
  </si>
  <si>
    <t>castor</t>
  </si>
  <si>
    <t>cebra</t>
  </si>
  <si>
    <t>cerdo</t>
  </si>
  <si>
    <t>chimpancé</t>
  </si>
  <si>
    <t>ciervo</t>
  </si>
  <si>
    <t>cobayo</t>
  </si>
  <si>
    <t>conejo</t>
  </si>
  <si>
    <t>elefante</t>
  </si>
  <si>
    <t>gato</t>
  </si>
  <si>
    <t>gorila</t>
  </si>
  <si>
    <t>hipopótamo</t>
  </si>
  <si>
    <t>jirafa</t>
  </si>
  <si>
    <t>león</t>
  </si>
  <si>
    <t>león marino</t>
  </si>
  <si>
    <t>leopardo</t>
  </si>
  <si>
    <t>lobo</t>
  </si>
  <si>
    <t>mandril</t>
  </si>
  <si>
    <t>mono</t>
  </si>
  <si>
    <t>oso negro</t>
  </si>
  <si>
    <t>oso pardo</t>
  </si>
  <si>
    <t>oso polar</t>
  </si>
  <si>
    <t>oveja</t>
  </si>
  <si>
    <t>perro</t>
  </si>
  <si>
    <t>puma</t>
  </si>
  <si>
    <t>ratón</t>
  </si>
  <si>
    <t>rinoceronte</t>
  </si>
  <si>
    <t>tigre</t>
  </si>
  <si>
    <t>vaca</t>
  </si>
  <si>
    <t>zarigueya</t>
  </si>
  <si>
    <t>zorro</t>
  </si>
  <si>
    <t>Sexo</t>
  </si>
  <si>
    <t>Procedencia</t>
  </si>
  <si>
    <t>Nota</t>
  </si>
  <si>
    <t>Aplazos</t>
  </si>
  <si>
    <t>Altura</t>
  </si>
  <si>
    <t>Peso</t>
  </si>
  <si>
    <t>Gasto_Libros</t>
  </si>
  <si>
    <t>Procedencia_Cat</t>
  </si>
  <si>
    <t>Cuenta de Nota</t>
  </si>
  <si>
    <t>Frec. Absoluta</t>
  </si>
  <si>
    <t>Frec. Relativa</t>
  </si>
  <si>
    <t>F.Abs. Acum.</t>
  </si>
  <si>
    <t>F.Rel. Acum.</t>
  </si>
  <si>
    <t>Menor o igual a 155</t>
  </si>
  <si>
    <t>(155,160]</t>
  </si>
  <si>
    <t>(160,165]</t>
  </si>
  <si>
    <t>(165,170]</t>
  </si>
  <si>
    <t>(170,175]</t>
  </si>
  <si>
    <t>(175,180]</t>
  </si>
  <si>
    <t>(180,185]</t>
  </si>
  <si>
    <t>(185,190]</t>
  </si>
  <si>
    <t>(190,195]</t>
  </si>
  <si>
    <t>(195,200]</t>
  </si>
  <si>
    <t>Mayor a 200</t>
  </si>
  <si>
    <t>Promedio de Altura</t>
  </si>
  <si>
    <t>g)</t>
  </si>
  <si>
    <t>CABA</t>
  </si>
  <si>
    <t>GBA</t>
  </si>
  <si>
    <t>Resto</t>
  </si>
  <si>
    <t>Etiquetas de columna</t>
  </si>
  <si>
    <t>h)</t>
  </si>
  <si>
    <t>Calcular coeficiente de variación. Utilizar función abs() para calcular valor absoluto.</t>
  </si>
  <si>
    <t>En Excel 2016 ya se puede realizar el Hisgtograma (Insertar / Gráficos / Histograma)</t>
  </si>
  <si>
    <t>En Excel 2016 ya se puede realizar el Boxplot (Insertar / Gráficos / Cajas y Bigotes)</t>
  </si>
  <si>
    <t>En Excel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</si>
</sst>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</font>
    <font>
      <b/>
      <sz val="10"/>
      <name val="Calibri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8" fillId="0" borderId="0" applyNumberFormat="0" applyFill="0" applyBorder="0" applyAlignment="0" applyProtection="0"/>
    <xf numFmtId="9" fontId="9" fillId="0" borderId="0" applyFont="0" applyFill="0" applyBorder="0" applyAlignment="0" applyProtection="0"/>
    <xf numFmtId="0" fontId="10" fillId="0" borderId="0"/>
  </cellStyleXfs>
  <cellXfs count="92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0" borderId="0" xfId="0" applyFont="1" applyAlignment="1">
      <alignment horizontal="center"/>
    </xf>
    <xf numFmtId="0" fontId="0" fillId="5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3" borderId="0" xfId="0" applyFont="1" applyFill="1" applyAlignment="1">
      <alignment wrapText="1"/>
    </xf>
    <xf numFmtId="0" fontId="1" fillId="0" borderId="0" xfId="0" applyFont="1" applyAlignment="1">
      <alignment horizontal="center"/>
    </xf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1" fillId="6" borderId="0" xfId="0" applyFont="1" applyFill="1"/>
    <xf numFmtId="0" fontId="1" fillId="3" borderId="0" xfId="0" applyFont="1" applyFill="1" applyAlignment="1">
      <alignment horizontal="center"/>
    </xf>
    <xf numFmtId="0" fontId="1" fillId="0" borderId="0" xfId="0" applyFont="1" applyAlignment="1"/>
    <xf numFmtId="0" fontId="0" fillId="0" borderId="1" xfId="0" applyBorder="1" applyAlignment="1">
      <alignment horizontal="right"/>
    </xf>
    <xf numFmtId="0" fontId="0" fillId="5" borderId="2" xfId="0" applyFill="1" applyBorder="1"/>
    <xf numFmtId="0" fontId="0" fillId="0" borderId="3" xfId="0" applyBorder="1" applyAlignment="1">
      <alignment horizontal="right"/>
    </xf>
    <xf numFmtId="0" fontId="0" fillId="5" borderId="4" xfId="0" applyFill="1" applyBorder="1"/>
    <xf numFmtId="0" fontId="0" fillId="0" borderId="3" xfId="0" applyBorder="1"/>
    <xf numFmtId="0" fontId="0" fillId="0" borderId="4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5" borderId="3" xfId="0" applyFill="1" applyBorder="1"/>
    <xf numFmtId="0" fontId="0" fillId="5" borderId="6" xfId="0" applyFill="1" applyBorder="1"/>
    <xf numFmtId="0" fontId="1" fillId="0" borderId="0" xfId="0" applyFont="1" applyBorder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0" fillId="6" borderId="0" xfId="0" applyFill="1" applyAlignment="1">
      <alignment horizontal="right"/>
    </xf>
    <xf numFmtId="0" fontId="1" fillId="0" borderId="0" xfId="0" applyFont="1" applyFill="1" applyAlignment="1">
      <alignment horizontal="center" wrapText="1"/>
    </xf>
    <xf numFmtId="0" fontId="0" fillId="0" borderId="0" xfId="0" applyFill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ill="1" applyBorder="1" applyAlignment="1">
      <alignment horizontal="left"/>
    </xf>
    <xf numFmtId="0" fontId="1" fillId="0" borderId="0" xfId="0" applyFont="1" applyFill="1" applyAlignment="1"/>
    <xf numFmtId="0" fontId="0" fillId="0" borderId="0" xfId="0" applyAlignment="1">
      <alignment horizontal="right"/>
    </xf>
    <xf numFmtId="0" fontId="0" fillId="5" borderId="0" xfId="0" applyNumberFormat="1" applyFill="1"/>
    <xf numFmtId="0" fontId="1" fillId="3" borderId="0" xfId="0" applyFont="1" applyFill="1" applyAlignment="1">
      <alignment horizontal="left"/>
    </xf>
    <xf numFmtId="0" fontId="0" fillId="3" borderId="0" xfId="0" applyFill="1" applyAlignment="1">
      <alignment horizontal="center"/>
    </xf>
    <xf numFmtId="0" fontId="1" fillId="8" borderId="0" xfId="0" applyFont="1" applyFill="1"/>
    <xf numFmtId="0" fontId="0" fillId="8" borderId="0" xfId="0" applyFill="1"/>
    <xf numFmtId="0" fontId="8" fillId="8" borderId="0" xfId="1" applyFill="1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right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9" fontId="0" fillId="5" borderId="0" xfId="2" applyFont="1" applyFill="1"/>
    <xf numFmtId="0" fontId="0" fillId="0" borderId="0" xfId="0" pivotButton="1"/>
    <xf numFmtId="9" fontId="0" fillId="0" borderId="0" xfId="2" applyFont="1"/>
    <xf numFmtId="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7" borderId="0" xfId="2" applyNumberFormat="1" applyFont="1" applyFill="1"/>
    <xf numFmtId="0" fontId="8" fillId="0" borderId="0" xfId="1" applyFill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ont="1" applyFill="1"/>
    <xf numFmtId="164" fontId="0" fillId="5" borderId="0" xfId="2" applyNumberFormat="1" applyFont="1" applyFill="1"/>
    <xf numFmtId="0" fontId="10" fillId="0" borderId="0" xfId="3"/>
    <xf numFmtId="0" fontId="11" fillId="0" borderId="0" xfId="3" applyFont="1" applyFill="1"/>
    <xf numFmtId="0" fontId="12" fillId="0" borderId="0" xfId="0" applyFont="1" applyAlignment="1">
      <alignment horizontal="center"/>
    </xf>
    <xf numFmtId="0" fontId="0" fillId="0" borderId="0" xfId="0"/>
    <xf numFmtId="164" fontId="0" fillId="0" borderId="0" xfId="2" applyNumberFormat="1" applyFont="1"/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center" vertical="center" wrapText="1"/>
    </xf>
  </cellXfs>
  <cellStyles count="4">
    <cellStyle name="Hipervínculo" xfId="1" builtinId="8"/>
    <cellStyle name="Normal" xfId="0" builtinId="0"/>
    <cellStyle name="Normal 2" xfId="3" xr:uid="{00000000-0005-0000-0000-000002000000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4.xml"/><Relationship Id="rId26" Type="http://schemas.openxmlformats.org/officeDocument/2006/relationships/pivotCacheDefinition" Target="pivotCache/pivotCacheDefinition12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7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3.xml"/><Relationship Id="rId25" Type="http://schemas.openxmlformats.org/officeDocument/2006/relationships/pivotCacheDefinition" Target="pivotCache/pivotCacheDefinition1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pivotCacheDefinition" Target="pivotCache/pivotCacheDefinition6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0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openxmlformats.org/officeDocument/2006/relationships/pivotCacheDefinition" Target="pivotCache/pivotCacheDefinition9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5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8.xml"/><Relationship Id="rId27" Type="http://schemas.openxmlformats.org/officeDocument/2006/relationships/pivotCacheDefinition" Target="pivotCache/pivotCacheDefinition13.xml"/><Relationship Id="rId30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[Práctica 1 Resuelta (Ejercicios 16 al 29).xlsx]Ej 18!Tabla dinámica1</c:name>
    <c:fmtId val="1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Frecuencia</a:t>
            </a:r>
            <a:r>
              <a:rPr lang="en-US" baseline="0"/>
              <a:t> Absoluta</a:t>
            </a:r>
            <a:endParaRPr lang="en-US"/>
          </a:p>
        </c:rich>
      </c:tx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'Ej 18'!$H$40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'Ej 18'!$G$41:$G$45</c:f>
              <c:strCache>
                <c:ptCount val="4"/>
                <c:pt idx="0">
                  <c:v>Cerveza artesanal</c:v>
                </c:pt>
                <c:pt idx="1">
                  <c:v>Cerveza importada</c:v>
                </c:pt>
                <c:pt idx="2">
                  <c:v>Cerveza Nacional en botella</c:v>
                </c:pt>
                <c:pt idx="3">
                  <c:v>Cerveza Nacional en lata</c:v>
                </c:pt>
              </c:strCache>
            </c:strRef>
          </c:cat>
          <c:val>
            <c:numRef>
              <c:f>'Ej 18'!$H$41:$H$45</c:f>
              <c:numCache>
                <c:formatCode>General</c:formatCode>
                <c:ptCount val="4"/>
                <c:pt idx="0">
                  <c:v>8</c:v>
                </c:pt>
                <c:pt idx="1">
                  <c:v>3</c:v>
                </c:pt>
                <c:pt idx="2">
                  <c:v>4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46-4E42-875B-F922F52926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6779392"/>
        <c:axId val="236780928"/>
      </c:barChart>
      <c:catAx>
        <c:axId val="2367793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36780928"/>
        <c:crosses val="autoZero"/>
        <c:auto val="1"/>
        <c:lblAlgn val="ctr"/>
        <c:lblOffset val="100"/>
        <c:noMultiLvlLbl val="0"/>
      </c:catAx>
      <c:valAx>
        <c:axId val="236780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67793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Frecuencia Relativa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'Ej 18'!$G$49:$G$52</c:f>
              <c:strCache>
                <c:ptCount val="4"/>
                <c:pt idx="0">
                  <c:v>Cerveza artesanal</c:v>
                </c:pt>
                <c:pt idx="1">
                  <c:v>Cerveza importada</c:v>
                </c:pt>
                <c:pt idx="2">
                  <c:v>Cerveza Nacional en botella</c:v>
                </c:pt>
                <c:pt idx="3">
                  <c:v>Cerveza Nacional en lata</c:v>
                </c:pt>
              </c:strCache>
            </c:strRef>
          </c:cat>
          <c:val>
            <c:numRef>
              <c:f>'Ej 18'!$H$49:$H$52</c:f>
              <c:numCache>
                <c:formatCode>0%</c:formatCode>
                <c:ptCount val="4"/>
                <c:pt idx="0">
                  <c:v>0.32</c:v>
                </c:pt>
                <c:pt idx="1">
                  <c:v>0.12</c:v>
                </c:pt>
                <c:pt idx="2">
                  <c:v>0.16</c:v>
                </c:pt>
                <c:pt idx="3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DA-45A1-ABB9-A4C48D6AF4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7771776"/>
        <c:axId val="237789952"/>
      </c:barChart>
      <c:catAx>
        <c:axId val="2377717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37789952"/>
        <c:crosses val="autoZero"/>
        <c:auto val="1"/>
        <c:lblAlgn val="ctr"/>
        <c:lblOffset val="100"/>
        <c:noMultiLvlLbl val="0"/>
      </c:catAx>
      <c:valAx>
        <c:axId val="23778995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377717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[Práctica 1 Resuelta (Ejercicios 16 al 29).xlsx]Ej 18!Tabla dinámica1</c:name>
    <c:fmtId val="5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s-A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'Ej 18'!$H$40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'Ej 18'!$G$41:$G$45</c:f>
              <c:strCache>
                <c:ptCount val="4"/>
                <c:pt idx="0">
                  <c:v>Cerveza artesanal</c:v>
                </c:pt>
                <c:pt idx="1">
                  <c:v>Cerveza importada</c:v>
                </c:pt>
                <c:pt idx="2">
                  <c:v>Cerveza Nacional en botella</c:v>
                </c:pt>
                <c:pt idx="3">
                  <c:v>Cerveza Nacional en lata</c:v>
                </c:pt>
              </c:strCache>
            </c:strRef>
          </c:cat>
          <c:val>
            <c:numRef>
              <c:f>'Ej 18'!$H$41:$H$45</c:f>
              <c:numCache>
                <c:formatCode>General</c:formatCode>
                <c:ptCount val="4"/>
                <c:pt idx="0">
                  <c:v>8</c:v>
                </c:pt>
                <c:pt idx="1">
                  <c:v>3</c:v>
                </c:pt>
                <c:pt idx="2">
                  <c:v>4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5D-4CFD-B600-EEFA2D1BB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'Ej 19'!$C$4:$L$4</c:f>
              <c:numCache>
                <c:formatCode>General</c:formatCode>
                <c:ptCount val="10"/>
                <c:pt idx="0">
                  <c:v>4</c:v>
                </c:pt>
                <c:pt idx="1">
                  <c:v>6</c:v>
                </c:pt>
                <c:pt idx="2">
                  <c:v>11</c:v>
                </c:pt>
                <c:pt idx="3">
                  <c:v>3</c:v>
                </c:pt>
                <c:pt idx="4">
                  <c:v>16</c:v>
                </c:pt>
                <c:pt idx="5">
                  <c:v>5</c:v>
                </c:pt>
                <c:pt idx="6">
                  <c:v>7</c:v>
                </c:pt>
                <c:pt idx="7">
                  <c:v>13</c:v>
                </c:pt>
                <c:pt idx="8">
                  <c:v>9</c:v>
                </c:pt>
                <c:pt idx="9">
                  <c:v>14</c:v>
                </c:pt>
              </c:numCache>
            </c:numRef>
          </c:xVal>
          <c:yVal>
            <c:numRef>
              <c:f>'Ej 19'!$C$5:$L$5</c:f>
              <c:numCache>
                <c:formatCode>General</c:formatCode>
                <c:ptCount val="10"/>
                <c:pt idx="0">
                  <c:v>50</c:v>
                </c:pt>
                <c:pt idx="1">
                  <c:v>50</c:v>
                </c:pt>
                <c:pt idx="2">
                  <c:v>40</c:v>
                </c:pt>
                <c:pt idx="3">
                  <c:v>60</c:v>
                </c:pt>
                <c:pt idx="4">
                  <c:v>30</c:v>
                </c:pt>
                <c:pt idx="5">
                  <c:v>45</c:v>
                </c:pt>
                <c:pt idx="6">
                  <c:v>45</c:v>
                </c:pt>
                <c:pt idx="7">
                  <c:v>37</c:v>
                </c:pt>
                <c:pt idx="8">
                  <c:v>45</c:v>
                </c:pt>
                <c:pt idx="9">
                  <c:v>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B4-4E59-8F8D-65004F0A69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7053440"/>
        <c:axId val="237054976"/>
      </c:scatterChart>
      <c:valAx>
        <c:axId val="237053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7054976"/>
        <c:crosses val="autoZero"/>
        <c:crossBetween val="midCat"/>
      </c:valAx>
      <c:valAx>
        <c:axId val="237054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70534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'Ej 21'!$C$97:$C$102</c:f>
              <c:strCache>
                <c:ptCount val="6"/>
                <c:pt idx="0">
                  <c:v>(0,1]</c:v>
                </c:pt>
                <c:pt idx="1">
                  <c:v>(1,2]</c:v>
                </c:pt>
                <c:pt idx="2">
                  <c:v>(2,3]</c:v>
                </c:pt>
                <c:pt idx="3">
                  <c:v>(3,4]</c:v>
                </c:pt>
                <c:pt idx="4">
                  <c:v>(4,5]</c:v>
                </c:pt>
                <c:pt idx="5">
                  <c:v>(5,6]</c:v>
                </c:pt>
              </c:strCache>
            </c:strRef>
          </c:cat>
          <c:val>
            <c:numRef>
              <c:f>'Ej 21'!$D$85:$D$90</c:f>
              <c:numCache>
                <c:formatCode>General</c:formatCode>
                <c:ptCount val="6"/>
                <c:pt idx="0">
                  <c:v>25</c:v>
                </c:pt>
                <c:pt idx="1">
                  <c:v>25</c:v>
                </c:pt>
                <c:pt idx="2">
                  <c:v>5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3-46EB-9DDC-89E3128869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7070592"/>
        <c:axId val="238772224"/>
      </c:barChart>
      <c:lineChart>
        <c:grouping val="standard"/>
        <c:varyColors val="0"/>
        <c:ser>
          <c:idx val="1"/>
          <c:order val="1"/>
          <c:val>
            <c:numRef>
              <c:f>'Ej 21'!$D$85:$D$90</c:f>
              <c:numCache>
                <c:formatCode>General</c:formatCode>
                <c:ptCount val="6"/>
                <c:pt idx="0">
                  <c:v>25</c:v>
                </c:pt>
                <c:pt idx="1">
                  <c:v>25</c:v>
                </c:pt>
                <c:pt idx="2">
                  <c:v>5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13-46EB-9DDC-89E3128869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7070592"/>
        <c:axId val="238772224"/>
      </c:lineChart>
      <c:catAx>
        <c:axId val="2370705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38772224"/>
        <c:crosses val="autoZero"/>
        <c:auto val="1"/>
        <c:lblAlgn val="ctr"/>
        <c:lblOffset val="100"/>
        <c:noMultiLvlLbl val="0"/>
      </c:catAx>
      <c:valAx>
        <c:axId val="238772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70705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'Ej 26'!$B$2:$B$34</c:f>
              <c:numCache>
                <c:formatCode>General</c:formatCode>
                <c:ptCount val="33"/>
                <c:pt idx="0">
                  <c:v>0.32</c:v>
                </c:pt>
                <c:pt idx="1">
                  <c:v>0.35</c:v>
                </c:pt>
                <c:pt idx="2">
                  <c:v>0.4</c:v>
                </c:pt>
                <c:pt idx="3">
                  <c:v>0.44</c:v>
                </c:pt>
                <c:pt idx="4">
                  <c:v>0.44</c:v>
                </c:pt>
                <c:pt idx="5">
                  <c:v>0.45</c:v>
                </c:pt>
                <c:pt idx="6">
                  <c:v>0.51</c:v>
                </c:pt>
                <c:pt idx="7">
                  <c:v>0.51</c:v>
                </c:pt>
                <c:pt idx="8">
                  <c:v>0.52</c:v>
                </c:pt>
                <c:pt idx="9">
                  <c:v>0.62</c:v>
                </c:pt>
                <c:pt idx="10">
                  <c:v>0.66</c:v>
                </c:pt>
                <c:pt idx="11">
                  <c:v>0.7</c:v>
                </c:pt>
                <c:pt idx="12">
                  <c:v>0.71</c:v>
                </c:pt>
                <c:pt idx="13">
                  <c:v>0.71</c:v>
                </c:pt>
                <c:pt idx="14">
                  <c:v>0.76</c:v>
                </c:pt>
                <c:pt idx="15">
                  <c:v>0.77</c:v>
                </c:pt>
                <c:pt idx="16">
                  <c:v>0.84</c:v>
                </c:pt>
                <c:pt idx="17">
                  <c:v>0.9</c:v>
                </c:pt>
                <c:pt idx="18">
                  <c:v>0.9</c:v>
                </c:pt>
                <c:pt idx="19">
                  <c:v>0.91</c:v>
                </c:pt>
                <c:pt idx="20">
                  <c:v>1</c:v>
                </c:pt>
                <c:pt idx="21">
                  <c:v>1.01</c:v>
                </c:pt>
                <c:pt idx="22">
                  <c:v>1.02</c:v>
                </c:pt>
                <c:pt idx="23">
                  <c:v>1.02</c:v>
                </c:pt>
                <c:pt idx="24">
                  <c:v>1.08</c:v>
                </c:pt>
                <c:pt idx="25">
                  <c:v>1.1599999999999999</c:v>
                </c:pt>
                <c:pt idx="26">
                  <c:v>1.19</c:v>
                </c:pt>
                <c:pt idx="27">
                  <c:v>1.21</c:v>
                </c:pt>
                <c:pt idx="28">
                  <c:v>1.21</c:v>
                </c:pt>
                <c:pt idx="29">
                  <c:v>1.56</c:v>
                </c:pt>
                <c:pt idx="30">
                  <c:v>2.0299999999999998</c:v>
                </c:pt>
                <c:pt idx="31">
                  <c:v>2.35</c:v>
                </c:pt>
                <c:pt idx="32">
                  <c:v>5.03</c:v>
                </c:pt>
              </c:numCache>
            </c:numRef>
          </c:xVal>
          <c:yVal>
            <c:numRef>
              <c:f>'Ej 26'!$C$2:$C$34</c:f>
              <c:numCache>
                <c:formatCode>General</c:formatCode>
                <c:ptCount val="33"/>
                <c:pt idx="0">
                  <c:v>896</c:v>
                </c:pt>
                <c:pt idx="1">
                  <c:v>1354</c:v>
                </c:pt>
                <c:pt idx="2">
                  <c:v>1133</c:v>
                </c:pt>
                <c:pt idx="3">
                  <c:v>1319</c:v>
                </c:pt>
                <c:pt idx="4">
                  <c:v>1319</c:v>
                </c:pt>
                <c:pt idx="5">
                  <c:v>1191</c:v>
                </c:pt>
                <c:pt idx="6">
                  <c:v>1337</c:v>
                </c:pt>
                <c:pt idx="7">
                  <c:v>1558</c:v>
                </c:pt>
                <c:pt idx="8">
                  <c:v>2555</c:v>
                </c:pt>
                <c:pt idx="9">
                  <c:v>1397</c:v>
                </c:pt>
                <c:pt idx="10">
                  <c:v>1885</c:v>
                </c:pt>
                <c:pt idx="11">
                  <c:v>1915</c:v>
                </c:pt>
                <c:pt idx="12">
                  <c:v>2327</c:v>
                </c:pt>
                <c:pt idx="13">
                  <c:v>2732</c:v>
                </c:pt>
                <c:pt idx="14">
                  <c:v>3808</c:v>
                </c:pt>
                <c:pt idx="15">
                  <c:v>2828</c:v>
                </c:pt>
                <c:pt idx="16">
                  <c:v>2621</c:v>
                </c:pt>
                <c:pt idx="17">
                  <c:v>3733</c:v>
                </c:pt>
                <c:pt idx="18">
                  <c:v>3921</c:v>
                </c:pt>
                <c:pt idx="19">
                  <c:v>5106</c:v>
                </c:pt>
                <c:pt idx="20">
                  <c:v>4868</c:v>
                </c:pt>
                <c:pt idx="21">
                  <c:v>7038</c:v>
                </c:pt>
                <c:pt idx="22">
                  <c:v>4282</c:v>
                </c:pt>
                <c:pt idx="23">
                  <c:v>6943</c:v>
                </c:pt>
                <c:pt idx="24">
                  <c:v>8775</c:v>
                </c:pt>
                <c:pt idx="25">
                  <c:v>5161</c:v>
                </c:pt>
                <c:pt idx="26">
                  <c:v>5339</c:v>
                </c:pt>
                <c:pt idx="27">
                  <c:v>5154</c:v>
                </c:pt>
                <c:pt idx="28">
                  <c:v>7382</c:v>
                </c:pt>
                <c:pt idx="29">
                  <c:v>13925</c:v>
                </c:pt>
                <c:pt idx="30">
                  <c:v>13080</c:v>
                </c:pt>
                <c:pt idx="31">
                  <c:v>20413</c:v>
                </c:pt>
                <c:pt idx="32">
                  <c:v>44312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9C-4D24-969D-66C35B2AA7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9174784"/>
        <c:axId val="239176320"/>
      </c:scatterChart>
      <c:valAx>
        <c:axId val="239174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9176320"/>
        <c:crosses val="autoZero"/>
        <c:crossBetween val="midCat"/>
      </c:valAx>
      <c:valAx>
        <c:axId val="239176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91747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'Ej 27'!$B$2:$B$39</c:f>
              <c:numCache>
                <c:formatCode>General</c:formatCode>
                <c:ptCount val="38"/>
                <c:pt idx="0">
                  <c:v>250</c:v>
                </c:pt>
                <c:pt idx="1">
                  <c:v>31</c:v>
                </c:pt>
                <c:pt idx="2">
                  <c:v>278</c:v>
                </c:pt>
                <c:pt idx="3">
                  <c:v>365</c:v>
                </c:pt>
                <c:pt idx="4">
                  <c:v>330</c:v>
                </c:pt>
                <c:pt idx="5">
                  <c:v>151</c:v>
                </c:pt>
                <c:pt idx="6">
                  <c:v>406</c:v>
                </c:pt>
                <c:pt idx="7">
                  <c:v>42</c:v>
                </c:pt>
                <c:pt idx="8">
                  <c:v>122</c:v>
                </c:pt>
                <c:pt idx="9">
                  <c:v>365</c:v>
                </c:pt>
                <c:pt idx="10">
                  <c:v>112</c:v>
                </c:pt>
                <c:pt idx="11">
                  <c:v>231</c:v>
                </c:pt>
                <c:pt idx="12">
                  <c:v>201</c:v>
                </c:pt>
                <c:pt idx="13">
                  <c:v>68</c:v>
                </c:pt>
                <c:pt idx="14">
                  <c:v>31</c:v>
                </c:pt>
                <c:pt idx="15">
                  <c:v>645</c:v>
                </c:pt>
                <c:pt idx="16">
                  <c:v>63</c:v>
                </c:pt>
                <c:pt idx="17">
                  <c:v>257</c:v>
                </c:pt>
                <c:pt idx="18">
                  <c:v>238</c:v>
                </c:pt>
                <c:pt idx="19">
                  <c:v>425</c:v>
                </c:pt>
                <c:pt idx="20">
                  <c:v>100</c:v>
                </c:pt>
                <c:pt idx="21">
                  <c:v>350</c:v>
                </c:pt>
                <c:pt idx="22">
                  <c:v>98</c:v>
                </c:pt>
                <c:pt idx="23">
                  <c:v>63</c:v>
                </c:pt>
                <c:pt idx="24">
                  <c:v>187</c:v>
                </c:pt>
                <c:pt idx="25">
                  <c:v>164</c:v>
                </c:pt>
                <c:pt idx="26">
                  <c:v>219</c:v>
                </c:pt>
                <c:pt idx="27">
                  <c:v>225</c:v>
                </c:pt>
                <c:pt idx="28">
                  <c:v>240</c:v>
                </c:pt>
                <c:pt idx="29">
                  <c:v>154</c:v>
                </c:pt>
                <c:pt idx="30">
                  <c:v>61</c:v>
                </c:pt>
                <c:pt idx="31">
                  <c:v>90</c:v>
                </c:pt>
                <c:pt idx="32">
                  <c:v>21</c:v>
                </c:pt>
                <c:pt idx="33">
                  <c:v>450</c:v>
                </c:pt>
                <c:pt idx="34">
                  <c:v>105</c:v>
                </c:pt>
                <c:pt idx="35">
                  <c:v>284</c:v>
                </c:pt>
                <c:pt idx="36">
                  <c:v>15</c:v>
                </c:pt>
                <c:pt idx="37">
                  <c:v>52</c:v>
                </c:pt>
              </c:numCache>
            </c:numRef>
          </c:xVal>
          <c:yVal>
            <c:numRef>
              <c:f>'Ej 27'!$C$2:$C$39</c:f>
              <c:numCache>
                <c:formatCode>General</c:formatCode>
                <c:ptCount val="38"/>
                <c:pt idx="0">
                  <c:v>15</c:v>
                </c:pt>
                <c:pt idx="1">
                  <c:v>6</c:v>
                </c:pt>
                <c:pt idx="2">
                  <c:v>15</c:v>
                </c:pt>
                <c:pt idx="3">
                  <c:v>12</c:v>
                </c:pt>
                <c:pt idx="4">
                  <c:v>20</c:v>
                </c:pt>
                <c:pt idx="5">
                  <c:v>8</c:v>
                </c:pt>
                <c:pt idx="6">
                  <c:v>12</c:v>
                </c:pt>
                <c:pt idx="7">
                  <c:v>7</c:v>
                </c:pt>
                <c:pt idx="8">
                  <c:v>5</c:v>
                </c:pt>
                <c:pt idx="9">
                  <c:v>15</c:v>
                </c:pt>
                <c:pt idx="10">
                  <c:v>10</c:v>
                </c:pt>
                <c:pt idx="11">
                  <c:v>12</c:v>
                </c:pt>
                <c:pt idx="12">
                  <c:v>8</c:v>
                </c:pt>
                <c:pt idx="13">
                  <c:v>4</c:v>
                </c:pt>
                <c:pt idx="14">
                  <c:v>5</c:v>
                </c:pt>
                <c:pt idx="15">
                  <c:v>40</c:v>
                </c:pt>
                <c:pt idx="16">
                  <c:v>20</c:v>
                </c:pt>
                <c:pt idx="17">
                  <c:v>20</c:v>
                </c:pt>
                <c:pt idx="18">
                  <c:v>25</c:v>
                </c:pt>
                <c:pt idx="19">
                  <c:v>10</c:v>
                </c:pt>
                <c:pt idx="20">
                  <c:v>15</c:v>
                </c:pt>
                <c:pt idx="21">
                  <c:v>12</c:v>
                </c:pt>
                <c:pt idx="22">
                  <c:v>12</c:v>
                </c:pt>
                <c:pt idx="23">
                  <c:v>5</c:v>
                </c:pt>
                <c:pt idx="24">
                  <c:v>20</c:v>
                </c:pt>
                <c:pt idx="25">
                  <c:v>15</c:v>
                </c:pt>
                <c:pt idx="26">
                  <c:v>18</c:v>
                </c:pt>
                <c:pt idx="27">
                  <c:v>25</c:v>
                </c:pt>
                <c:pt idx="28">
                  <c:v>20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3</c:v>
                </c:pt>
                <c:pt idx="33">
                  <c:v>15</c:v>
                </c:pt>
                <c:pt idx="34">
                  <c:v>16</c:v>
                </c:pt>
                <c:pt idx="35">
                  <c:v>15</c:v>
                </c:pt>
                <c:pt idx="36">
                  <c:v>1</c:v>
                </c:pt>
                <c:pt idx="37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8-4B80-979A-47CED065E0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9228800"/>
        <c:axId val="239230336"/>
      </c:scatterChart>
      <c:valAx>
        <c:axId val="239228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9230336"/>
        <c:crosses val="autoZero"/>
        <c:crossBetween val="midCat"/>
      </c:valAx>
      <c:valAx>
        <c:axId val="239230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92288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[Práctica 1 Resuelta (Ejercicios 16 al 29).xlsx]Ej 28!Tabla dinámica1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s-AR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'Ej 28'!$B$3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s-A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'Ej 28'!$A$4:$A$6</c:f>
              <c:strCache>
                <c:ptCount val="2"/>
                <c:pt idx="0">
                  <c:v>Mujer</c:v>
                </c:pt>
                <c:pt idx="1">
                  <c:v>Varón</c:v>
                </c:pt>
              </c:strCache>
            </c:strRef>
          </c:cat>
          <c:val>
            <c:numRef>
              <c:f>'Ej 28'!$B$4:$B$6</c:f>
              <c:numCache>
                <c:formatCode>General</c:formatCode>
                <c:ptCount val="2"/>
                <c:pt idx="0">
                  <c:v>73</c:v>
                </c:pt>
                <c:pt idx="1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2-45B5-A5F3-5EACD9CA7B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Histograma con</a:t>
            </a:r>
            <a:r>
              <a:rPr lang="es-ES" baseline="0"/>
              <a:t> Frecuencias Absolutas</a:t>
            </a:r>
            <a:endParaRPr lang="es-ES"/>
          </a:p>
        </c:rich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'Ej 28'!$B$41:$B$50</c:f>
              <c:strCache>
                <c:ptCount val="10"/>
                <c:pt idx="0">
                  <c:v>Menor o igual a 155</c:v>
                </c:pt>
                <c:pt idx="1">
                  <c:v>(155,160]</c:v>
                </c:pt>
                <c:pt idx="2">
                  <c:v>(160,165]</c:v>
                </c:pt>
                <c:pt idx="3">
                  <c:v>(165,170]</c:v>
                </c:pt>
                <c:pt idx="4">
                  <c:v>(170,175]</c:v>
                </c:pt>
                <c:pt idx="5">
                  <c:v>(175,180]</c:v>
                </c:pt>
                <c:pt idx="6">
                  <c:v>(180,185]</c:v>
                </c:pt>
                <c:pt idx="7">
                  <c:v>(185,190]</c:v>
                </c:pt>
                <c:pt idx="8">
                  <c:v>(190,195]</c:v>
                </c:pt>
                <c:pt idx="9">
                  <c:v>(195,200]</c:v>
                </c:pt>
              </c:strCache>
            </c:strRef>
          </c:cat>
          <c:val>
            <c:numRef>
              <c:f>'Ej 28'!$C$41:$C$50</c:f>
              <c:numCache>
                <c:formatCode>General</c:formatCode>
                <c:ptCount val="10"/>
                <c:pt idx="0">
                  <c:v>13</c:v>
                </c:pt>
                <c:pt idx="1">
                  <c:v>14</c:v>
                </c:pt>
                <c:pt idx="2">
                  <c:v>14</c:v>
                </c:pt>
                <c:pt idx="3">
                  <c:v>31</c:v>
                </c:pt>
                <c:pt idx="4">
                  <c:v>20</c:v>
                </c:pt>
                <c:pt idx="5">
                  <c:v>23</c:v>
                </c:pt>
                <c:pt idx="6">
                  <c:v>12</c:v>
                </c:pt>
                <c:pt idx="7">
                  <c:v>3</c:v>
                </c:pt>
                <c:pt idx="8">
                  <c:v>3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98-4A89-94CB-E1D62A8DA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9986432"/>
        <c:axId val="250015104"/>
      </c:barChart>
      <c:catAx>
        <c:axId val="2499864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s-AR"/>
          </a:p>
        </c:txPr>
        <c:crossAx val="250015104"/>
        <c:crosses val="autoZero"/>
        <c:auto val="1"/>
        <c:lblAlgn val="ctr"/>
        <c:lblOffset val="100"/>
        <c:noMultiLvlLbl val="0"/>
      </c:catAx>
      <c:valAx>
        <c:axId val="250015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99864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Histograma con</a:t>
            </a:r>
            <a:r>
              <a:rPr lang="es-ES" baseline="0"/>
              <a:t> Frecuencias Relativas</a:t>
            </a:r>
            <a:endParaRPr lang="es-ES"/>
          </a:p>
        </c:rich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'Ej 28'!$B$41:$B$50</c:f>
              <c:strCache>
                <c:ptCount val="10"/>
                <c:pt idx="0">
                  <c:v>Menor o igual a 155</c:v>
                </c:pt>
                <c:pt idx="1">
                  <c:v>(155,160]</c:v>
                </c:pt>
                <c:pt idx="2">
                  <c:v>(160,165]</c:v>
                </c:pt>
                <c:pt idx="3">
                  <c:v>(165,170]</c:v>
                </c:pt>
                <c:pt idx="4">
                  <c:v>(170,175]</c:v>
                </c:pt>
                <c:pt idx="5">
                  <c:v>(175,180]</c:v>
                </c:pt>
                <c:pt idx="6">
                  <c:v>(180,185]</c:v>
                </c:pt>
                <c:pt idx="7">
                  <c:v>(185,190]</c:v>
                </c:pt>
                <c:pt idx="8">
                  <c:v>(190,195]</c:v>
                </c:pt>
                <c:pt idx="9">
                  <c:v>(195,200]</c:v>
                </c:pt>
              </c:strCache>
            </c:strRef>
          </c:cat>
          <c:val>
            <c:numRef>
              <c:f>'Ej 28'!$D$41:$D$50</c:f>
              <c:numCache>
                <c:formatCode>General</c:formatCode>
                <c:ptCount val="10"/>
                <c:pt idx="0">
                  <c:v>9.6296296296296297E-2</c:v>
                </c:pt>
                <c:pt idx="1">
                  <c:v>0.1037037037037037</c:v>
                </c:pt>
                <c:pt idx="2">
                  <c:v>0.1037037037037037</c:v>
                </c:pt>
                <c:pt idx="3">
                  <c:v>0.22962962962962963</c:v>
                </c:pt>
                <c:pt idx="4">
                  <c:v>0.14814814814814814</c:v>
                </c:pt>
                <c:pt idx="5">
                  <c:v>0.17037037037037037</c:v>
                </c:pt>
                <c:pt idx="6">
                  <c:v>8.8888888888888892E-2</c:v>
                </c:pt>
                <c:pt idx="7">
                  <c:v>2.2222222222222223E-2</c:v>
                </c:pt>
                <c:pt idx="8">
                  <c:v>2.2222222222222223E-2</c:v>
                </c:pt>
                <c:pt idx="9">
                  <c:v>1.4814814814814815E-2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F3-4332-B349-5CD1E7CFEB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588544"/>
        <c:axId val="10590080"/>
      </c:barChart>
      <c:catAx>
        <c:axId val="105885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s-AR"/>
          </a:p>
        </c:txPr>
        <c:crossAx val="10590080"/>
        <c:crosses val="autoZero"/>
        <c:auto val="1"/>
        <c:lblAlgn val="ctr"/>
        <c:lblOffset val="100"/>
        <c:noMultiLvlLbl val="0"/>
      </c:catAx>
      <c:valAx>
        <c:axId val="105900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5885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'Ej 28'!$J$2:$J$136</c:f>
              <c:numCache>
                <c:formatCode>General</c:formatCode>
                <c:ptCount val="135"/>
                <c:pt idx="0">
                  <c:v>165.45988818697035</c:v>
                </c:pt>
                <c:pt idx="1">
                  <c:v>168.40591323913114</c:v>
                </c:pt>
                <c:pt idx="2">
                  <c:v>159.69807080922556</c:v>
                </c:pt>
                <c:pt idx="3">
                  <c:v>179.22854510781221</c:v>
                </c:pt>
                <c:pt idx="4">
                  <c:v>166.5083657011169</c:v>
                </c:pt>
                <c:pt idx="5">
                  <c:v>169.01816682227224</c:v>
                </c:pt>
                <c:pt idx="6">
                  <c:v>154.011919467589</c:v>
                </c:pt>
                <c:pt idx="7">
                  <c:v>177.32722206988376</c:v>
                </c:pt>
                <c:pt idx="8">
                  <c:v>181.12257956819275</c:v>
                </c:pt>
                <c:pt idx="9">
                  <c:v>181.28463292547963</c:v>
                </c:pt>
                <c:pt idx="10">
                  <c:v>165.58473445219539</c:v>
                </c:pt>
                <c:pt idx="11">
                  <c:v>173.28838923206143</c:v>
                </c:pt>
                <c:pt idx="12">
                  <c:v>191.37233455195855</c:v>
                </c:pt>
                <c:pt idx="13">
                  <c:v>162.75698714154134</c:v>
                </c:pt>
                <c:pt idx="14">
                  <c:v>162.43510292915701</c:v>
                </c:pt>
                <c:pt idx="15">
                  <c:v>150.90856922436001</c:v>
                </c:pt>
                <c:pt idx="16">
                  <c:v>169.58732149450412</c:v>
                </c:pt>
                <c:pt idx="17">
                  <c:v>167.73345897278719</c:v>
                </c:pt>
                <c:pt idx="18">
                  <c:v>161.74148356143212</c:v>
                </c:pt>
                <c:pt idx="19">
                  <c:v>159.23724782781738</c:v>
                </c:pt>
                <c:pt idx="20">
                  <c:v>181.39565304519235</c:v>
                </c:pt>
                <c:pt idx="21">
                  <c:v>167.14570861824782</c:v>
                </c:pt>
                <c:pt idx="22">
                  <c:v>164.11821916159954</c:v>
                </c:pt>
                <c:pt idx="23">
                  <c:v>154.67472675985826</c:v>
                </c:pt>
                <c:pt idx="24">
                  <c:v>167.99890260064555</c:v>
                </c:pt>
                <c:pt idx="25">
                  <c:v>170.84969352218928</c:v>
                </c:pt>
                <c:pt idx="26">
                  <c:v>179.98253248008658</c:v>
                </c:pt>
                <c:pt idx="27">
                  <c:v>156.59340898718216</c:v>
                </c:pt>
                <c:pt idx="28">
                  <c:v>163.26548453397425</c:v>
                </c:pt>
                <c:pt idx="29">
                  <c:v>168.01319846782826</c:v>
                </c:pt>
                <c:pt idx="30">
                  <c:v>168.39267661781997</c:v>
                </c:pt>
                <c:pt idx="31">
                  <c:v>175.90998149895805</c:v>
                </c:pt>
                <c:pt idx="32">
                  <c:v>164.65359320678999</c:v>
                </c:pt>
                <c:pt idx="33">
                  <c:v>174.81582250495731</c:v>
                </c:pt>
                <c:pt idx="34">
                  <c:v>171.48108455290867</c:v>
                </c:pt>
                <c:pt idx="35">
                  <c:v>168.49767186596156</c:v>
                </c:pt>
                <c:pt idx="36">
                  <c:v>175.3265615078796</c:v>
                </c:pt>
                <c:pt idx="37">
                  <c:v>187.60074450278194</c:v>
                </c:pt>
                <c:pt idx="38">
                  <c:v>157.49446430872834</c:v>
                </c:pt>
                <c:pt idx="39">
                  <c:v>167.05329143490744</c:v>
                </c:pt>
                <c:pt idx="40">
                  <c:v>172.99003348612581</c:v>
                </c:pt>
                <c:pt idx="41">
                  <c:v>171.30014657538737</c:v>
                </c:pt>
                <c:pt idx="42">
                  <c:v>178.09500520704017</c:v>
                </c:pt>
                <c:pt idx="43">
                  <c:v>174.34568321029772</c:v>
                </c:pt>
                <c:pt idx="44">
                  <c:v>175.94575698713444</c:v>
                </c:pt>
                <c:pt idx="45">
                  <c:v>177.22244730110211</c:v>
                </c:pt>
                <c:pt idx="46">
                  <c:v>168.70091269008157</c:v>
                </c:pt>
                <c:pt idx="47">
                  <c:v>163.83747672615854</c:v>
                </c:pt>
                <c:pt idx="48">
                  <c:v>166.7950801645357</c:v>
                </c:pt>
                <c:pt idx="49">
                  <c:v>158.94278897488641</c:v>
                </c:pt>
                <c:pt idx="50">
                  <c:v>165.89089422764513</c:v>
                </c:pt>
                <c:pt idx="51">
                  <c:v>171.61227475129255</c:v>
                </c:pt>
                <c:pt idx="52">
                  <c:v>173.29773130857714</c:v>
                </c:pt>
                <c:pt idx="53">
                  <c:v>181.11840524004535</c:v>
                </c:pt>
                <c:pt idx="54">
                  <c:v>177.18216787581849</c:v>
                </c:pt>
                <c:pt idx="55">
                  <c:v>167.93386481947857</c:v>
                </c:pt>
                <c:pt idx="56">
                  <c:v>175.80352732823738</c:v>
                </c:pt>
                <c:pt idx="57">
                  <c:v>183.36811963286442</c:v>
                </c:pt>
                <c:pt idx="58">
                  <c:v>184.34867521952347</c:v>
                </c:pt>
                <c:pt idx="59">
                  <c:v>150.22951113596699</c:v>
                </c:pt>
                <c:pt idx="60">
                  <c:v>160.08836753634901</c:v>
                </c:pt>
                <c:pt idx="61">
                  <c:v>176.4284905295236</c:v>
                </c:pt>
                <c:pt idx="62">
                  <c:v>150.21855185061423</c:v>
                </c:pt>
                <c:pt idx="63">
                  <c:v>162.31895791445768</c:v>
                </c:pt>
                <c:pt idx="64">
                  <c:v>178.92715992699223</c:v>
                </c:pt>
                <c:pt idx="65">
                  <c:v>151.9650253538623</c:v>
                </c:pt>
                <c:pt idx="66">
                  <c:v>172.56531098361194</c:v>
                </c:pt>
                <c:pt idx="67">
                  <c:v>150.672799798482</c:v>
                </c:pt>
                <c:pt idx="68">
                  <c:v>172.45754246398351</c:v>
                </c:pt>
                <c:pt idx="69">
                  <c:v>187.02080606488914</c:v>
                </c:pt>
                <c:pt idx="70">
                  <c:v>168.39979553276149</c:v>
                </c:pt>
                <c:pt idx="71">
                  <c:v>156.52849423529821</c:v>
                </c:pt>
                <c:pt idx="72">
                  <c:v>164.79966788346073</c:v>
                </c:pt>
                <c:pt idx="73">
                  <c:v>151.55023399578101</c:v>
                </c:pt>
                <c:pt idx="74">
                  <c:v>176.40482050341475</c:v>
                </c:pt>
                <c:pt idx="75">
                  <c:v>196.587766801219</c:v>
                </c:pt>
                <c:pt idx="76">
                  <c:v>174.59927796466113</c:v>
                </c:pt>
                <c:pt idx="77">
                  <c:v>181.29452623119261</c:v>
                </c:pt>
                <c:pt idx="78">
                  <c:v>156.71525392472395</c:v>
                </c:pt>
                <c:pt idx="79">
                  <c:v>166.62771964063691</c:v>
                </c:pt>
                <c:pt idx="80">
                  <c:v>161.48021722926794</c:v>
                </c:pt>
                <c:pt idx="81">
                  <c:v>193.46742243498332</c:v>
                </c:pt>
                <c:pt idx="82">
                  <c:v>169.57971100387974</c:v>
                </c:pt>
                <c:pt idx="83">
                  <c:v>177.91254582411082</c:v>
                </c:pt>
                <c:pt idx="84">
                  <c:v>157.1501300154606</c:v>
                </c:pt>
                <c:pt idx="85">
                  <c:v>167.70999242761465</c:v>
                </c:pt>
                <c:pt idx="86">
                  <c:v>173.6613192506592</c:v>
                </c:pt>
                <c:pt idx="87">
                  <c:v>177.94311029269605</c:v>
                </c:pt>
                <c:pt idx="88">
                  <c:v>166.75176499976916</c:v>
                </c:pt>
                <c:pt idx="89">
                  <c:v>151.72589818809561</c:v>
                </c:pt>
                <c:pt idx="90">
                  <c:v>167.80288057473894</c:v>
                </c:pt>
                <c:pt idx="91">
                  <c:v>177.21270679069806</c:v>
                </c:pt>
                <c:pt idx="92">
                  <c:v>176.78004053279321</c:v>
                </c:pt>
                <c:pt idx="93">
                  <c:v>195.95424593485251</c:v>
                </c:pt>
                <c:pt idx="94">
                  <c:v>165.78600724601515</c:v>
                </c:pt>
                <c:pt idx="95">
                  <c:v>170.34322016626999</c:v>
                </c:pt>
                <c:pt idx="96">
                  <c:v>182.15704890895509</c:v>
                </c:pt>
                <c:pt idx="97">
                  <c:v>159.46759243069991</c:v>
                </c:pt>
                <c:pt idx="98">
                  <c:v>181.23639136978866</c:v>
                </c:pt>
                <c:pt idx="99">
                  <c:v>169.46212157600749</c:v>
                </c:pt>
                <c:pt idx="100">
                  <c:v>183.99491125429847</c:v>
                </c:pt>
                <c:pt idx="101">
                  <c:v>173.29925829942181</c:v>
                </c:pt>
                <c:pt idx="102">
                  <c:v>165.79593677390409</c:v>
                </c:pt>
                <c:pt idx="103">
                  <c:v>167.90542557547897</c:v>
                </c:pt>
                <c:pt idx="104">
                  <c:v>157.77976471637481</c:v>
                </c:pt>
                <c:pt idx="105">
                  <c:v>163.23522711888734</c:v>
                </c:pt>
                <c:pt idx="106">
                  <c:v>177.76903044587925</c:v>
                </c:pt>
                <c:pt idx="107">
                  <c:v>154.04656207587351</c:v>
                </c:pt>
                <c:pt idx="108">
                  <c:v>179.8901601579596</c:v>
                </c:pt>
                <c:pt idx="109">
                  <c:v>152.52515017076399</c:v>
                </c:pt>
                <c:pt idx="110">
                  <c:v>166.12629385880905</c:v>
                </c:pt>
                <c:pt idx="111">
                  <c:v>182.90029731316741</c:v>
                </c:pt>
                <c:pt idx="112">
                  <c:v>155.15331717420497</c:v>
                </c:pt>
                <c:pt idx="113">
                  <c:v>177.13772603190321</c:v>
                </c:pt>
                <c:pt idx="114">
                  <c:v>158.41462825950848</c:v>
                </c:pt>
                <c:pt idx="115">
                  <c:v>173.9264055291969</c:v>
                </c:pt>
                <c:pt idx="116">
                  <c:v>152.594798298336</c:v>
                </c:pt>
                <c:pt idx="117">
                  <c:v>179.34434391323211</c:v>
                </c:pt>
                <c:pt idx="118">
                  <c:v>176.65034809117532</c:v>
                </c:pt>
                <c:pt idx="119">
                  <c:v>162.94040979977825</c:v>
                </c:pt>
                <c:pt idx="120">
                  <c:v>162.49620912283459</c:v>
                </c:pt>
                <c:pt idx="121">
                  <c:v>173.90312741002504</c:v>
                </c:pt>
                <c:pt idx="122">
                  <c:v>172.52018190374741</c:v>
                </c:pt>
                <c:pt idx="123">
                  <c:v>156.00344875225596</c:v>
                </c:pt>
                <c:pt idx="124">
                  <c:v>182.30865707481962</c:v>
                </c:pt>
                <c:pt idx="125">
                  <c:v>159.8893322047613</c:v>
                </c:pt>
                <c:pt idx="126">
                  <c:v>188.36586859304782</c:v>
                </c:pt>
                <c:pt idx="127">
                  <c:v>194.80339078427599</c:v>
                </c:pt>
                <c:pt idx="128">
                  <c:v>168.87736525315344</c:v>
                </c:pt>
                <c:pt idx="129">
                  <c:v>153.47688648088518</c:v>
                </c:pt>
                <c:pt idx="130">
                  <c:v>165.76434602858996</c:v>
                </c:pt>
                <c:pt idx="131">
                  <c:v>174.41702038097222</c:v>
                </c:pt>
                <c:pt idx="132">
                  <c:v>174.2688765889113</c:v>
                </c:pt>
                <c:pt idx="133">
                  <c:v>176.18982921374891</c:v>
                </c:pt>
                <c:pt idx="134">
                  <c:v>166.43347785830983</c:v>
                </c:pt>
              </c:numCache>
            </c:numRef>
          </c:xVal>
          <c:yVal>
            <c:numRef>
              <c:f>'Ej 28'!$K$2:$K$136</c:f>
              <c:numCache>
                <c:formatCode>General</c:formatCode>
                <c:ptCount val="135"/>
                <c:pt idx="0">
                  <c:v>66.964079868774206</c:v>
                </c:pt>
                <c:pt idx="1">
                  <c:v>58.507817979487591</c:v>
                </c:pt>
                <c:pt idx="2">
                  <c:v>64.727816555638199</c:v>
                </c:pt>
                <c:pt idx="3">
                  <c:v>87.888176099682966</c:v>
                </c:pt>
                <c:pt idx="4">
                  <c:v>76.54882397758945</c:v>
                </c:pt>
                <c:pt idx="5">
                  <c:v>72.017761744938809</c:v>
                </c:pt>
                <c:pt idx="6">
                  <c:v>71.087855000259069</c:v>
                </c:pt>
                <c:pt idx="7">
                  <c:v>86.788044576180368</c:v>
                </c:pt>
                <c:pt idx="8">
                  <c:v>96.316621603225002</c:v>
                </c:pt>
                <c:pt idx="9">
                  <c:v>77.132085262671055</c:v>
                </c:pt>
                <c:pt idx="10">
                  <c:v>54.425334002954074</c:v>
                </c:pt>
                <c:pt idx="11">
                  <c:v>83.119900652434225</c:v>
                </c:pt>
                <c:pt idx="12">
                  <c:v>102.32569698663568</c:v>
                </c:pt>
                <c:pt idx="13">
                  <c:v>57.403476482970149</c:v>
                </c:pt>
                <c:pt idx="14">
                  <c:v>78.100081484273261</c:v>
                </c:pt>
                <c:pt idx="15">
                  <c:v>50.147018576286293</c:v>
                </c:pt>
                <c:pt idx="16">
                  <c:v>86.250818975429226</c:v>
                </c:pt>
                <c:pt idx="17">
                  <c:v>58.660460144964304</c:v>
                </c:pt>
                <c:pt idx="18">
                  <c:v>58.206684197852958</c:v>
                </c:pt>
                <c:pt idx="19">
                  <c:v>63.086974726294997</c:v>
                </c:pt>
                <c:pt idx="20">
                  <c:v>82.06353106156736</c:v>
                </c:pt>
                <c:pt idx="21">
                  <c:v>78.784279904779297</c:v>
                </c:pt>
                <c:pt idx="22">
                  <c:v>57.963667780387404</c:v>
                </c:pt>
                <c:pt idx="23">
                  <c:v>57.968508871027801</c:v>
                </c:pt>
                <c:pt idx="24">
                  <c:v>53.17332132213992</c:v>
                </c:pt>
                <c:pt idx="25">
                  <c:v>87.364526005441633</c:v>
                </c:pt>
                <c:pt idx="26">
                  <c:v>84.936312858612879</c:v>
                </c:pt>
                <c:pt idx="27">
                  <c:v>61.47538981573485</c:v>
                </c:pt>
                <c:pt idx="28">
                  <c:v>61.601134215102029</c:v>
                </c:pt>
                <c:pt idx="29">
                  <c:v>75.73689072774296</c:v>
                </c:pt>
                <c:pt idx="30">
                  <c:v>81.268564081380248</c:v>
                </c:pt>
                <c:pt idx="31">
                  <c:v>82.435672718327467</c:v>
                </c:pt>
                <c:pt idx="32">
                  <c:v>78.784001526665975</c:v>
                </c:pt>
                <c:pt idx="33">
                  <c:v>86.119691327002798</c:v>
                </c:pt>
                <c:pt idx="34">
                  <c:v>69.368193405923236</c:v>
                </c:pt>
                <c:pt idx="35">
                  <c:v>58.344461446832227</c:v>
                </c:pt>
                <c:pt idx="36">
                  <c:v>79.430617791735528</c:v>
                </c:pt>
                <c:pt idx="37">
                  <c:v>100.51417634932247</c:v>
                </c:pt>
                <c:pt idx="38">
                  <c:v>51.866222647984905</c:v>
                </c:pt>
                <c:pt idx="39">
                  <c:v>57.515919291405638</c:v>
                </c:pt>
                <c:pt idx="40">
                  <c:v>73.497154939663957</c:v>
                </c:pt>
                <c:pt idx="41">
                  <c:v>65.641946864867961</c:v>
                </c:pt>
                <c:pt idx="42">
                  <c:v>64.862964148977625</c:v>
                </c:pt>
                <c:pt idx="43">
                  <c:v>80.185748716224751</c:v>
                </c:pt>
                <c:pt idx="44">
                  <c:v>61.047025340301808</c:v>
                </c:pt>
                <c:pt idx="45">
                  <c:v>61.182386271759448</c:v>
                </c:pt>
                <c:pt idx="46">
                  <c:v>55.952355954889185</c:v>
                </c:pt>
                <c:pt idx="47">
                  <c:v>60.852443474247636</c:v>
                </c:pt>
                <c:pt idx="48">
                  <c:v>59.591722559115119</c:v>
                </c:pt>
                <c:pt idx="49">
                  <c:v>72.883207332127569</c:v>
                </c:pt>
                <c:pt idx="50">
                  <c:v>55.672532717411393</c:v>
                </c:pt>
                <c:pt idx="51">
                  <c:v>80.695117596157942</c:v>
                </c:pt>
                <c:pt idx="52">
                  <c:v>67.121751717424061</c:v>
                </c:pt>
                <c:pt idx="53">
                  <c:v>96.771436314256988</c:v>
                </c:pt>
                <c:pt idx="54">
                  <c:v>92.171376520281001</c:v>
                </c:pt>
                <c:pt idx="55">
                  <c:v>64.638486528750235</c:v>
                </c:pt>
                <c:pt idx="56">
                  <c:v>82.954066513299026</c:v>
                </c:pt>
                <c:pt idx="57">
                  <c:v>68.8280563583765</c:v>
                </c:pt>
                <c:pt idx="58">
                  <c:v>98.01110781517761</c:v>
                </c:pt>
                <c:pt idx="59">
                  <c:v>63.012385597095346</c:v>
                </c:pt>
                <c:pt idx="60">
                  <c:v>70.093360624939407</c:v>
                </c:pt>
                <c:pt idx="61">
                  <c:v>76.354561099600758</c:v>
                </c:pt>
                <c:pt idx="62">
                  <c:v>47.523181652121494</c:v>
                </c:pt>
                <c:pt idx="63">
                  <c:v>47.899653370955711</c:v>
                </c:pt>
                <c:pt idx="64">
                  <c:v>59.003513335231212</c:v>
                </c:pt>
                <c:pt idx="65">
                  <c:v>45.724870482984031</c:v>
                </c:pt>
                <c:pt idx="66">
                  <c:v>85.346002266259418</c:v>
                </c:pt>
                <c:pt idx="67">
                  <c:v>55.461700819634132</c:v>
                </c:pt>
                <c:pt idx="68">
                  <c:v>72.450547228817825</c:v>
                </c:pt>
                <c:pt idx="69">
                  <c:v>79.257387788030542</c:v>
                </c:pt>
                <c:pt idx="70">
                  <c:v>59.552831384499349</c:v>
                </c:pt>
                <c:pt idx="71">
                  <c:v>53.412549526502133</c:v>
                </c:pt>
                <c:pt idx="72">
                  <c:v>73.003205276733198</c:v>
                </c:pt>
                <c:pt idx="73">
                  <c:v>51.745717624668487</c:v>
                </c:pt>
                <c:pt idx="74">
                  <c:v>67.340781747966034</c:v>
                </c:pt>
                <c:pt idx="75">
                  <c:v>97.660337391235203</c:v>
                </c:pt>
                <c:pt idx="76">
                  <c:v>74.352690284639863</c:v>
                </c:pt>
                <c:pt idx="77">
                  <c:v>83.286765081688799</c:v>
                </c:pt>
                <c:pt idx="78">
                  <c:v>51.477070023399719</c:v>
                </c:pt>
                <c:pt idx="79">
                  <c:v>56.779009768146139</c:v>
                </c:pt>
                <c:pt idx="80">
                  <c:v>58.566382809700364</c:v>
                </c:pt>
                <c:pt idx="81">
                  <c:v>106.67448409936343</c:v>
                </c:pt>
                <c:pt idx="82">
                  <c:v>55.760362786885011</c:v>
                </c:pt>
                <c:pt idx="83">
                  <c:v>71.37723078344483</c:v>
                </c:pt>
                <c:pt idx="84">
                  <c:v>47.811772272464268</c:v>
                </c:pt>
                <c:pt idx="85">
                  <c:v>67.785206159770055</c:v>
                </c:pt>
                <c:pt idx="86">
                  <c:v>56.335618105646674</c:v>
                </c:pt>
                <c:pt idx="87">
                  <c:v>63.359164751777818</c:v>
                </c:pt>
                <c:pt idx="88">
                  <c:v>70.961297685133587</c:v>
                </c:pt>
                <c:pt idx="89">
                  <c:v>43.255985832069605</c:v>
                </c:pt>
                <c:pt idx="90">
                  <c:v>68.845837452845331</c:v>
                </c:pt>
                <c:pt idx="91">
                  <c:v>70.000281545783523</c:v>
                </c:pt>
                <c:pt idx="92">
                  <c:v>69.065113835014984</c:v>
                </c:pt>
                <c:pt idx="93">
                  <c:v>89.352300745259527</c:v>
                </c:pt>
                <c:pt idx="94">
                  <c:v>56.234310406286063</c:v>
                </c:pt>
                <c:pt idx="95">
                  <c:v>85.425496461072584</c:v>
                </c:pt>
                <c:pt idx="96">
                  <c:v>83.882049501130794</c:v>
                </c:pt>
                <c:pt idx="97">
                  <c:v>47.630227115760874</c:v>
                </c:pt>
                <c:pt idx="98">
                  <c:v>81.886647484960818</c:v>
                </c:pt>
                <c:pt idx="99">
                  <c:v>54.677949875775099</c:v>
                </c:pt>
                <c:pt idx="100">
                  <c:v>81.283759809312684</c:v>
                </c:pt>
                <c:pt idx="101">
                  <c:v>73.549918038540667</c:v>
                </c:pt>
                <c:pt idx="102">
                  <c:v>60.776615050778176</c:v>
                </c:pt>
                <c:pt idx="103">
                  <c:v>70.001311901266149</c:v>
                </c:pt>
                <c:pt idx="104">
                  <c:v>52.65177053561397</c:v>
                </c:pt>
                <c:pt idx="105">
                  <c:v>49.188034881736044</c:v>
                </c:pt>
                <c:pt idx="106">
                  <c:v>87.726675043414218</c:v>
                </c:pt>
                <c:pt idx="107">
                  <c:v>65.590668846362405</c:v>
                </c:pt>
                <c:pt idx="108">
                  <c:v>91.483047903122511</c:v>
                </c:pt>
                <c:pt idx="109">
                  <c:v>52.576462442227886</c:v>
                </c:pt>
                <c:pt idx="110">
                  <c:v>77.66061866869515</c:v>
                </c:pt>
                <c:pt idx="111">
                  <c:v>72.458155628192756</c:v>
                </c:pt>
                <c:pt idx="112">
                  <c:v>60.662830612001798</c:v>
                </c:pt>
                <c:pt idx="113">
                  <c:v>67.211191873200221</c:v>
                </c:pt>
                <c:pt idx="114">
                  <c:v>68.359309672533655</c:v>
                </c:pt>
                <c:pt idx="115">
                  <c:v>67.639882192125668</c:v>
                </c:pt>
                <c:pt idx="116">
                  <c:v>54.277737022231648</c:v>
                </c:pt>
                <c:pt idx="117">
                  <c:v>94.788468215238638</c:v>
                </c:pt>
                <c:pt idx="118">
                  <c:v>62.597923034351211</c:v>
                </c:pt>
                <c:pt idx="119">
                  <c:v>67.887268761605213</c:v>
                </c:pt>
                <c:pt idx="120">
                  <c:v>79.05662383000022</c:v>
                </c:pt>
                <c:pt idx="121">
                  <c:v>65.172151593037853</c:v>
                </c:pt>
                <c:pt idx="122">
                  <c:v>66.133859650634861</c:v>
                </c:pt>
                <c:pt idx="123">
                  <c:v>63.714465027160905</c:v>
                </c:pt>
                <c:pt idx="124">
                  <c:v>63.348666923072479</c:v>
                </c:pt>
                <c:pt idx="125">
                  <c:v>67.464975581062248</c:v>
                </c:pt>
                <c:pt idx="126">
                  <c:v>99.597133165433092</c:v>
                </c:pt>
                <c:pt idx="127">
                  <c:v>86.749953385563387</c:v>
                </c:pt>
                <c:pt idx="128">
                  <c:v>74.293465509076427</c:v>
                </c:pt>
                <c:pt idx="129">
                  <c:v>50.996909890571004</c:v>
                </c:pt>
                <c:pt idx="130">
                  <c:v>73.393252984558188</c:v>
                </c:pt>
                <c:pt idx="131">
                  <c:v>83.871515825075335</c:v>
                </c:pt>
                <c:pt idx="132">
                  <c:v>54.726093708305271</c:v>
                </c:pt>
                <c:pt idx="133">
                  <c:v>76.986282677557625</c:v>
                </c:pt>
                <c:pt idx="134">
                  <c:v>74.624076275121695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3B-4991-AFF1-4AB63D19C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4460928"/>
        <c:axId val="264457600"/>
      </c:scatterChart>
      <c:valAx>
        <c:axId val="264460928"/>
        <c:scaling>
          <c:orientation val="minMax"/>
          <c:max val="200"/>
          <c:min val="14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Altura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64457600"/>
        <c:crosses val="autoZero"/>
        <c:crossBetween val="midCat"/>
      </c:valAx>
      <c:valAx>
        <c:axId val="264457600"/>
        <c:scaling>
          <c:orientation val="minMax"/>
          <c:max val="110"/>
          <c:min val="4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Peso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644609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[Práctica 1 Resuelta (Ejercicios 16 al 29).xlsx]Ej 29!Tabla dinámica14</c:name>
    <c:fmtId val="0"/>
  </c:pivotSource>
  <c:chart>
    <c:autoTitleDeleted val="1"/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'Ej 29'!$B$47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'Ej 29'!$A$48:$A$53</c:f>
              <c:strCache>
                <c:ptCount val="5"/>
                <c:pt idx="0">
                  <c:v>Inquilino o arrendatario de la vivienda</c:v>
                </c:pt>
                <c:pt idx="1">
                  <c:v>Ocupante con relación de dependencia</c:v>
                </c:pt>
                <c:pt idx="2">
                  <c:v>Ocupante gratuito</c:v>
                </c:pt>
                <c:pt idx="3">
                  <c:v>Propietario de la vivienda solamente</c:v>
                </c:pt>
                <c:pt idx="4">
                  <c:v>Propietario de la vivienda y terreno</c:v>
                </c:pt>
              </c:strCache>
            </c:strRef>
          </c:cat>
          <c:val>
            <c:numRef>
              <c:f>'Ej 29'!$B$48:$B$53</c:f>
              <c:numCache>
                <c:formatCode>General</c:formatCode>
                <c:ptCount val="5"/>
                <c:pt idx="0">
                  <c:v>30</c:v>
                </c:pt>
                <c:pt idx="1">
                  <c:v>1</c:v>
                </c:pt>
                <c:pt idx="2">
                  <c:v>8</c:v>
                </c:pt>
                <c:pt idx="3">
                  <c:v>3</c:v>
                </c:pt>
                <c:pt idx="4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F1-4E9D-BC48-652D27DB1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8971904"/>
        <c:axId val="238994176"/>
      </c:barChart>
      <c:catAx>
        <c:axId val="2389719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38994176"/>
        <c:crosses val="autoZero"/>
        <c:auto val="1"/>
        <c:lblAlgn val="ctr"/>
        <c:lblOffset val="100"/>
        <c:noMultiLvlLbl val="0"/>
      </c:catAx>
      <c:valAx>
        <c:axId val="238994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89719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7D480085-20A0-4286-8B45-3ACB39583167}"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plotArea>
      <cx:plotAreaRegion>
        <cx:series layoutId="boxWhisker" uniqueId="{D52501DE-CAA9-4F2E-BA11-01E839DFD762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5.25"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Plan A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s-AR"/>
            <a:t>Plan A</a:t>
          </a:r>
        </a:p>
      </cx:txPr>
    </cx:title>
    <cx:plotArea>
      <cx:plotAreaRegion>
        <cx:series layoutId="clusteredColumn" uniqueId="{0BEC6A2A-1E45-47AA-802A-8F26540701EE}">
          <cx:tx>
            <cx:txData>
              <cx:f>_xlchart.v1.2</cx:f>
              <cx:v>Plan A</cx:v>
            </cx:txData>
          </cx:tx>
          <cx:dataId val="0"/>
          <cx:layoutPr>
            <cx:binning intervalClosed="r">
              <cx:binCount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Plan B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s-AR"/>
            <a:t>Plan B</a:t>
          </a:r>
        </a:p>
      </cx:txPr>
    </cx:title>
    <cx:plotArea>
      <cx:plotAreaRegion>
        <cx:series layoutId="clusteredColumn" uniqueId="{0BEC6A2A-1E45-47AA-802A-8F26540701EE}">
          <cx:tx>
            <cx:txData>
              <cx:f>_xlchart.v1.6</cx:f>
              <cx:v>Plan B</cx:v>
            </cx:txData>
          </cx:tx>
          <cx:dataId val="0"/>
          <cx:layoutPr>
            <cx:binning intervalClosed="r">
              <cx:binCount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Plan A</cx:v>
        </cx:txData>
      </cx:tx>
      <cx:txPr>
        <a:bodyPr rot="0" spcFirstLastPara="1" vertOverflow="ellipsis" vert="horz" wrap="square" lIns="0" tIns="0" rIns="0" bIns="0" anchor="ctr" anchorCtr="1"/>
        <a:lstStyle/>
        <a:p>
          <a:pPr algn="ctr">
            <a:defRPr/>
          </a:pPr>
          <a:r>
            <a:rPr lang="es-AR"/>
            <a:t>Plan A</a:t>
          </a:r>
        </a:p>
      </cx:txPr>
    </cx:title>
    <cx:plotArea>
      <cx:plotAreaRegion>
        <cx:series layoutId="boxWhisker" uniqueId="{B885A2B5-16F5-4A5E-A7F8-396821E762A4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Plan B</cx:v>
        </cx:txData>
      </cx:tx>
      <cx:txPr>
        <a:bodyPr rot="0" spcFirstLastPara="1" vertOverflow="ellipsis" vert="horz" wrap="square" lIns="0" tIns="0" rIns="0" bIns="0" anchor="ctr" anchorCtr="1"/>
        <a:lstStyle/>
        <a:p>
          <a:pPr algn="ctr">
            <a:defRPr/>
          </a:pPr>
          <a:r>
            <a:rPr lang="es-AR"/>
            <a:t>Plan B</a:t>
          </a:r>
        </a:p>
      </cx:txPr>
    </cx:title>
    <cx:plotArea>
      <cx:plotAreaRegion>
        <cx:series layoutId="boxWhisker" uniqueId="{B885A2B5-16F5-4A5E-A7F8-396821E762A4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plotArea>
      <cx:plotAreaRegion>
        <cx:series layoutId="clusteredColumn" uniqueId="{0AF0BA80-010F-43F4-8F31-A28FE68B7F69}">
          <cx:dataId val="0"/>
          <cx:layoutPr>
            <cx:binning intervalClosed="r">
              <cx:binCount val="6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plotArea>
      <cx:plotAreaRegion>
        <cx:series layoutId="boxWhisker" uniqueId="{0AF0BA80-010F-43F4-8F31-A28FE68B7F69}">
          <cx:dataId val="0"/>
          <cx:layoutPr>
            <cx:statistics quartileMethod="exclusive"/>
          </cx:layoutPr>
        </cx:series>
      </cx:plotAreaRegion>
      <cx:axis id="0" hidden="1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chart" Target="../charts/chart5.xml"/><Relationship Id="rId5" Type="http://schemas.microsoft.com/office/2014/relationships/chartEx" Target="../charts/chartEx2.xml"/><Relationship Id="rId4" Type="http://schemas.microsoft.com/office/2014/relationships/chartEx" Target="../charts/chartEx1.xml"/></Relationships>
</file>

<file path=xl/drawings/_rels/drawing6.xml.rels><?xml version="1.0" encoding="UTF-8" standalone="yes"?>
<Relationships xmlns="http://schemas.openxmlformats.org/package/2006/relationships"><Relationship Id="rId8" Type="http://schemas.microsoft.com/office/2014/relationships/chartEx" Target="../charts/chartEx6.xml"/><Relationship Id="rId3" Type="http://schemas.openxmlformats.org/officeDocument/2006/relationships/image" Target="../media/image12.png"/><Relationship Id="rId7" Type="http://schemas.microsoft.com/office/2014/relationships/chartEx" Target="../charts/chartEx5.xml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6" Type="http://schemas.microsoft.com/office/2014/relationships/chartEx" Target="../charts/chartEx4.xml"/><Relationship Id="rId5" Type="http://schemas.microsoft.com/office/2014/relationships/chartEx" Target="../charts/chartEx3.xml"/><Relationship Id="rId4" Type="http://schemas.openxmlformats.org/officeDocument/2006/relationships/image" Target="../media/image13.png"/></Relationships>
</file>

<file path=xl/drawings/_rels/drawing7.xml.rels><?xml version="1.0" encoding="UTF-8" standalone="yes"?>
<Relationships xmlns="http://schemas.openxmlformats.org/package/2006/relationships"><Relationship Id="rId3" Type="http://schemas.microsoft.com/office/2014/relationships/chartEx" Target="../charts/chartEx7.xml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4" Type="http://schemas.microsoft.com/office/2014/relationships/chartEx" Target="../charts/chartEx8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6" Type="http://schemas.openxmlformats.org/officeDocument/2006/relationships/image" Target="../media/image21.png"/><Relationship Id="rId5" Type="http://schemas.openxmlformats.org/officeDocument/2006/relationships/image" Target="../media/image20.png"/><Relationship Id="rId4" Type="http://schemas.openxmlformats.org/officeDocument/2006/relationships/image" Target="../media/image19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image" Target="../media/image23.png"/><Relationship Id="rId1" Type="http://schemas.openxmlformats.org/officeDocument/2006/relationships/image" Target="../media/image2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4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emf"/><Relationship Id="rId1" Type="http://schemas.openxmlformats.org/officeDocument/2006/relationships/image" Target="../media/image5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7.emf"/><Relationship Id="rId1" Type="http://schemas.openxmlformats.org/officeDocument/2006/relationships/image" Target="../media/image6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21</xdr:row>
          <xdr:rowOff>28575</xdr:rowOff>
        </xdr:from>
        <xdr:to>
          <xdr:col>8</xdr:col>
          <xdr:colOff>466725</xdr:colOff>
          <xdr:row>25</xdr:row>
          <xdr:rowOff>19050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371475</xdr:colOff>
          <xdr:row>79</xdr:row>
          <xdr:rowOff>66675</xdr:rowOff>
        </xdr:from>
        <xdr:to>
          <xdr:col>8</xdr:col>
          <xdr:colOff>695325</xdr:colOff>
          <xdr:row>82</xdr:row>
          <xdr:rowOff>57150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58</xdr:row>
          <xdr:rowOff>104775</xdr:rowOff>
        </xdr:from>
        <xdr:to>
          <xdr:col>9</xdr:col>
          <xdr:colOff>66675</xdr:colOff>
          <xdr:row>62</xdr:row>
          <xdr:rowOff>133350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333375</xdr:colOff>
          <xdr:row>64</xdr:row>
          <xdr:rowOff>152400</xdr:rowOff>
        </xdr:from>
        <xdr:to>
          <xdr:col>8</xdr:col>
          <xdr:colOff>647700</xdr:colOff>
          <xdr:row>67</xdr:row>
          <xdr:rowOff>133350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447675</xdr:colOff>
          <xdr:row>11</xdr:row>
          <xdr:rowOff>28575</xdr:rowOff>
        </xdr:from>
        <xdr:to>
          <xdr:col>2</xdr:col>
          <xdr:colOff>200025</xdr:colOff>
          <xdr:row>15</xdr:row>
          <xdr:rowOff>57150</xdr:rowOff>
        </xdr:to>
        <xdr:sp macro="" textlink="">
          <xdr:nvSpPr>
            <xdr:cNvPr id="4100" name="Object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1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542925</xdr:colOff>
          <xdr:row>5</xdr:row>
          <xdr:rowOff>57150</xdr:rowOff>
        </xdr:from>
        <xdr:to>
          <xdr:col>12</xdr:col>
          <xdr:colOff>552450</xdr:colOff>
          <xdr:row>9</xdr:row>
          <xdr:rowOff>85725</xdr:rowOff>
        </xdr:to>
        <xdr:sp macro="" textlink="">
          <xdr:nvSpPr>
            <xdr:cNvPr id="4101" name="Object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1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57150</xdr:colOff>
          <xdr:row>10</xdr:row>
          <xdr:rowOff>104775</xdr:rowOff>
        </xdr:from>
        <xdr:to>
          <xdr:col>12</xdr:col>
          <xdr:colOff>371475</xdr:colOff>
          <xdr:row>13</xdr:row>
          <xdr:rowOff>85725</xdr:rowOff>
        </xdr:to>
        <xdr:sp macro="" textlink="">
          <xdr:nvSpPr>
            <xdr:cNvPr id="4102" name="Object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1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</xdr:row>
      <xdr:rowOff>52387</xdr:rowOff>
    </xdr:from>
    <xdr:to>
      <xdr:col>4</xdr:col>
      <xdr:colOff>666750</xdr:colOff>
      <xdr:row>69</xdr:row>
      <xdr:rowOff>128587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1685925</xdr:colOff>
      <xdr:row>55</xdr:row>
      <xdr:rowOff>71437</xdr:rowOff>
    </xdr:from>
    <xdr:to>
      <xdr:col>9</xdr:col>
      <xdr:colOff>409575</xdr:colOff>
      <xdr:row>69</xdr:row>
      <xdr:rowOff>147637</xdr:rowOff>
    </xdr:to>
    <xdr:graphicFrame macro="">
      <xdr:nvGraphicFramePr>
        <xdr:cNvPr id="5" name="4 Gráfico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247650</xdr:colOff>
      <xdr:row>73</xdr:row>
      <xdr:rowOff>109537</xdr:rowOff>
    </xdr:from>
    <xdr:to>
      <xdr:col>4</xdr:col>
      <xdr:colOff>914400</xdr:colOff>
      <xdr:row>87</xdr:row>
      <xdr:rowOff>185737</xdr:rowOff>
    </xdr:to>
    <xdr:graphicFrame macro="">
      <xdr:nvGraphicFramePr>
        <xdr:cNvPr id="7" name="6 Gráfico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28</xdr:row>
          <xdr:rowOff>142875</xdr:rowOff>
        </xdr:from>
        <xdr:to>
          <xdr:col>10</xdr:col>
          <xdr:colOff>447675</xdr:colOff>
          <xdr:row>31</xdr:row>
          <xdr:rowOff>123825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3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47</xdr:row>
          <xdr:rowOff>0</xdr:rowOff>
        </xdr:from>
        <xdr:to>
          <xdr:col>6</xdr:col>
          <xdr:colOff>200025</xdr:colOff>
          <xdr:row>49</xdr:row>
          <xdr:rowOff>38100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3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51</xdr:row>
          <xdr:rowOff>28575</xdr:rowOff>
        </xdr:from>
        <xdr:to>
          <xdr:col>8</xdr:col>
          <xdr:colOff>95250</xdr:colOff>
          <xdr:row>55</xdr:row>
          <xdr:rowOff>57150</xdr:rowOff>
        </xdr:to>
        <xdr:sp macro="" textlink="">
          <xdr:nvSpPr>
            <xdr:cNvPr id="3075" name="Object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3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447675</xdr:colOff>
          <xdr:row>56</xdr:row>
          <xdr:rowOff>66675</xdr:rowOff>
        </xdr:from>
        <xdr:to>
          <xdr:col>7</xdr:col>
          <xdr:colOff>152400</xdr:colOff>
          <xdr:row>59</xdr:row>
          <xdr:rowOff>47625</xdr:rowOff>
        </xdr:to>
        <xdr:sp macro="" textlink="">
          <xdr:nvSpPr>
            <xdr:cNvPr id="3076" name="Object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3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0</xdr:col>
      <xdr:colOff>142875</xdr:colOff>
      <xdr:row>8</xdr:row>
      <xdr:rowOff>109537</xdr:rowOff>
    </xdr:from>
    <xdr:to>
      <xdr:col>8</xdr:col>
      <xdr:colOff>200025</xdr:colOff>
      <xdr:row>22</xdr:row>
      <xdr:rowOff>185737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112</xdr:row>
      <xdr:rowOff>52387</xdr:rowOff>
    </xdr:from>
    <xdr:to>
      <xdr:col>4</xdr:col>
      <xdr:colOff>523875</xdr:colOff>
      <xdr:row>125</xdr:row>
      <xdr:rowOff>0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781050</xdr:colOff>
      <xdr:row>111</xdr:row>
      <xdr:rowOff>57150</xdr:rowOff>
    </xdr:from>
    <xdr:to>
      <xdr:col>11</xdr:col>
      <xdr:colOff>428625</xdr:colOff>
      <xdr:row>124</xdr:row>
      <xdr:rowOff>152400</xdr:rowOff>
    </xdr:to>
    <xdr:pic>
      <xdr:nvPicPr>
        <xdr:cNvPr id="12" name="11 Imagen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4225" y="21202650"/>
          <a:ext cx="3495675" cy="2571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504825</xdr:colOff>
      <xdr:row>145</xdr:row>
      <xdr:rowOff>38100</xdr:rowOff>
    </xdr:from>
    <xdr:to>
      <xdr:col>11</xdr:col>
      <xdr:colOff>742950</xdr:colOff>
      <xdr:row>170</xdr:row>
      <xdr:rowOff>104775</xdr:rowOff>
    </xdr:to>
    <xdr:pic>
      <xdr:nvPicPr>
        <xdr:cNvPr id="14" name="13 Imagen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9575" y="27660600"/>
          <a:ext cx="2914650" cy="4829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504825</xdr:colOff>
      <xdr:row>110</xdr:row>
      <xdr:rowOff>104775</xdr:rowOff>
    </xdr:from>
    <xdr:to>
      <xdr:col>18</xdr:col>
      <xdr:colOff>504825</xdr:colOff>
      <xdr:row>124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00000000-0008-0000-05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68100" y="210597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12</xdr:col>
      <xdr:colOff>252412</xdr:colOff>
      <xdr:row>146</xdr:row>
      <xdr:rowOff>9525</xdr:rowOff>
    </xdr:from>
    <xdr:to>
      <xdr:col>18</xdr:col>
      <xdr:colOff>252412</xdr:colOff>
      <xdr:row>170</xdr:row>
      <xdr:rowOff>19049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00000000-0008-0000-0500-00000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215687" y="27822525"/>
              <a:ext cx="4572000" cy="45815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40</xdr:row>
      <xdr:rowOff>66675</xdr:rowOff>
    </xdr:from>
    <xdr:to>
      <xdr:col>4</xdr:col>
      <xdr:colOff>600075</xdr:colOff>
      <xdr:row>53</xdr:row>
      <xdr:rowOff>133350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7686675"/>
          <a:ext cx="3467100" cy="2543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114300</xdr:colOff>
      <xdr:row>40</xdr:row>
      <xdr:rowOff>47625</xdr:rowOff>
    </xdr:from>
    <xdr:to>
      <xdr:col>10</xdr:col>
      <xdr:colOff>590550</xdr:colOff>
      <xdr:row>53</xdr:row>
      <xdr:rowOff>133350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0" y="7667625"/>
          <a:ext cx="3524250" cy="2562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409575</xdr:colOff>
      <xdr:row>59</xdr:row>
      <xdr:rowOff>0</xdr:rowOff>
    </xdr:from>
    <xdr:to>
      <xdr:col>4</xdr:col>
      <xdr:colOff>266700</xdr:colOff>
      <xdr:row>84</xdr:row>
      <xdr:rowOff>47625</xdr:rowOff>
    </xdr:to>
    <xdr:pic>
      <xdr:nvPicPr>
        <xdr:cNvPr id="4" name="3 Imagen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" y="11239500"/>
          <a:ext cx="2905125" cy="481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333375</xdr:colOff>
      <xdr:row>59</xdr:row>
      <xdr:rowOff>28575</xdr:rowOff>
    </xdr:from>
    <xdr:to>
      <xdr:col>10</xdr:col>
      <xdr:colOff>190500</xdr:colOff>
      <xdr:row>84</xdr:row>
      <xdr:rowOff>85725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11268075"/>
          <a:ext cx="2905125" cy="481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33338</xdr:colOff>
      <xdr:row>40</xdr:row>
      <xdr:rowOff>47625</xdr:rowOff>
    </xdr:from>
    <xdr:to>
      <xdr:col>14</xdr:col>
      <xdr:colOff>276226</xdr:colOff>
      <xdr:row>54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áfico 5">
              <a:extLst>
                <a:ext uri="{FF2B5EF4-FFF2-40B4-BE49-F238E27FC236}">
                  <a16:creationId xmlns:a16="http://schemas.microsoft.com/office/drawing/2014/main" id="{00000000-0008-0000-0600-000006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15338" y="7667625"/>
              <a:ext cx="2528888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15</xdr:col>
      <xdr:colOff>0</xdr:colOff>
      <xdr:row>40</xdr:row>
      <xdr:rowOff>0</xdr:rowOff>
    </xdr:from>
    <xdr:to>
      <xdr:col>18</xdr:col>
      <xdr:colOff>242888</xdr:colOff>
      <xdr:row>54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>
              <a:extLst>
                <a:ext uri="{FF2B5EF4-FFF2-40B4-BE49-F238E27FC236}">
                  <a16:creationId xmlns:a16="http://schemas.microsoft.com/office/drawing/2014/main" id="{00000000-0008-0000-0600-000007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30000" y="7620000"/>
              <a:ext cx="2528888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10</xdr:col>
      <xdr:colOff>700087</xdr:colOff>
      <xdr:row>59</xdr:row>
      <xdr:rowOff>38099</xdr:rowOff>
    </xdr:from>
    <xdr:to>
      <xdr:col>14</xdr:col>
      <xdr:colOff>542925</xdr:colOff>
      <xdr:row>84</xdr:row>
      <xdr:rowOff>47624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áfico 7">
              <a:extLst>
                <a:ext uri="{FF2B5EF4-FFF2-40B4-BE49-F238E27FC236}">
                  <a16:creationId xmlns:a16="http://schemas.microsoft.com/office/drawing/2014/main" id="{00000000-0008-0000-0600-000008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20087" y="11277599"/>
              <a:ext cx="2890838" cy="4772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15</xdr:col>
      <xdr:colOff>0</xdr:colOff>
      <xdr:row>59</xdr:row>
      <xdr:rowOff>0</xdr:rowOff>
    </xdr:from>
    <xdr:to>
      <xdr:col>18</xdr:col>
      <xdr:colOff>604838</xdr:colOff>
      <xdr:row>84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áfico 8">
              <a:extLst>
                <a:ext uri="{FF2B5EF4-FFF2-40B4-BE49-F238E27FC236}">
                  <a16:creationId xmlns:a16="http://schemas.microsoft.com/office/drawing/2014/main" id="{00000000-0008-0000-0600-000009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30000" y="11239500"/>
              <a:ext cx="2890838" cy="4772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110</xdr:row>
      <xdr:rowOff>114300</xdr:rowOff>
    </xdr:from>
    <xdr:to>
      <xdr:col>3</xdr:col>
      <xdr:colOff>419100</xdr:colOff>
      <xdr:row>124</xdr:row>
      <xdr:rowOff>19050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1069300"/>
          <a:ext cx="3467100" cy="2571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514350</xdr:colOff>
      <xdr:row>110</xdr:row>
      <xdr:rowOff>161925</xdr:rowOff>
    </xdr:from>
    <xdr:to>
      <xdr:col>8</xdr:col>
      <xdr:colOff>371475</xdr:colOff>
      <xdr:row>136</xdr:row>
      <xdr:rowOff>28575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0550" y="21116925"/>
          <a:ext cx="2905125" cy="481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33337</xdr:colOff>
      <xdr:row>110</xdr:row>
      <xdr:rowOff>161925</xdr:rowOff>
    </xdr:from>
    <xdr:to>
      <xdr:col>14</xdr:col>
      <xdr:colOff>9525</xdr:colOff>
      <xdr:row>125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00000000-0008-0000-0700-00000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29537" y="21116925"/>
              <a:ext cx="3786188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14</xdr:col>
      <xdr:colOff>0</xdr:colOff>
      <xdr:row>111</xdr:row>
      <xdr:rowOff>0</xdr:rowOff>
    </xdr:from>
    <xdr:to>
      <xdr:col>18</xdr:col>
      <xdr:colOff>738188</xdr:colOff>
      <xdr:row>136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00000000-0008-0000-0700-000005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06200" y="21145500"/>
              <a:ext cx="3786188" cy="4781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533400</xdr:colOff>
      <xdr:row>3</xdr:row>
      <xdr:rowOff>38100</xdr:rowOff>
    </xdr:from>
    <xdr:to>
      <xdr:col>8</xdr:col>
      <xdr:colOff>200025</xdr:colOff>
      <xdr:row>16</xdr:row>
      <xdr:rowOff>171450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9400" y="609600"/>
          <a:ext cx="3505200" cy="2609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552450</xdr:colOff>
      <xdr:row>3</xdr:row>
      <xdr:rowOff>9525</xdr:rowOff>
    </xdr:from>
    <xdr:to>
      <xdr:col>13</xdr:col>
      <xdr:colOff>276225</xdr:colOff>
      <xdr:row>16</xdr:row>
      <xdr:rowOff>133350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581025"/>
          <a:ext cx="3533775" cy="2600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76200</xdr:colOff>
      <xdr:row>3</xdr:row>
      <xdr:rowOff>38100</xdr:rowOff>
    </xdr:from>
    <xdr:to>
      <xdr:col>18</xdr:col>
      <xdr:colOff>466725</xdr:colOff>
      <xdr:row>16</xdr:row>
      <xdr:rowOff>104775</xdr:rowOff>
    </xdr:to>
    <xdr:pic>
      <xdr:nvPicPr>
        <xdr:cNvPr id="4" name="3 Imagen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44200" y="609600"/>
          <a:ext cx="3438525" cy="2543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24</xdr:row>
      <xdr:rowOff>57150</xdr:rowOff>
    </xdr:from>
    <xdr:to>
      <xdr:col>7</xdr:col>
      <xdr:colOff>628650</xdr:colOff>
      <xdr:row>49</xdr:row>
      <xdr:rowOff>114300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5625" y="4629150"/>
          <a:ext cx="2895600" cy="481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47625</xdr:colOff>
      <xdr:row>24</xdr:row>
      <xdr:rowOff>57150</xdr:rowOff>
    </xdr:from>
    <xdr:to>
      <xdr:col>12</xdr:col>
      <xdr:colOff>666750</xdr:colOff>
      <xdr:row>49</xdr:row>
      <xdr:rowOff>123825</xdr:rowOff>
    </xdr:to>
    <xdr:pic>
      <xdr:nvPicPr>
        <xdr:cNvPr id="6" name="5 Imagen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5625" y="4629150"/>
          <a:ext cx="2905125" cy="4829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76200</xdr:colOff>
      <xdr:row>24</xdr:row>
      <xdr:rowOff>57150</xdr:rowOff>
    </xdr:from>
    <xdr:to>
      <xdr:col>17</xdr:col>
      <xdr:colOff>685800</xdr:colOff>
      <xdr:row>49</xdr:row>
      <xdr:rowOff>123825</xdr:rowOff>
    </xdr:to>
    <xdr:pic>
      <xdr:nvPicPr>
        <xdr:cNvPr id="7" name="6 Imagen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44200" y="4629150"/>
          <a:ext cx="2895600" cy="4829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28575</xdr:colOff>
      <xdr:row>0</xdr:row>
      <xdr:rowOff>47625</xdr:rowOff>
    </xdr:from>
    <xdr:to>
      <xdr:col>11</xdr:col>
      <xdr:colOff>638175</xdr:colOff>
      <xdr:row>25</xdr:row>
      <xdr:rowOff>133350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47625"/>
          <a:ext cx="2895600" cy="4848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85725</xdr:colOff>
      <xdr:row>28</xdr:row>
      <xdr:rowOff>47625</xdr:rowOff>
    </xdr:from>
    <xdr:to>
      <xdr:col>11</xdr:col>
      <xdr:colOff>695325</xdr:colOff>
      <xdr:row>53</xdr:row>
      <xdr:rowOff>114300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43700" y="5381625"/>
          <a:ext cx="2895600" cy="4829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47625</xdr:colOff>
      <xdr:row>55</xdr:row>
      <xdr:rowOff>61912</xdr:rowOff>
    </xdr:from>
    <xdr:to>
      <xdr:col>10</xdr:col>
      <xdr:colOff>390525</xdr:colOff>
      <xdr:row>69</xdr:row>
      <xdr:rowOff>138112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42862</xdr:rowOff>
    </xdr:from>
    <xdr:to>
      <xdr:col>11</xdr:col>
      <xdr:colOff>0</xdr:colOff>
      <xdr:row>15</xdr:row>
      <xdr:rowOff>119062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6</xdr:row>
      <xdr:rowOff>176212</xdr:rowOff>
    </xdr:from>
    <xdr:to>
      <xdr:col>4</xdr:col>
      <xdr:colOff>638175</xdr:colOff>
      <xdr:row>21</xdr:row>
      <xdr:rowOff>61912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66675</xdr:colOff>
      <xdr:row>51</xdr:row>
      <xdr:rowOff>71437</xdr:rowOff>
    </xdr:from>
    <xdr:to>
      <xdr:col>5</xdr:col>
      <xdr:colOff>457200</xdr:colOff>
      <xdr:row>67</xdr:row>
      <xdr:rowOff>104775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68</xdr:row>
      <xdr:rowOff>0</xdr:rowOff>
    </xdr:from>
    <xdr:to>
      <xdr:col>5</xdr:col>
      <xdr:colOff>390525</xdr:colOff>
      <xdr:row>84</xdr:row>
      <xdr:rowOff>33338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38100</xdr:colOff>
      <xdr:row>103</xdr:row>
      <xdr:rowOff>119062</xdr:rowOff>
    </xdr:from>
    <xdr:to>
      <xdr:col>4</xdr:col>
      <xdr:colOff>609600</xdr:colOff>
      <xdr:row>118</xdr:row>
      <xdr:rowOff>4762</xdr:rowOff>
    </xdr:to>
    <xdr:graphicFrame macro="">
      <xdr:nvGraphicFramePr>
        <xdr:cNvPr id="5" name="4 Gráfico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53</xdr:row>
      <xdr:rowOff>61912</xdr:rowOff>
    </xdr:from>
    <xdr:to>
      <xdr:col>3</xdr:col>
      <xdr:colOff>361950</xdr:colOff>
      <xdr:row>67</xdr:row>
      <xdr:rowOff>138112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steban" refreshedDate="42594.63871712963" createdVersion="4" refreshedVersion="4" minRefreshableVersion="3" recordCount="25" xr:uid="{00000000-000A-0000-FFFF-FFFF00000000}">
  <cacheSource type="worksheet">
    <worksheetSource ref="D9:E34" sheet="Ej 18"/>
  </cacheSource>
  <cacheFields count="2">
    <cacheField name="xi" numFmtId="0">
      <sharedItems containsSemiMixedTypes="0" containsString="0" containsNumber="1" containsInteger="1" minValue="1" maxValue="4"/>
    </cacheField>
    <cacheField name="Categoría" numFmtId="0">
      <sharedItems count="4">
        <s v="Cerveza artesanal"/>
        <s v="Cerveza importada"/>
        <s v="Cerveza Nacional en lata"/>
        <s v="Cerveza Nacional en botell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steban" refreshedDate="42598.494315393516" createdVersion="4" refreshedVersion="4" minRefreshableVersion="3" recordCount="40" xr:uid="{00000000-000A-0000-FFFF-FFFF01000000}">
  <cacheSource type="worksheet">
    <worksheetSource ref="C5:C45" sheet="Ej 20"/>
  </cacheSource>
  <cacheFields count="1">
    <cacheField name="Llegadas Tarde" numFmtId="0">
      <sharedItems containsSemiMixedTypes="0" containsString="0" containsNumber="1" containsInteger="1" minValue="0" maxValue="8" count="7">
        <n v="4"/>
        <n v="6"/>
        <n v="1"/>
        <n v="0"/>
        <n v="3"/>
        <n v="2"/>
        <n v="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steban" refreshedDate="42598.601435532408" createdVersion="4" refreshedVersion="4" minRefreshableVersion="3" recordCount="60" xr:uid="{00000000-000A-0000-FFFF-FFFF02000000}">
  <cacheSource type="worksheet">
    <worksheetSource ref="C4:C64" sheet="Ej 23"/>
  </cacheSource>
  <cacheFields count="1">
    <cacheField name="Clientes" numFmtId="0">
      <sharedItems containsSemiMixedTypes="0" containsString="0" containsNumber="1" containsInteger="1" minValue="0" maxValue="6" count="7">
        <n v="0"/>
        <n v="2"/>
        <n v="5"/>
        <n v="1"/>
        <n v="4"/>
        <n v="3"/>
        <n v="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steban" refreshedDate="42598.682684375002" createdVersion="4" refreshedVersion="4" minRefreshableVersion="3" recordCount="100" xr:uid="{00000000-000A-0000-FFFF-FFFF03000000}">
  <cacheSource type="worksheet">
    <worksheetSource ref="J1:J101" sheet="Ej 29"/>
  </cacheSource>
  <cacheFields count="1">
    <cacheField name="Sexo_Cat" numFmtId="0">
      <sharedItems count="2">
        <s v="Mujer"/>
        <s v="Varó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steban" refreshedDate="42598.685445138886" createdVersion="4" refreshedVersion="4" minRefreshableVersion="3" recordCount="100" xr:uid="{00000000-000A-0000-FFFF-FFFF04000000}">
  <cacheSource type="worksheet">
    <worksheetSource ref="L1:L101" sheet="Ej 29"/>
  </cacheSource>
  <cacheFields count="1">
    <cacheField name="Civil_Cat" numFmtId="0">
      <sharedItems count="5">
        <s v="Casado"/>
        <s v="Soltero"/>
        <s v="Viudo"/>
        <s v="Separado/Divorciado"/>
        <s v="Unid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steban" refreshedDate="42598.689631134257" createdVersion="4" refreshedVersion="4" minRefreshableVersion="3" recordCount="100" xr:uid="{00000000-000A-0000-FFFF-FFFF05000000}">
  <cacheSource type="worksheet">
    <worksheetSource ref="T1:T101" sheet="Ej 29"/>
  </cacheSource>
  <cacheFields count="1">
    <cacheField name="Estud_Cat" numFmtId="0">
      <sharedItems count="9">
        <s v="Primario"/>
        <s v="Normal"/>
        <s v="Universitaria"/>
        <s v="Comercial"/>
        <s v="Nacional"/>
        <s v="No sabe leer ni escribir"/>
        <s v="Superior"/>
        <s v="Técnica"/>
        <s v="Otra enseñanza medi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steban" refreshedDate="42598.692876388886" createdVersion="4" refreshedVersion="4" minRefreshableVersion="3" recordCount="100" xr:uid="{00000000-000A-0000-FFFF-FFFF06000000}">
  <cacheSource type="worksheet">
    <worksheetSource ref="W1:W101" sheet="Ej 29"/>
  </cacheSource>
  <cacheFields count="1">
    <cacheField name="Vivien_Cat" numFmtId="0">
      <sharedItems count="6">
        <s v="Departamento"/>
        <s v="Casa"/>
        <s v="Vivienda en lugar de trabajo"/>
        <s v="Inquilinato"/>
        <s v="Vivienda en villa"/>
        <s v="Construcción no destinada a fines habitacional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steban" refreshedDate="42598.697680787038" createdVersion="4" refreshedVersion="4" minRefreshableVersion="3" recordCount="100" xr:uid="{00000000-000A-0000-FFFF-FFFF07000000}">
  <cacheSource type="worksheet">
    <worksheetSource ref="Z1:Z101" sheet="Ej 29"/>
  </cacheSource>
  <cacheFields count="1">
    <cacheField name="Esust_Cat" numFmtId="0">
      <sharedItems count="5">
        <s v="Inquilino o arrendatario de la vivienda"/>
        <s v="Propietario de la vivienda y terreno"/>
        <s v="Ocupante gratuito"/>
        <s v="Propietario de la vivienda solamente"/>
        <s v="Ocupante con relación de dependenci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steban" refreshedDate="42598.702765162037" createdVersion="4" refreshedVersion="4" minRefreshableVersion="3" recordCount="100" xr:uid="{00000000-000A-0000-FFFF-FFFF08000000}">
  <cacheSource type="worksheet">
    <worksheetSource ref="O1:O101" sheet="Ej 29"/>
  </cacheSource>
  <cacheFields count="1">
    <cacheField name="Usted_Cat" numFmtId="0">
      <sharedItems count="4">
        <s v="Obrero o empleado"/>
        <s v="Patrón o empleado"/>
        <s v="Trabajador por su cuenta"/>
        <s v="Trabajador sin salar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steban" refreshedDate="42599.422964467594" createdVersion="4" refreshedVersion="4" minRefreshableVersion="3" recordCount="135" xr:uid="{00000000-000A-0000-FFFF-FFFF09000000}">
  <cacheSource type="worksheet">
    <worksheetSource ref="M1:M136" sheet="Ej 28"/>
  </cacheSource>
  <cacheFields count="1">
    <cacheField name="Sexo_Cat" numFmtId="0">
      <sharedItems count="2">
        <s v="Mujer"/>
        <s v="Varó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steban" refreshedDate="42599.424889930553" createdVersion="4" refreshedVersion="4" minRefreshableVersion="3" recordCount="135" xr:uid="{00000000-000A-0000-FFFF-FFFF0A000000}">
  <cacheSource type="worksheet">
    <worksheetSource ref="H1:H136" sheet="Ej 28"/>
  </cacheSource>
  <cacheFields count="1">
    <cacheField name="Nota" numFmtId="0">
      <sharedItems containsSemiMixedTypes="0" containsString="0" containsNumber="1" containsInteger="1" minValue="1" maxValue="10" count="10">
        <n v="10"/>
        <n v="2"/>
        <n v="3"/>
        <n v="1"/>
        <n v="9"/>
        <n v="4"/>
        <n v="6"/>
        <n v="7"/>
        <n v="8"/>
        <n v="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steban" refreshedDate="42599.435569675923" createdVersion="4" refreshedVersion="4" minRefreshableVersion="3" recordCount="135" xr:uid="{00000000-000A-0000-FFFF-FFFF0B000000}">
  <cacheSource type="worksheet">
    <worksheetSource ref="J1:M136" sheet="Ej 28"/>
  </cacheSource>
  <cacheFields count="4">
    <cacheField name="Altura" numFmtId="0">
      <sharedItems containsSemiMixedTypes="0" containsString="0" containsNumber="1" minValue="150.21855185061423" maxValue="196.587766801219"/>
    </cacheField>
    <cacheField name="Peso" numFmtId="0">
      <sharedItems containsSemiMixedTypes="0" containsString="0" containsNumber="1" minValue="43.255985832069605" maxValue="106.67448409936343"/>
    </cacheField>
    <cacheField name="Gasto_Libros" numFmtId="0">
      <sharedItems containsSemiMixedTypes="0" containsString="0" containsNumber="1" containsInteger="1" minValue="6" maxValue="990"/>
    </cacheField>
    <cacheField name="Sexo_Cat" numFmtId="0">
      <sharedItems count="2">
        <s v="Mujer"/>
        <s v="Varó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steban" refreshedDate="42599.438716319448" createdVersion="4" refreshedVersion="4" minRefreshableVersion="3" recordCount="135" xr:uid="{00000000-000A-0000-FFFF-FFFF0C000000}">
  <cacheSource type="worksheet">
    <worksheetSource ref="M1:N136" sheet="Ej 28"/>
  </cacheSource>
  <cacheFields count="2">
    <cacheField name="Sexo_Cat" numFmtId="0">
      <sharedItems count="2">
        <s v="Mujer"/>
        <s v="Varón"/>
      </sharedItems>
    </cacheField>
    <cacheField name="Procedencia_Cat" numFmtId="0">
      <sharedItems count="3">
        <s v="Resto"/>
        <s v="CABA"/>
        <s v="GB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">
  <r>
    <n v="3"/>
    <x v="0"/>
  </r>
  <r>
    <n v="4"/>
    <x v="1"/>
  </r>
  <r>
    <n v="1"/>
    <x v="2"/>
  </r>
  <r>
    <n v="1"/>
    <x v="2"/>
  </r>
  <r>
    <n v="3"/>
    <x v="0"/>
  </r>
  <r>
    <n v="4"/>
    <x v="1"/>
  </r>
  <r>
    <n v="3"/>
    <x v="0"/>
  </r>
  <r>
    <n v="3"/>
    <x v="0"/>
  </r>
  <r>
    <n v="1"/>
    <x v="2"/>
  </r>
  <r>
    <n v="3"/>
    <x v="0"/>
  </r>
  <r>
    <n v="2"/>
    <x v="3"/>
  </r>
  <r>
    <n v="1"/>
    <x v="2"/>
  </r>
  <r>
    <n v="2"/>
    <x v="3"/>
  </r>
  <r>
    <n v="1"/>
    <x v="2"/>
  </r>
  <r>
    <n v="2"/>
    <x v="3"/>
  </r>
  <r>
    <n v="3"/>
    <x v="0"/>
  </r>
  <r>
    <n v="2"/>
    <x v="3"/>
  </r>
  <r>
    <n v="3"/>
    <x v="0"/>
  </r>
  <r>
    <n v="1"/>
    <x v="2"/>
  </r>
  <r>
    <n v="1"/>
    <x v="2"/>
  </r>
  <r>
    <n v="1"/>
    <x v="2"/>
  </r>
  <r>
    <n v="1"/>
    <x v="2"/>
  </r>
  <r>
    <n v="4"/>
    <x v="1"/>
  </r>
  <r>
    <n v="3"/>
    <x v="0"/>
  </r>
  <r>
    <n v="1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0">
  <r>
    <x v="0"/>
  </r>
  <r>
    <x v="1"/>
  </r>
  <r>
    <x v="2"/>
  </r>
  <r>
    <x v="3"/>
  </r>
  <r>
    <x v="0"/>
  </r>
  <r>
    <x v="2"/>
  </r>
  <r>
    <x v="4"/>
  </r>
  <r>
    <x v="5"/>
  </r>
  <r>
    <x v="2"/>
  </r>
  <r>
    <x v="2"/>
  </r>
  <r>
    <x v="5"/>
  </r>
  <r>
    <x v="4"/>
  </r>
  <r>
    <x v="5"/>
  </r>
  <r>
    <x v="2"/>
  </r>
  <r>
    <x v="4"/>
  </r>
  <r>
    <x v="6"/>
  </r>
  <r>
    <x v="3"/>
  </r>
  <r>
    <x v="2"/>
  </r>
  <r>
    <x v="5"/>
  </r>
  <r>
    <x v="0"/>
  </r>
  <r>
    <x v="3"/>
  </r>
  <r>
    <x v="2"/>
  </r>
  <r>
    <x v="3"/>
  </r>
  <r>
    <x v="0"/>
  </r>
  <r>
    <x v="3"/>
  </r>
  <r>
    <x v="4"/>
  </r>
  <r>
    <x v="2"/>
  </r>
  <r>
    <x v="2"/>
  </r>
  <r>
    <x v="5"/>
  </r>
  <r>
    <x v="4"/>
  </r>
  <r>
    <x v="2"/>
  </r>
  <r>
    <x v="5"/>
  </r>
  <r>
    <x v="2"/>
  </r>
  <r>
    <x v="3"/>
  </r>
  <r>
    <x v="2"/>
  </r>
  <r>
    <x v="2"/>
  </r>
  <r>
    <x v="3"/>
  </r>
  <r>
    <x v="4"/>
  </r>
  <r>
    <x v="1"/>
  </r>
  <r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60">
  <r>
    <x v="0"/>
  </r>
  <r>
    <x v="1"/>
  </r>
  <r>
    <x v="2"/>
  </r>
  <r>
    <x v="0"/>
  </r>
  <r>
    <x v="3"/>
  </r>
  <r>
    <x v="4"/>
  </r>
  <r>
    <x v="3"/>
  </r>
  <r>
    <x v="0"/>
  </r>
  <r>
    <x v="1"/>
  </r>
  <r>
    <x v="3"/>
  </r>
  <r>
    <x v="2"/>
  </r>
  <r>
    <x v="0"/>
  </r>
  <r>
    <x v="3"/>
  </r>
  <r>
    <x v="5"/>
  </r>
  <r>
    <x v="0"/>
  </r>
  <r>
    <x v="0"/>
  </r>
  <r>
    <x v="1"/>
  </r>
  <r>
    <x v="3"/>
  </r>
  <r>
    <x v="5"/>
  </r>
  <r>
    <x v="3"/>
  </r>
  <r>
    <x v="3"/>
  </r>
  <r>
    <x v="4"/>
  </r>
  <r>
    <x v="0"/>
  </r>
  <r>
    <x v="1"/>
  </r>
  <r>
    <x v="4"/>
  </r>
  <r>
    <x v="3"/>
  </r>
  <r>
    <x v="1"/>
  </r>
  <r>
    <x v="4"/>
  </r>
  <r>
    <x v="0"/>
  </r>
  <r>
    <x v="4"/>
  </r>
  <r>
    <x v="5"/>
  </r>
  <r>
    <x v="2"/>
  </r>
  <r>
    <x v="0"/>
  </r>
  <r>
    <x v="3"/>
  </r>
  <r>
    <x v="5"/>
  </r>
  <r>
    <x v="6"/>
  </r>
  <r>
    <x v="4"/>
  </r>
  <r>
    <x v="1"/>
  </r>
  <r>
    <x v="0"/>
  </r>
  <r>
    <x v="1"/>
  </r>
  <r>
    <x v="0"/>
  </r>
  <r>
    <x v="1"/>
  </r>
  <r>
    <x v="5"/>
  </r>
  <r>
    <x v="0"/>
  </r>
  <r>
    <x v="4"/>
  </r>
  <r>
    <x v="1"/>
  </r>
  <r>
    <x v="2"/>
  </r>
  <r>
    <x v="3"/>
  </r>
  <r>
    <x v="3"/>
  </r>
  <r>
    <x v="1"/>
  </r>
  <r>
    <x v="1"/>
  </r>
  <r>
    <x v="3"/>
  </r>
  <r>
    <x v="6"/>
  </r>
  <r>
    <x v="2"/>
  </r>
  <r>
    <x v="0"/>
  </r>
  <r>
    <x v="5"/>
  </r>
  <r>
    <x v="5"/>
  </r>
  <r>
    <x v="0"/>
  </r>
  <r>
    <x v="0"/>
  </r>
  <r>
    <x v="4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00"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00"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2"/>
  </r>
  <r>
    <x v="1"/>
  </r>
  <r>
    <x v="2"/>
  </r>
  <r>
    <x v="1"/>
  </r>
  <r>
    <x v="0"/>
  </r>
  <r>
    <x v="1"/>
  </r>
  <r>
    <x v="0"/>
  </r>
  <r>
    <x v="1"/>
  </r>
  <r>
    <x v="0"/>
  </r>
  <r>
    <x v="1"/>
  </r>
  <r>
    <x v="0"/>
  </r>
  <r>
    <x v="1"/>
  </r>
  <r>
    <x v="3"/>
  </r>
  <r>
    <x v="0"/>
  </r>
  <r>
    <x v="0"/>
  </r>
  <r>
    <x v="3"/>
  </r>
  <r>
    <x v="1"/>
  </r>
  <r>
    <x v="1"/>
  </r>
  <r>
    <x v="1"/>
  </r>
  <r>
    <x v="0"/>
  </r>
  <r>
    <x v="1"/>
  </r>
  <r>
    <x v="1"/>
  </r>
  <r>
    <x v="4"/>
  </r>
  <r>
    <x v="1"/>
  </r>
  <r>
    <x v="1"/>
  </r>
  <r>
    <x v="1"/>
  </r>
  <r>
    <x v="0"/>
  </r>
  <r>
    <x v="0"/>
  </r>
  <r>
    <x v="3"/>
  </r>
  <r>
    <x v="1"/>
  </r>
  <r>
    <x v="1"/>
  </r>
  <r>
    <x v="0"/>
  </r>
  <r>
    <x v="3"/>
  </r>
  <r>
    <x v="1"/>
  </r>
  <r>
    <x v="1"/>
  </r>
  <r>
    <x v="0"/>
  </r>
  <r>
    <x v="1"/>
  </r>
  <r>
    <x v="0"/>
  </r>
  <r>
    <x v="1"/>
  </r>
  <r>
    <x v="0"/>
  </r>
  <r>
    <x v="1"/>
  </r>
  <r>
    <x v="0"/>
  </r>
  <r>
    <x v="2"/>
  </r>
  <r>
    <x v="1"/>
  </r>
  <r>
    <x v="0"/>
  </r>
  <r>
    <x v="1"/>
  </r>
  <r>
    <x v="0"/>
  </r>
  <r>
    <x v="1"/>
  </r>
  <r>
    <x v="1"/>
  </r>
  <r>
    <x v="3"/>
  </r>
  <r>
    <x v="3"/>
  </r>
  <r>
    <x v="4"/>
  </r>
  <r>
    <x v="2"/>
  </r>
  <r>
    <x v="1"/>
  </r>
  <r>
    <x v="0"/>
  </r>
  <r>
    <x v="1"/>
  </r>
  <r>
    <x v="1"/>
  </r>
  <r>
    <x v="4"/>
  </r>
  <r>
    <x v="2"/>
  </r>
  <r>
    <x v="0"/>
  </r>
  <r>
    <x v="0"/>
  </r>
  <r>
    <x v="0"/>
  </r>
  <r>
    <x v="1"/>
  </r>
  <r>
    <x v="1"/>
  </r>
  <r>
    <x v="1"/>
  </r>
  <r>
    <x v="0"/>
  </r>
  <r>
    <x v="2"/>
  </r>
  <r>
    <x v="1"/>
  </r>
  <r>
    <x v="3"/>
  </r>
  <r>
    <x v="1"/>
  </r>
  <r>
    <x v="1"/>
  </r>
  <r>
    <x v="1"/>
  </r>
  <r>
    <x v="2"/>
  </r>
  <r>
    <x v="0"/>
  </r>
  <r>
    <x v="1"/>
  </r>
  <r>
    <x v="2"/>
  </r>
  <r>
    <x v="2"/>
  </r>
  <r>
    <x v="1"/>
  </r>
  <r>
    <x v="3"/>
  </r>
  <r>
    <x v="1"/>
  </r>
  <r>
    <x v="0"/>
  </r>
  <r>
    <x v="1"/>
  </r>
  <r>
    <x v="1"/>
  </r>
  <r>
    <x v="0"/>
  </r>
  <r>
    <x v="1"/>
  </r>
  <r>
    <x v="0"/>
  </r>
  <r>
    <x v="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100">
  <r>
    <x v="0"/>
  </r>
  <r>
    <x v="1"/>
  </r>
  <r>
    <x v="2"/>
  </r>
  <r>
    <x v="3"/>
  </r>
  <r>
    <x v="4"/>
  </r>
  <r>
    <x v="0"/>
  </r>
  <r>
    <x v="0"/>
  </r>
  <r>
    <x v="5"/>
  </r>
  <r>
    <x v="4"/>
  </r>
  <r>
    <x v="0"/>
  </r>
  <r>
    <x v="3"/>
  </r>
  <r>
    <x v="2"/>
  </r>
  <r>
    <x v="4"/>
  </r>
  <r>
    <x v="5"/>
  </r>
  <r>
    <x v="1"/>
  </r>
  <r>
    <x v="3"/>
  </r>
  <r>
    <x v="2"/>
  </r>
  <r>
    <x v="2"/>
  </r>
  <r>
    <x v="4"/>
  </r>
  <r>
    <x v="5"/>
  </r>
  <r>
    <x v="6"/>
  </r>
  <r>
    <x v="3"/>
  </r>
  <r>
    <x v="4"/>
  </r>
  <r>
    <x v="0"/>
  </r>
  <r>
    <x v="7"/>
  </r>
  <r>
    <x v="0"/>
  </r>
  <r>
    <x v="3"/>
  </r>
  <r>
    <x v="3"/>
  </r>
  <r>
    <x v="5"/>
  </r>
  <r>
    <x v="5"/>
  </r>
  <r>
    <x v="6"/>
  </r>
  <r>
    <x v="4"/>
  </r>
  <r>
    <x v="4"/>
  </r>
  <r>
    <x v="5"/>
  </r>
  <r>
    <x v="1"/>
  </r>
  <r>
    <x v="0"/>
  </r>
  <r>
    <x v="4"/>
  </r>
  <r>
    <x v="3"/>
  </r>
  <r>
    <x v="5"/>
  </r>
  <r>
    <x v="0"/>
  </r>
  <r>
    <x v="7"/>
  </r>
  <r>
    <x v="7"/>
  </r>
  <r>
    <x v="8"/>
  </r>
  <r>
    <x v="1"/>
  </r>
  <r>
    <x v="4"/>
  </r>
  <r>
    <x v="3"/>
  </r>
  <r>
    <x v="0"/>
  </r>
  <r>
    <x v="2"/>
  </r>
  <r>
    <x v="2"/>
  </r>
  <r>
    <x v="2"/>
  </r>
  <r>
    <x v="4"/>
  </r>
  <r>
    <x v="3"/>
  </r>
  <r>
    <x v="5"/>
  </r>
  <r>
    <x v="2"/>
  </r>
  <r>
    <x v="2"/>
  </r>
  <r>
    <x v="3"/>
  </r>
  <r>
    <x v="0"/>
  </r>
  <r>
    <x v="3"/>
  </r>
  <r>
    <x v="1"/>
  </r>
  <r>
    <x v="5"/>
  </r>
  <r>
    <x v="2"/>
  </r>
  <r>
    <x v="4"/>
  </r>
  <r>
    <x v="1"/>
  </r>
  <r>
    <x v="2"/>
  </r>
  <r>
    <x v="0"/>
  </r>
  <r>
    <x v="2"/>
  </r>
  <r>
    <x v="6"/>
  </r>
  <r>
    <x v="3"/>
  </r>
  <r>
    <x v="2"/>
  </r>
  <r>
    <x v="4"/>
  </r>
  <r>
    <x v="4"/>
  </r>
  <r>
    <x v="6"/>
  </r>
  <r>
    <x v="2"/>
  </r>
  <r>
    <x v="6"/>
  </r>
  <r>
    <x v="0"/>
  </r>
  <r>
    <x v="4"/>
  </r>
  <r>
    <x v="0"/>
  </r>
  <r>
    <x v="3"/>
  </r>
  <r>
    <x v="7"/>
  </r>
  <r>
    <x v="4"/>
  </r>
  <r>
    <x v="3"/>
  </r>
  <r>
    <x v="1"/>
  </r>
  <r>
    <x v="7"/>
  </r>
  <r>
    <x v="8"/>
  </r>
  <r>
    <x v="8"/>
  </r>
  <r>
    <x v="0"/>
  </r>
  <r>
    <x v="4"/>
  </r>
  <r>
    <x v="3"/>
  </r>
  <r>
    <x v="3"/>
  </r>
  <r>
    <x v="3"/>
  </r>
  <r>
    <x v="2"/>
  </r>
  <r>
    <x v="3"/>
  </r>
  <r>
    <x v="4"/>
  </r>
  <r>
    <x v="2"/>
  </r>
  <r>
    <x v="5"/>
  </r>
  <r>
    <x v="1"/>
  </r>
  <r>
    <x v="0"/>
  </r>
  <r>
    <x v="7"/>
  </r>
  <r>
    <x v="6"/>
  </r>
  <r>
    <x v="3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100">
  <r>
    <x v="0"/>
  </r>
  <r>
    <x v="0"/>
  </r>
  <r>
    <x v="1"/>
  </r>
  <r>
    <x v="1"/>
  </r>
  <r>
    <x v="0"/>
  </r>
  <r>
    <x v="1"/>
  </r>
  <r>
    <x v="1"/>
  </r>
  <r>
    <x v="2"/>
  </r>
  <r>
    <x v="2"/>
  </r>
  <r>
    <x v="1"/>
  </r>
  <r>
    <x v="2"/>
  </r>
  <r>
    <x v="1"/>
  </r>
  <r>
    <x v="1"/>
  </r>
  <r>
    <x v="1"/>
  </r>
  <r>
    <x v="0"/>
  </r>
  <r>
    <x v="1"/>
  </r>
  <r>
    <x v="1"/>
  </r>
  <r>
    <x v="3"/>
  </r>
  <r>
    <x v="1"/>
  </r>
  <r>
    <x v="1"/>
  </r>
  <r>
    <x v="1"/>
  </r>
  <r>
    <x v="1"/>
  </r>
  <r>
    <x v="3"/>
  </r>
  <r>
    <x v="1"/>
  </r>
  <r>
    <x v="2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3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4"/>
  </r>
  <r>
    <x v="1"/>
  </r>
  <r>
    <x v="1"/>
  </r>
  <r>
    <x v="1"/>
  </r>
  <r>
    <x v="4"/>
  </r>
  <r>
    <x v="1"/>
  </r>
  <r>
    <x v="1"/>
  </r>
  <r>
    <x v="5"/>
  </r>
  <r>
    <x v="0"/>
  </r>
  <r>
    <x v="0"/>
  </r>
  <r>
    <x v="1"/>
  </r>
  <r>
    <x v="1"/>
  </r>
  <r>
    <x v="5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4"/>
  </r>
  <r>
    <x v="1"/>
  </r>
  <r>
    <x v="1"/>
  </r>
  <r>
    <x v="2"/>
  </r>
  <r>
    <x v="1"/>
  </r>
  <r>
    <x v="1"/>
  </r>
  <r>
    <x v="1"/>
  </r>
  <r>
    <x v="0"/>
  </r>
  <r>
    <x v="1"/>
  </r>
  <r>
    <x v="1"/>
  </r>
  <r>
    <x v="1"/>
  </r>
  <r>
    <x v="0"/>
  </r>
  <r>
    <x v="1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100">
  <r>
    <x v="0"/>
  </r>
  <r>
    <x v="0"/>
  </r>
  <r>
    <x v="1"/>
  </r>
  <r>
    <x v="0"/>
  </r>
  <r>
    <x v="2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2"/>
  </r>
  <r>
    <x v="2"/>
  </r>
  <r>
    <x v="2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2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3"/>
  </r>
  <r>
    <x v="0"/>
  </r>
  <r>
    <x v="1"/>
  </r>
  <r>
    <x v="1"/>
  </r>
  <r>
    <x v="3"/>
  </r>
  <r>
    <x v="1"/>
  </r>
  <r>
    <x v="1"/>
  </r>
  <r>
    <x v="2"/>
  </r>
  <r>
    <x v="0"/>
  </r>
  <r>
    <x v="0"/>
  </r>
  <r>
    <x v="1"/>
  </r>
  <r>
    <x v="1"/>
  </r>
  <r>
    <x v="2"/>
  </r>
  <r>
    <x v="1"/>
  </r>
  <r>
    <x v="2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3"/>
  </r>
  <r>
    <x v="1"/>
  </r>
  <r>
    <x v="1"/>
  </r>
  <r>
    <x v="1"/>
  </r>
  <r>
    <x v="1"/>
  </r>
  <r>
    <x v="0"/>
  </r>
  <r>
    <x v="1"/>
  </r>
  <r>
    <x v="0"/>
  </r>
  <r>
    <x v="1"/>
  </r>
  <r>
    <x v="1"/>
  </r>
  <r>
    <x v="4"/>
  </r>
  <r>
    <x v="0"/>
  </r>
  <r>
    <x v="1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100">
  <r>
    <x v="0"/>
  </r>
  <r>
    <x v="0"/>
  </r>
  <r>
    <x v="1"/>
  </r>
  <r>
    <x v="0"/>
  </r>
  <r>
    <x v="0"/>
  </r>
  <r>
    <x v="0"/>
  </r>
  <r>
    <x v="2"/>
  </r>
  <r>
    <x v="2"/>
  </r>
  <r>
    <x v="0"/>
  </r>
  <r>
    <x v="1"/>
  </r>
  <r>
    <x v="2"/>
  </r>
  <r>
    <x v="0"/>
  </r>
  <r>
    <x v="2"/>
  </r>
  <r>
    <x v="2"/>
  </r>
  <r>
    <x v="1"/>
  </r>
  <r>
    <x v="3"/>
  </r>
  <r>
    <x v="0"/>
  </r>
  <r>
    <x v="2"/>
  </r>
  <r>
    <x v="0"/>
  </r>
  <r>
    <x v="2"/>
  </r>
  <r>
    <x v="2"/>
  </r>
  <r>
    <x v="0"/>
  </r>
  <r>
    <x v="0"/>
  </r>
  <r>
    <x v="0"/>
  </r>
  <r>
    <x v="0"/>
  </r>
  <r>
    <x v="3"/>
  </r>
  <r>
    <x v="0"/>
  </r>
  <r>
    <x v="2"/>
  </r>
  <r>
    <x v="3"/>
  </r>
  <r>
    <x v="0"/>
  </r>
  <r>
    <x v="0"/>
  </r>
  <r>
    <x v="2"/>
  </r>
  <r>
    <x v="0"/>
  </r>
  <r>
    <x v="2"/>
  </r>
  <r>
    <x v="0"/>
  </r>
  <r>
    <x v="0"/>
  </r>
  <r>
    <x v="0"/>
  </r>
  <r>
    <x v="0"/>
  </r>
  <r>
    <x v="0"/>
  </r>
  <r>
    <x v="1"/>
  </r>
  <r>
    <x v="3"/>
  </r>
  <r>
    <x v="0"/>
  </r>
  <r>
    <x v="0"/>
  </r>
  <r>
    <x v="0"/>
  </r>
  <r>
    <x v="0"/>
  </r>
  <r>
    <x v="0"/>
  </r>
  <r>
    <x v="1"/>
  </r>
  <r>
    <x v="2"/>
  </r>
  <r>
    <x v="1"/>
  </r>
  <r>
    <x v="0"/>
  </r>
  <r>
    <x v="0"/>
  </r>
  <r>
    <x v="2"/>
  </r>
  <r>
    <x v="0"/>
  </r>
  <r>
    <x v="0"/>
  </r>
  <r>
    <x v="2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2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2"/>
  </r>
  <r>
    <x v="0"/>
  </r>
  <r>
    <x v="2"/>
  </r>
  <r>
    <x v="0"/>
  </r>
  <r>
    <x v="0"/>
  </r>
  <r>
    <x v="1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count="135"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count="135">
  <r>
    <x v="0"/>
  </r>
  <r>
    <x v="1"/>
  </r>
  <r>
    <x v="2"/>
  </r>
  <r>
    <x v="3"/>
  </r>
  <r>
    <x v="4"/>
  </r>
  <r>
    <x v="3"/>
  </r>
  <r>
    <x v="5"/>
  </r>
  <r>
    <x v="2"/>
  </r>
  <r>
    <x v="1"/>
  </r>
  <r>
    <x v="3"/>
  </r>
  <r>
    <x v="6"/>
  </r>
  <r>
    <x v="7"/>
  </r>
  <r>
    <x v="8"/>
  </r>
  <r>
    <x v="8"/>
  </r>
  <r>
    <x v="5"/>
  </r>
  <r>
    <x v="3"/>
  </r>
  <r>
    <x v="1"/>
  </r>
  <r>
    <x v="3"/>
  </r>
  <r>
    <x v="9"/>
  </r>
  <r>
    <x v="4"/>
  </r>
  <r>
    <x v="4"/>
  </r>
  <r>
    <x v="5"/>
  </r>
  <r>
    <x v="4"/>
  </r>
  <r>
    <x v="8"/>
  </r>
  <r>
    <x v="2"/>
  </r>
  <r>
    <x v="6"/>
  </r>
  <r>
    <x v="9"/>
  </r>
  <r>
    <x v="2"/>
  </r>
  <r>
    <x v="0"/>
  </r>
  <r>
    <x v="2"/>
  </r>
  <r>
    <x v="9"/>
  </r>
  <r>
    <x v="4"/>
  </r>
  <r>
    <x v="0"/>
  </r>
  <r>
    <x v="4"/>
  </r>
  <r>
    <x v="7"/>
  </r>
  <r>
    <x v="6"/>
  </r>
  <r>
    <x v="4"/>
  </r>
  <r>
    <x v="5"/>
  </r>
  <r>
    <x v="5"/>
  </r>
  <r>
    <x v="8"/>
  </r>
  <r>
    <x v="5"/>
  </r>
  <r>
    <x v="6"/>
  </r>
  <r>
    <x v="1"/>
  </r>
  <r>
    <x v="2"/>
  </r>
  <r>
    <x v="1"/>
  </r>
  <r>
    <x v="0"/>
  </r>
  <r>
    <x v="6"/>
  </r>
  <r>
    <x v="9"/>
  </r>
  <r>
    <x v="2"/>
  </r>
  <r>
    <x v="7"/>
  </r>
  <r>
    <x v="0"/>
  </r>
  <r>
    <x v="9"/>
  </r>
  <r>
    <x v="4"/>
  </r>
  <r>
    <x v="8"/>
  </r>
  <r>
    <x v="8"/>
  </r>
  <r>
    <x v="0"/>
  </r>
  <r>
    <x v="7"/>
  </r>
  <r>
    <x v="0"/>
  </r>
  <r>
    <x v="7"/>
  </r>
  <r>
    <x v="5"/>
  </r>
  <r>
    <x v="1"/>
  </r>
  <r>
    <x v="4"/>
  </r>
  <r>
    <x v="3"/>
  </r>
  <r>
    <x v="6"/>
  </r>
  <r>
    <x v="2"/>
  </r>
  <r>
    <x v="0"/>
  </r>
  <r>
    <x v="4"/>
  </r>
  <r>
    <x v="7"/>
  </r>
  <r>
    <x v="2"/>
  </r>
  <r>
    <x v="0"/>
  </r>
  <r>
    <x v="5"/>
  </r>
  <r>
    <x v="3"/>
  </r>
  <r>
    <x v="1"/>
  </r>
  <r>
    <x v="0"/>
  </r>
  <r>
    <x v="8"/>
  </r>
  <r>
    <x v="4"/>
  </r>
  <r>
    <x v="5"/>
  </r>
  <r>
    <x v="9"/>
  </r>
  <r>
    <x v="7"/>
  </r>
  <r>
    <x v="7"/>
  </r>
  <r>
    <x v="5"/>
  </r>
  <r>
    <x v="4"/>
  </r>
  <r>
    <x v="4"/>
  </r>
  <r>
    <x v="4"/>
  </r>
  <r>
    <x v="0"/>
  </r>
  <r>
    <x v="9"/>
  </r>
  <r>
    <x v="3"/>
  </r>
  <r>
    <x v="0"/>
  </r>
  <r>
    <x v="2"/>
  </r>
  <r>
    <x v="4"/>
  </r>
  <r>
    <x v="5"/>
  </r>
  <r>
    <x v="5"/>
  </r>
  <r>
    <x v="1"/>
  </r>
  <r>
    <x v="4"/>
  </r>
  <r>
    <x v="6"/>
  </r>
  <r>
    <x v="5"/>
  </r>
  <r>
    <x v="6"/>
  </r>
  <r>
    <x v="0"/>
  </r>
  <r>
    <x v="3"/>
  </r>
  <r>
    <x v="4"/>
  </r>
  <r>
    <x v="8"/>
  </r>
  <r>
    <x v="5"/>
  </r>
  <r>
    <x v="1"/>
  </r>
  <r>
    <x v="6"/>
  </r>
  <r>
    <x v="1"/>
  </r>
  <r>
    <x v="7"/>
  </r>
  <r>
    <x v="7"/>
  </r>
  <r>
    <x v="7"/>
  </r>
  <r>
    <x v="1"/>
  </r>
  <r>
    <x v="0"/>
  </r>
  <r>
    <x v="1"/>
  </r>
  <r>
    <x v="8"/>
  </r>
  <r>
    <x v="5"/>
  </r>
  <r>
    <x v="2"/>
  </r>
  <r>
    <x v="6"/>
  </r>
  <r>
    <x v="2"/>
  </r>
  <r>
    <x v="7"/>
  </r>
  <r>
    <x v="3"/>
  </r>
  <r>
    <x v="2"/>
  </r>
  <r>
    <x v="4"/>
  </r>
  <r>
    <x v="7"/>
  </r>
  <r>
    <x v="1"/>
  </r>
  <r>
    <x v="6"/>
  </r>
  <r>
    <x v="9"/>
  </r>
  <r>
    <x v="3"/>
  </r>
  <r>
    <x v="2"/>
  </r>
  <r>
    <x v="2"/>
  </r>
  <r>
    <x v="4"/>
  </r>
  <r>
    <x v="6"/>
  </r>
  <r>
    <x v="3"/>
  </r>
  <r>
    <x v="6"/>
  </r>
  <r>
    <x v="1"/>
  </r>
  <r>
    <x v="4"/>
  </r>
  <r>
    <x v="9"/>
  </r>
  <r>
    <x v="5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count="135">
  <r>
    <n v="165.45988818697035"/>
    <n v="66.964079868774206"/>
    <n v="780"/>
    <x v="0"/>
  </r>
  <r>
    <n v="168.40591323913114"/>
    <n v="58.507817979487591"/>
    <n v="532"/>
    <x v="1"/>
  </r>
  <r>
    <n v="159.69807080922556"/>
    <n v="64.727816555638199"/>
    <n v="514"/>
    <x v="0"/>
  </r>
  <r>
    <n v="179.22854510781221"/>
    <n v="87.888176099682966"/>
    <n v="990"/>
    <x v="0"/>
  </r>
  <r>
    <n v="166.5083657011169"/>
    <n v="76.54882397758945"/>
    <n v="72"/>
    <x v="0"/>
  </r>
  <r>
    <n v="169.01816682227224"/>
    <n v="72.017761744938809"/>
    <n v="250"/>
    <x v="0"/>
  </r>
  <r>
    <n v="154.011919467589"/>
    <n v="71.087855000259069"/>
    <n v="58"/>
    <x v="1"/>
  </r>
  <r>
    <n v="177.32722206988376"/>
    <n v="86.788044576180368"/>
    <n v="65"/>
    <x v="1"/>
  </r>
  <r>
    <n v="181.12257956819275"/>
    <n v="96.316621603225002"/>
    <n v="885"/>
    <x v="1"/>
  </r>
  <r>
    <n v="181.28463292547963"/>
    <n v="77.132085262671055"/>
    <n v="734"/>
    <x v="1"/>
  </r>
  <r>
    <n v="165.58473445219539"/>
    <n v="54.425334002954074"/>
    <n v="985"/>
    <x v="0"/>
  </r>
  <r>
    <n v="173.28838923206143"/>
    <n v="83.119900652434225"/>
    <n v="339"/>
    <x v="1"/>
  </r>
  <r>
    <n v="191.37233455195855"/>
    <n v="102.32569698663568"/>
    <n v="478"/>
    <x v="1"/>
  </r>
  <r>
    <n v="162.75698714154134"/>
    <n v="57.403476482970149"/>
    <n v="27"/>
    <x v="0"/>
  </r>
  <r>
    <n v="162.43510292915701"/>
    <n v="78.100081484273261"/>
    <n v="548"/>
    <x v="1"/>
  </r>
  <r>
    <n v="150.90856922436001"/>
    <n v="50.147018576286293"/>
    <n v="86"/>
    <x v="0"/>
  </r>
  <r>
    <n v="169.58732149450412"/>
    <n v="86.250818975429226"/>
    <n v="399"/>
    <x v="0"/>
  </r>
  <r>
    <n v="167.73345897278719"/>
    <n v="58.660460144964304"/>
    <n v="801"/>
    <x v="0"/>
  </r>
  <r>
    <n v="161.74148356143212"/>
    <n v="58.206684197852958"/>
    <n v="740"/>
    <x v="0"/>
  </r>
  <r>
    <n v="159.23724782781738"/>
    <n v="63.086974726294997"/>
    <n v="363"/>
    <x v="0"/>
  </r>
  <r>
    <n v="181.39565304519235"/>
    <n v="82.06353106156736"/>
    <n v="142"/>
    <x v="0"/>
  </r>
  <r>
    <n v="167.14570861824782"/>
    <n v="78.784279904779297"/>
    <n v="602"/>
    <x v="1"/>
  </r>
  <r>
    <n v="164.11821916159954"/>
    <n v="57.963667780387404"/>
    <n v="233"/>
    <x v="0"/>
  </r>
  <r>
    <n v="154.67472675985826"/>
    <n v="57.968508871027801"/>
    <n v="326"/>
    <x v="0"/>
  </r>
  <r>
    <n v="167.99890260064555"/>
    <n v="53.17332132213992"/>
    <n v="247"/>
    <x v="1"/>
  </r>
  <r>
    <n v="170.84969352218928"/>
    <n v="87.364526005441633"/>
    <n v="110"/>
    <x v="1"/>
  </r>
  <r>
    <n v="179.98253248008658"/>
    <n v="84.936312858612879"/>
    <n v="590"/>
    <x v="0"/>
  </r>
  <r>
    <n v="156.59340898718216"/>
    <n v="61.47538981573485"/>
    <n v="770"/>
    <x v="0"/>
  </r>
  <r>
    <n v="163.26548453397425"/>
    <n v="61.601134215102029"/>
    <n v="293"/>
    <x v="1"/>
  </r>
  <r>
    <n v="168.01319846782826"/>
    <n v="75.73689072774296"/>
    <n v="165"/>
    <x v="0"/>
  </r>
  <r>
    <n v="168.39267661781997"/>
    <n v="81.268564081380248"/>
    <n v="158"/>
    <x v="0"/>
  </r>
  <r>
    <n v="175.90998149895805"/>
    <n v="82.435672718327467"/>
    <n v="871"/>
    <x v="0"/>
  </r>
  <r>
    <n v="164.65359320678999"/>
    <n v="78.784001526665975"/>
    <n v="851"/>
    <x v="0"/>
  </r>
  <r>
    <n v="174.81582250495731"/>
    <n v="86.119691327002798"/>
    <n v="100"/>
    <x v="0"/>
  </r>
  <r>
    <n v="171.48108455290867"/>
    <n v="69.368193405923236"/>
    <n v="942"/>
    <x v="1"/>
  </r>
  <r>
    <n v="168.49767186596156"/>
    <n v="58.344461446832227"/>
    <n v="643"/>
    <x v="0"/>
  </r>
  <r>
    <n v="175.3265615078796"/>
    <n v="79.430617791735528"/>
    <n v="525"/>
    <x v="1"/>
  </r>
  <r>
    <n v="187.60074450278194"/>
    <n v="100.51417634932247"/>
    <n v="257"/>
    <x v="1"/>
  </r>
  <r>
    <n v="157.49446430872834"/>
    <n v="51.866222647984905"/>
    <n v="972"/>
    <x v="0"/>
  </r>
  <r>
    <n v="167.05329143490744"/>
    <n v="57.515919291405638"/>
    <n v="970"/>
    <x v="0"/>
  </r>
  <r>
    <n v="172.99003348612581"/>
    <n v="73.497154939663957"/>
    <n v="732"/>
    <x v="1"/>
  </r>
  <r>
    <n v="171.30014657538737"/>
    <n v="65.641946864867961"/>
    <n v="538"/>
    <x v="1"/>
  </r>
  <r>
    <n v="178.09500520704017"/>
    <n v="64.862964148977625"/>
    <n v="374"/>
    <x v="1"/>
  </r>
  <r>
    <n v="174.34568321029772"/>
    <n v="80.185748716224751"/>
    <n v="956"/>
    <x v="1"/>
  </r>
  <r>
    <n v="175.94575698713444"/>
    <n v="61.047025340301808"/>
    <n v="490"/>
    <x v="1"/>
  </r>
  <r>
    <n v="177.22244730110211"/>
    <n v="61.182386271759448"/>
    <n v="611"/>
    <x v="1"/>
  </r>
  <r>
    <n v="168.70091269008157"/>
    <n v="55.952355954889185"/>
    <n v="34"/>
    <x v="0"/>
  </r>
  <r>
    <n v="163.83747672615854"/>
    <n v="60.852443474247636"/>
    <n v="213"/>
    <x v="0"/>
  </r>
  <r>
    <n v="166.7950801645357"/>
    <n v="59.591722559115119"/>
    <n v="167"/>
    <x v="0"/>
  </r>
  <r>
    <n v="158.94278897488641"/>
    <n v="72.883207332127569"/>
    <n v="945"/>
    <x v="0"/>
  </r>
  <r>
    <n v="165.89089422764513"/>
    <n v="55.672532717411393"/>
    <n v="795"/>
    <x v="0"/>
  </r>
  <r>
    <n v="171.61227475129255"/>
    <n v="80.695117596157942"/>
    <n v="226"/>
    <x v="1"/>
  </r>
  <r>
    <n v="173.29773130857714"/>
    <n v="67.121751717424061"/>
    <n v="799"/>
    <x v="1"/>
  </r>
  <r>
    <n v="181.11840524004535"/>
    <n v="96.771436314256988"/>
    <n v="869"/>
    <x v="1"/>
  </r>
  <r>
    <n v="177.18216787581849"/>
    <n v="92.171376520281001"/>
    <n v="925"/>
    <x v="0"/>
  </r>
  <r>
    <n v="167.93386481947857"/>
    <n v="64.638486528750235"/>
    <n v="190"/>
    <x v="0"/>
  </r>
  <r>
    <n v="175.80352732823738"/>
    <n v="82.954066513299026"/>
    <n v="920"/>
    <x v="1"/>
  </r>
  <r>
    <n v="183.36811963286442"/>
    <n v="68.8280563583765"/>
    <n v="315"/>
    <x v="0"/>
  </r>
  <r>
    <n v="184.34867521952347"/>
    <n v="98.01110781517761"/>
    <n v="127"/>
    <x v="1"/>
  </r>
  <r>
    <n v="150.22951113596699"/>
    <n v="63.012385597095346"/>
    <n v="252"/>
    <x v="0"/>
  </r>
  <r>
    <n v="160.08836753634901"/>
    <n v="70.093360624939407"/>
    <n v="438"/>
    <x v="1"/>
  </r>
  <r>
    <n v="176.4284905295236"/>
    <n v="76.354561099600758"/>
    <n v="695"/>
    <x v="1"/>
  </r>
  <r>
    <n v="150.21855185061423"/>
    <n v="47.523181652121494"/>
    <n v="40"/>
    <x v="0"/>
  </r>
  <r>
    <n v="162.31895791445768"/>
    <n v="47.899653370955711"/>
    <n v="974"/>
    <x v="1"/>
  </r>
  <r>
    <n v="178.92715992699223"/>
    <n v="59.003513335231212"/>
    <n v="953"/>
    <x v="0"/>
  </r>
  <r>
    <n v="151.9650253538623"/>
    <n v="45.724870482984031"/>
    <n v="98"/>
    <x v="1"/>
  </r>
  <r>
    <n v="172.56531098361194"/>
    <n v="85.346002266259418"/>
    <n v="389"/>
    <x v="1"/>
  </r>
  <r>
    <n v="150.672799798482"/>
    <n v="55.461700819634132"/>
    <n v="696"/>
    <x v="0"/>
  </r>
  <r>
    <n v="172.45754246398351"/>
    <n v="72.450547228817825"/>
    <n v="745"/>
    <x v="1"/>
  </r>
  <r>
    <n v="187.02080606488914"/>
    <n v="79.257387788030542"/>
    <n v="609"/>
    <x v="0"/>
  </r>
  <r>
    <n v="168.39979553276149"/>
    <n v="59.552831384499349"/>
    <n v="387"/>
    <x v="0"/>
  </r>
  <r>
    <n v="156.52849423529821"/>
    <n v="53.412549526502133"/>
    <n v="718"/>
    <x v="0"/>
  </r>
  <r>
    <n v="164.79966788346073"/>
    <n v="73.003205276733198"/>
    <n v="690"/>
    <x v="0"/>
  </r>
  <r>
    <n v="151.55023399578101"/>
    <n v="51.745717624668487"/>
    <n v="723"/>
    <x v="0"/>
  </r>
  <r>
    <n v="176.40482050341475"/>
    <n v="67.340781747966034"/>
    <n v="327"/>
    <x v="1"/>
  </r>
  <r>
    <n v="196.587766801219"/>
    <n v="97.660337391235203"/>
    <n v="957"/>
    <x v="1"/>
  </r>
  <r>
    <n v="174.59927796466113"/>
    <n v="74.352690284639863"/>
    <n v="452"/>
    <x v="1"/>
  </r>
  <r>
    <n v="181.29452623119261"/>
    <n v="83.286765081688799"/>
    <n v="978"/>
    <x v="1"/>
  </r>
  <r>
    <n v="156.71525392472395"/>
    <n v="51.477070023399719"/>
    <n v="815"/>
    <x v="0"/>
  </r>
  <r>
    <n v="166.62771964063691"/>
    <n v="56.779009768146139"/>
    <n v="295"/>
    <x v="0"/>
  </r>
  <r>
    <n v="161.48021722926794"/>
    <n v="58.566382809700364"/>
    <n v="863"/>
    <x v="1"/>
  </r>
  <r>
    <n v="193.46742243498332"/>
    <n v="106.67448409936343"/>
    <n v="610"/>
    <x v="1"/>
  </r>
  <r>
    <n v="169.57971100387974"/>
    <n v="55.760362786885011"/>
    <n v="261"/>
    <x v="0"/>
  </r>
  <r>
    <n v="177.91254582411082"/>
    <n v="71.37723078344483"/>
    <n v="11"/>
    <x v="0"/>
  </r>
  <r>
    <n v="157.1501300154606"/>
    <n v="47.811772272464268"/>
    <n v="701"/>
    <x v="0"/>
  </r>
  <r>
    <n v="167.70999242761465"/>
    <n v="67.785206159770055"/>
    <n v="70"/>
    <x v="1"/>
  </r>
  <r>
    <n v="173.6613192506592"/>
    <n v="56.335618105646674"/>
    <n v="773"/>
    <x v="0"/>
  </r>
  <r>
    <n v="177.94311029269605"/>
    <n v="63.359164751777818"/>
    <n v="707"/>
    <x v="0"/>
  </r>
  <r>
    <n v="166.75176499976916"/>
    <n v="70.961297685133587"/>
    <n v="43"/>
    <x v="1"/>
  </r>
  <r>
    <n v="151.72589818809561"/>
    <n v="43.255985832069605"/>
    <n v="916"/>
    <x v="0"/>
  </r>
  <r>
    <n v="167.80288057473894"/>
    <n v="68.845837452845331"/>
    <n v="31"/>
    <x v="1"/>
  </r>
  <r>
    <n v="177.21270679069806"/>
    <n v="70.000281545783523"/>
    <n v="389"/>
    <x v="1"/>
  </r>
  <r>
    <n v="176.78004053279321"/>
    <n v="69.065113835014984"/>
    <n v="690"/>
    <x v="1"/>
  </r>
  <r>
    <n v="195.95424593485251"/>
    <n v="89.352300745259527"/>
    <n v="543"/>
    <x v="1"/>
  </r>
  <r>
    <n v="165.78600724601515"/>
    <n v="56.234310406286063"/>
    <n v="459"/>
    <x v="1"/>
  </r>
  <r>
    <n v="170.34322016626999"/>
    <n v="85.425496461072584"/>
    <n v="487"/>
    <x v="0"/>
  </r>
  <r>
    <n v="182.15704890895509"/>
    <n v="83.882049501130794"/>
    <n v="216"/>
    <x v="1"/>
  </r>
  <r>
    <n v="159.46759243069991"/>
    <n v="47.630227115760874"/>
    <n v="461"/>
    <x v="0"/>
  </r>
  <r>
    <n v="181.23639136978866"/>
    <n v="81.886647484960818"/>
    <n v="974"/>
    <x v="0"/>
  </r>
  <r>
    <n v="169.46212157600749"/>
    <n v="54.677949875775099"/>
    <n v="229"/>
    <x v="0"/>
  </r>
  <r>
    <n v="183.99491125429847"/>
    <n v="81.283759809312684"/>
    <n v="347"/>
    <x v="0"/>
  </r>
  <r>
    <n v="173.29925829942181"/>
    <n v="73.549918038540667"/>
    <n v="452"/>
    <x v="1"/>
  </r>
  <r>
    <n v="165.79593677390409"/>
    <n v="60.776615050778176"/>
    <n v="925"/>
    <x v="1"/>
  </r>
  <r>
    <n v="167.90542557547897"/>
    <n v="70.001311901266149"/>
    <n v="390"/>
    <x v="0"/>
  </r>
  <r>
    <n v="157.77976471637481"/>
    <n v="52.65177053561397"/>
    <n v="410"/>
    <x v="0"/>
  </r>
  <r>
    <n v="163.23522711888734"/>
    <n v="49.188034881736044"/>
    <n v="232"/>
    <x v="0"/>
  </r>
  <r>
    <n v="177.76903044587925"/>
    <n v="87.726675043414218"/>
    <n v="500"/>
    <x v="1"/>
  </r>
  <r>
    <n v="154.04656207587351"/>
    <n v="65.590668846362405"/>
    <n v="622"/>
    <x v="0"/>
  </r>
  <r>
    <n v="179.8901601579596"/>
    <n v="91.483047903122511"/>
    <n v="394"/>
    <x v="1"/>
  </r>
  <r>
    <n v="152.52515017076399"/>
    <n v="52.576462442227886"/>
    <n v="490"/>
    <x v="0"/>
  </r>
  <r>
    <n v="166.12629385880905"/>
    <n v="77.66061866869515"/>
    <n v="356"/>
    <x v="0"/>
  </r>
  <r>
    <n v="182.90029731316741"/>
    <n v="72.458155628192756"/>
    <n v="986"/>
    <x v="1"/>
  </r>
  <r>
    <n v="155.15331717420497"/>
    <n v="60.662830612001798"/>
    <n v="227"/>
    <x v="0"/>
  </r>
  <r>
    <n v="177.13772603190321"/>
    <n v="67.211191873200221"/>
    <n v="6"/>
    <x v="1"/>
  </r>
  <r>
    <n v="158.41462825950848"/>
    <n v="68.359309672533655"/>
    <n v="580"/>
    <x v="0"/>
  </r>
  <r>
    <n v="173.9264055291969"/>
    <n v="67.639882192125668"/>
    <n v="733"/>
    <x v="0"/>
  </r>
  <r>
    <n v="152.594798298336"/>
    <n v="54.277737022231648"/>
    <n v="254"/>
    <x v="0"/>
  </r>
  <r>
    <n v="179.34434391323211"/>
    <n v="94.788468215238638"/>
    <n v="943"/>
    <x v="0"/>
  </r>
  <r>
    <n v="176.65034809117532"/>
    <n v="62.597923034351211"/>
    <n v="439"/>
    <x v="1"/>
  </r>
  <r>
    <n v="162.94040979977825"/>
    <n v="67.887268761605213"/>
    <n v="691"/>
    <x v="0"/>
  </r>
  <r>
    <n v="162.49620912283459"/>
    <n v="79.05662383000022"/>
    <n v="125"/>
    <x v="0"/>
  </r>
  <r>
    <n v="173.90312741002504"/>
    <n v="65.172151593037853"/>
    <n v="668"/>
    <x v="1"/>
  </r>
  <r>
    <n v="172.52018190374741"/>
    <n v="66.133859650634861"/>
    <n v="13"/>
    <x v="1"/>
  </r>
  <r>
    <n v="156.00344875225596"/>
    <n v="63.714465027160905"/>
    <n v="572"/>
    <x v="0"/>
  </r>
  <r>
    <n v="182.30865707481962"/>
    <n v="63.348666923072479"/>
    <n v="374"/>
    <x v="1"/>
  </r>
  <r>
    <n v="159.8893322047613"/>
    <n v="67.464975581062248"/>
    <n v="199"/>
    <x v="0"/>
  </r>
  <r>
    <n v="188.36586859304782"/>
    <n v="99.597133165433092"/>
    <n v="560"/>
    <x v="0"/>
  </r>
  <r>
    <n v="194.80339078427599"/>
    <n v="86.749953385563387"/>
    <n v="33"/>
    <x v="1"/>
  </r>
  <r>
    <n v="168.87736525315344"/>
    <n v="74.293465509076427"/>
    <n v="609"/>
    <x v="1"/>
  </r>
  <r>
    <n v="153.47688648088518"/>
    <n v="50.996909890571004"/>
    <n v="384"/>
    <x v="0"/>
  </r>
  <r>
    <n v="165.76434602858996"/>
    <n v="73.393252984558188"/>
    <n v="682"/>
    <x v="1"/>
  </r>
  <r>
    <n v="174.41702038097222"/>
    <n v="83.871515825075335"/>
    <n v="846"/>
    <x v="0"/>
  </r>
  <r>
    <n v="174.2688765889113"/>
    <n v="54.726093708305271"/>
    <n v="78"/>
    <x v="1"/>
  </r>
  <r>
    <n v="176.18982921374891"/>
    <n v="76.986282677557625"/>
    <n v="138"/>
    <x v="1"/>
  </r>
  <r>
    <n v="166.43347785830983"/>
    <n v="74.624076275121695"/>
    <n v="522"/>
    <x v="1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count="135">
  <r>
    <x v="0"/>
    <x v="0"/>
  </r>
  <r>
    <x v="1"/>
    <x v="1"/>
  </r>
  <r>
    <x v="0"/>
    <x v="2"/>
  </r>
  <r>
    <x v="0"/>
    <x v="2"/>
  </r>
  <r>
    <x v="0"/>
    <x v="1"/>
  </r>
  <r>
    <x v="0"/>
    <x v="1"/>
  </r>
  <r>
    <x v="1"/>
    <x v="2"/>
  </r>
  <r>
    <x v="1"/>
    <x v="0"/>
  </r>
  <r>
    <x v="1"/>
    <x v="1"/>
  </r>
  <r>
    <x v="1"/>
    <x v="2"/>
  </r>
  <r>
    <x v="0"/>
    <x v="1"/>
  </r>
  <r>
    <x v="1"/>
    <x v="2"/>
  </r>
  <r>
    <x v="1"/>
    <x v="1"/>
  </r>
  <r>
    <x v="0"/>
    <x v="0"/>
  </r>
  <r>
    <x v="1"/>
    <x v="0"/>
  </r>
  <r>
    <x v="0"/>
    <x v="0"/>
  </r>
  <r>
    <x v="0"/>
    <x v="0"/>
  </r>
  <r>
    <x v="0"/>
    <x v="2"/>
  </r>
  <r>
    <x v="0"/>
    <x v="1"/>
  </r>
  <r>
    <x v="0"/>
    <x v="1"/>
  </r>
  <r>
    <x v="0"/>
    <x v="1"/>
  </r>
  <r>
    <x v="1"/>
    <x v="1"/>
  </r>
  <r>
    <x v="0"/>
    <x v="2"/>
  </r>
  <r>
    <x v="0"/>
    <x v="1"/>
  </r>
  <r>
    <x v="1"/>
    <x v="2"/>
  </r>
  <r>
    <x v="1"/>
    <x v="1"/>
  </r>
  <r>
    <x v="0"/>
    <x v="1"/>
  </r>
  <r>
    <x v="0"/>
    <x v="1"/>
  </r>
  <r>
    <x v="1"/>
    <x v="1"/>
  </r>
  <r>
    <x v="0"/>
    <x v="0"/>
  </r>
  <r>
    <x v="0"/>
    <x v="2"/>
  </r>
  <r>
    <x v="0"/>
    <x v="1"/>
  </r>
  <r>
    <x v="0"/>
    <x v="1"/>
  </r>
  <r>
    <x v="0"/>
    <x v="0"/>
  </r>
  <r>
    <x v="1"/>
    <x v="2"/>
  </r>
  <r>
    <x v="0"/>
    <x v="0"/>
  </r>
  <r>
    <x v="1"/>
    <x v="2"/>
  </r>
  <r>
    <x v="1"/>
    <x v="0"/>
  </r>
  <r>
    <x v="0"/>
    <x v="1"/>
  </r>
  <r>
    <x v="0"/>
    <x v="1"/>
  </r>
  <r>
    <x v="1"/>
    <x v="2"/>
  </r>
  <r>
    <x v="1"/>
    <x v="2"/>
  </r>
  <r>
    <x v="1"/>
    <x v="0"/>
  </r>
  <r>
    <x v="1"/>
    <x v="2"/>
  </r>
  <r>
    <x v="1"/>
    <x v="2"/>
  </r>
  <r>
    <x v="1"/>
    <x v="0"/>
  </r>
  <r>
    <x v="0"/>
    <x v="0"/>
  </r>
  <r>
    <x v="0"/>
    <x v="1"/>
  </r>
  <r>
    <x v="0"/>
    <x v="1"/>
  </r>
  <r>
    <x v="0"/>
    <x v="0"/>
  </r>
  <r>
    <x v="0"/>
    <x v="2"/>
  </r>
  <r>
    <x v="1"/>
    <x v="0"/>
  </r>
  <r>
    <x v="1"/>
    <x v="0"/>
  </r>
  <r>
    <x v="1"/>
    <x v="2"/>
  </r>
  <r>
    <x v="0"/>
    <x v="2"/>
  </r>
  <r>
    <x v="0"/>
    <x v="0"/>
  </r>
  <r>
    <x v="1"/>
    <x v="2"/>
  </r>
  <r>
    <x v="0"/>
    <x v="0"/>
  </r>
  <r>
    <x v="1"/>
    <x v="2"/>
  </r>
  <r>
    <x v="0"/>
    <x v="2"/>
  </r>
  <r>
    <x v="1"/>
    <x v="0"/>
  </r>
  <r>
    <x v="1"/>
    <x v="2"/>
  </r>
  <r>
    <x v="0"/>
    <x v="0"/>
  </r>
  <r>
    <x v="1"/>
    <x v="2"/>
  </r>
  <r>
    <x v="0"/>
    <x v="2"/>
  </r>
  <r>
    <x v="1"/>
    <x v="2"/>
  </r>
  <r>
    <x v="1"/>
    <x v="1"/>
  </r>
  <r>
    <x v="0"/>
    <x v="1"/>
  </r>
  <r>
    <x v="1"/>
    <x v="2"/>
  </r>
  <r>
    <x v="0"/>
    <x v="0"/>
  </r>
  <r>
    <x v="0"/>
    <x v="1"/>
  </r>
  <r>
    <x v="0"/>
    <x v="0"/>
  </r>
  <r>
    <x v="0"/>
    <x v="2"/>
  </r>
  <r>
    <x v="0"/>
    <x v="0"/>
  </r>
  <r>
    <x v="1"/>
    <x v="1"/>
  </r>
  <r>
    <x v="1"/>
    <x v="0"/>
  </r>
  <r>
    <x v="1"/>
    <x v="1"/>
  </r>
  <r>
    <x v="1"/>
    <x v="2"/>
  </r>
  <r>
    <x v="0"/>
    <x v="0"/>
  </r>
  <r>
    <x v="0"/>
    <x v="2"/>
  </r>
  <r>
    <x v="1"/>
    <x v="0"/>
  </r>
  <r>
    <x v="1"/>
    <x v="0"/>
  </r>
  <r>
    <x v="0"/>
    <x v="0"/>
  </r>
  <r>
    <x v="0"/>
    <x v="1"/>
  </r>
  <r>
    <x v="0"/>
    <x v="2"/>
  </r>
  <r>
    <x v="1"/>
    <x v="0"/>
  </r>
  <r>
    <x v="0"/>
    <x v="2"/>
  </r>
  <r>
    <x v="0"/>
    <x v="0"/>
  </r>
  <r>
    <x v="1"/>
    <x v="0"/>
  </r>
  <r>
    <x v="0"/>
    <x v="1"/>
  </r>
  <r>
    <x v="1"/>
    <x v="2"/>
  </r>
  <r>
    <x v="1"/>
    <x v="0"/>
  </r>
  <r>
    <x v="1"/>
    <x v="2"/>
  </r>
  <r>
    <x v="1"/>
    <x v="1"/>
  </r>
  <r>
    <x v="1"/>
    <x v="0"/>
  </r>
  <r>
    <x v="0"/>
    <x v="0"/>
  </r>
  <r>
    <x v="1"/>
    <x v="0"/>
  </r>
  <r>
    <x v="0"/>
    <x v="2"/>
  </r>
  <r>
    <x v="0"/>
    <x v="0"/>
  </r>
  <r>
    <x v="0"/>
    <x v="0"/>
  </r>
  <r>
    <x v="0"/>
    <x v="1"/>
  </r>
  <r>
    <x v="1"/>
    <x v="1"/>
  </r>
  <r>
    <x v="1"/>
    <x v="2"/>
  </r>
  <r>
    <x v="0"/>
    <x v="0"/>
  </r>
  <r>
    <x v="0"/>
    <x v="1"/>
  </r>
  <r>
    <x v="0"/>
    <x v="2"/>
  </r>
  <r>
    <x v="1"/>
    <x v="0"/>
  </r>
  <r>
    <x v="0"/>
    <x v="2"/>
  </r>
  <r>
    <x v="1"/>
    <x v="1"/>
  </r>
  <r>
    <x v="0"/>
    <x v="1"/>
  </r>
  <r>
    <x v="0"/>
    <x v="2"/>
  </r>
  <r>
    <x v="1"/>
    <x v="0"/>
  </r>
  <r>
    <x v="0"/>
    <x v="2"/>
  </r>
  <r>
    <x v="1"/>
    <x v="0"/>
  </r>
  <r>
    <x v="0"/>
    <x v="2"/>
  </r>
  <r>
    <x v="0"/>
    <x v="0"/>
  </r>
  <r>
    <x v="0"/>
    <x v="2"/>
  </r>
  <r>
    <x v="0"/>
    <x v="2"/>
  </r>
  <r>
    <x v="1"/>
    <x v="1"/>
  </r>
  <r>
    <x v="0"/>
    <x v="0"/>
  </r>
  <r>
    <x v="0"/>
    <x v="2"/>
  </r>
  <r>
    <x v="1"/>
    <x v="0"/>
  </r>
  <r>
    <x v="1"/>
    <x v="2"/>
  </r>
  <r>
    <x v="0"/>
    <x v="0"/>
  </r>
  <r>
    <x v="1"/>
    <x v="2"/>
  </r>
  <r>
    <x v="0"/>
    <x v="0"/>
  </r>
  <r>
    <x v="0"/>
    <x v="2"/>
  </r>
  <r>
    <x v="1"/>
    <x v="2"/>
  </r>
  <r>
    <x v="1"/>
    <x v="1"/>
  </r>
  <r>
    <x v="0"/>
    <x v="1"/>
  </r>
  <r>
    <x v="1"/>
    <x v="0"/>
  </r>
  <r>
    <x v="0"/>
    <x v="1"/>
  </r>
  <r>
    <x v="1"/>
    <x v="0"/>
  </r>
  <r>
    <x v="1"/>
    <x v="2"/>
  </r>
  <r>
    <x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Tabla dinámica1" cacheId="0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chartFormat="6">
  <location ref="G40:H45" firstHeaderRow="1" firstDataRow="1" firstDataCol="1"/>
  <pivotFields count="2">
    <pivotField dataField="1" showAll="0"/>
    <pivotField axis="axisRow" showAll="0">
      <items count="5">
        <item x="0"/>
        <item x="1"/>
        <item x="3"/>
        <item x="2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uenta de xi" fld="0" subtotal="count" baseField="1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Tabla dinámica4" cacheId="1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H56:I64" firstHeaderRow="1" firstDataRow="1" firstDataCol="1"/>
  <pivotFields count="1">
    <pivotField axis="axisRow" dataField="1" showAll="0">
      <items count="8">
        <item x="3"/>
        <item x="2"/>
        <item x="5"/>
        <item x="4"/>
        <item x="0"/>
        <item x="1"/>
        <item x="6"/>
        <item t="default"/>
      </items>
    </pivotField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uenta de Llegadas Tard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Tabla dinámica8" cacheId="2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A72:B80" firstHeaderRow="1" firstDataRow="1" firstDataCol="1"/>
  <pivotFields count="1">
    <pivotField axis="axisRow" dataField="1" showAll="0">
      <items count="8">
        <item x="0"/>
        <item x="3"/>
        <item x="1"/>
        <item x="5"/>
        <item x="4"/>
        <item x="2"/>
        <item x="6"/>
        <item t="default"/>
      </items>
    </pivotField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uenta de Cliente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3000000}" name="Tabla dinámica4" cacheId="12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A96:D101" firstHeaderRow="1" firstDataRow="2" firstDataCol="1"/>
  <pivotFields count="2">
    <pivotField axis="axisCol" dataField="1" showAll="0">
      <items count="3">
        <item x="0"/>
        <item x="1"/>
        <item t="default"/>
      </items>
    </pivotField>
    <pivotField axis="axisRow" showAll="0">
      <items count="4">
        <item x="1"/>
        <item x="2"/>
        <item x="0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uenta de Sexo_Cat" fld="0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2000000}" name="Tabla dinámica3" cacheId="11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A88:B91" firstHeaderRow="1" firstDataRow="1" firstDataCol="1"/>
  <pivotFields count="4">
    <pivotField dataField="1" showAll="0"/>
    <pivotField showAll="0"/>
    <pivotField showAll="0"/>
    <pivotField axis="axisRow" showAll="0">
      <items count="3">
        <item x="0"/>
        <item x="1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Promedio de Altura" fld="0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1000000}" name="Tabla dinámica2" cacheId="10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A26:B37" firstHeaderRow="1" firstDataRow="1" firstDataCol="1"/>
  <pivotFields count="1">
    <pivotField axis="axisRow" dataField="1" showAll="0">
      <items count="11">
        <item x="3"/>
        <item x="1"/>
        <item x="2"/>
        <item x="5"/>
        <item x="9"/>
        <item x="6"/>
        <item x="7"/>
        <item x="8"/>
        <item x="4"/>
        <item x="0"/>
        <item t="default"/>
      </items>
    </pivotField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uenta de Nota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Tabla dinámica1" cacheId="9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chartFormat="1">
  <location ref="A3:B6" firstHeaderRow="1" firstDataRow="1" firstDataCol="1"/>
  <pivotFields count="1">
    <pivotField axis="axisRow" dataField="1" showAll="0">
      <items count="3">
        <item x="0"/>
        <item x="1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Cuenta de Sexo_Cat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D00-000004000000}" name="Tabla dinámica14" cacheId="7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chartFormat="1">
  <location ref="A47:B53" firstHeaderRow="1" firstDataRow="1" firstDataCol="1"/>
  <pivotFields count="1">
    <pivotField axis="axisRow" dataField="1" showAll="0">
      <items count="6">
        <item x="0"/>
        <item x="4"/>
        <item x="2"/>
        <item x="3"/>
        <item x="1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uenta de Esust_Cat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D00-000003000000}" name="Tabla dinámica13" cacheId="6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A36:B43" firstHeaderRow="1" firstDataRow="1" firstDataCol="1"/>
  <pivotFields count="1">
    <pivotField axis="axisRow" dataField="1" showAll="0">
      <items count="7">
        <item x="1"/>
        <item x="5"/>
        <item x="0"/>
        <item x="3"/>
        <item x="2"/>
        <item x="4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uenta de Vivien_Cat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D00-000002000000}" name="Tabla dinámica12" cacheId="5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A22:B32" firstHeaderRow="1" firstDataRow="1" firstDataCol="1"/>
  <pivotFields count="1">
    <pivotField axis="axisRow" dataField="1" showAll="0">
      <items count="10">
        <item x="3"/>
        <item x="4"/>
        <item x="5"/>
        <item x="1"/>
        <item x="8"/>
        <item x="0"/>
        <item x="6"/>
        <item x="7"/>
        <item x="2"/>
        <item t="default"/>
      </items>
    </pivotField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uenta de Estud_Cat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D00-000001000000}" name="Tabla dinámica11" cacheId="4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A11:B17" firstHeaderRow="1" firstDataRow="1" firstDataCol="1"/>
  <pivotFields count="1">
    <pivotField axis="axisRow" dataField="1" showAll="0">
      <items count="6">
        <item x="0"/>
        <item x="3"/>
        <item x="1"/>
        <item x="4"/>
        <item x="2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uenta de Civil_Cat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D00-000000000000}" name="Tabla dinámica10" cacheId="3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A3:B6" firstHeaderRow="1" firstDataRow="1" firstDataCol="1"/>
  <pivotFields count="1">
    <pivotField axis="axisRow" dataField="1" showAll="0">
      <items count="3">
        <item x="0"/>
        <item x="1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Cuenta de Sexo_Cat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D00-000005000000}" name="Tabla dinámica15" cacheId="8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A72:B77" firstHeaderRow="1" firstDataRow="1" firstDataCol="1"/>
  <pivotFields count="1">
    <pivotField axis="axisRow" dataField="1" showAll="0">
      <items count="5">
        <item x="0"/>
        <item x="1"/>
        <item x="2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uenta de Usted_Cat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7.bin"/><Relationship Id="rId3" Type="http://schemas.openxmlformats.org/officeDocument/2006/relationships/vmlDrawing" Target="../drawings/vmlDrawing2.vml"/><Relationship Id="rId7" Type="http://schemas.openxmlformats.org/officeDocument/2006/relationships/image" Target="../media/image3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6.bin"/><Relationship Id="rId5" Type="http://schemas.openxmlformats.org/officeDocument/2006/relationships/image" Target="../media/image5.emf"/><Relationship Id="rId4" Type="http://schemas.openxmlformats.org/officeDocument/2006/relationships/oleObject" Target="../embeddings/oleObject5.bin"/><Relationship Id="rId9" Type="http://schemas.openxmlformats.org/officeDocument/2006/relationships/image" Target="../media/image4.emf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10.bin"/><Relationship Id="rId3" Type="http://schemas.openxmlformats.org/officeDocument/2006/relationships/vmlDrawing" Target="../drawings/vmlDrawing3.vml"/><Relationship Id="rId7" Type="http://schemas.openxmlformats.org/officeDocument/2006/relationships/image" Target="../media/image7.emf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6" Type="http://schemas.openxmlformats.org/officeDocument/2006/relationships/oleObject" Target="../embeddings/oleObject9.bin"/><Relationship Id="rId11" Type="http://schemas.openxmlformats.org/officeDocument/2006/relationships/image" Target="../media/image4.emf"/><Relationship Id="rId5" Type="http://schemas.openxmlformats.org/officeDocument/2006/relationships/image" Target="../media/image6.emf"/><Relationship Id="rId10" Type="http://schemas.openxmlformats.org/officeDocument/2006/relationships/oleObject" Target="../embeddings/oleObject11.bin"/><Relationship Id="rId4" Type="http://schemas.openxmlformats.org/officeDocument/2006/relationships/oleObject" Target="../embeddings/oleObject8.bin"/><Relationship Id="rId9" Type="http://schemas.openxmlformats.org/officeDocument/2006/relationships/image" Target="../media/image3.emf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lcula.com/es/calculadoras/estadistica/diagrama-de-caja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6" Type="http://schemas.openxmlformats.org/officeDocument/2006/relationships/drawing" Target="../drawings/drawing11.xml"/><Relationship Id="rId5" Type="http://schemas.openxmlformats.org/officeDocument/2006/relationships/printerSettings" Target="../printerSettings/printerSettings6.bin"/><Relationship Id="rId4" Type="http://schemas.openxmlformats.org/officeDocument/2006/relationships/pivotTable" Target="../pivotTables/pivotTable7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0.xml"/><Relationship Id="rId7" Type="http://schemas.openxmlformats.org/officeDocument/2006/relationships/drawing" Target="../drawings/drawing12.xml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Relationship Id="rId6" Type="http://schemas.openxmlformats.org/officeDocument/2006/relationships/pivotTable" Target="../pivotTables/pivotTable13.xml"/><Relationship Id="rId5" Type="http://schemas.openxmlformats.org/officeDocument/2006/relationships/pivotTable" Target="../pivotTables/pivotTable12.xml"/><Relationship Id="rId4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"/>
  <sheetViews>
    <sheetView tabSelected="1" workbookViewId="0">
      <selection activeCell="A81" sqref="A81:B84"/>
    </sheetView>
  </sheetViews>
  <sheetFormatPr baseColWidth="10" defaultRowHeight="15" x14ac:dyDescent="0.25"/>
  <cols>
    <col min="2" max="2" width="15.28515625" customWidth="1"/>
    <col min="4" max="4" width="23.140625" customWidth="1"/>
    <col min="6" max="6" width="22.140625" customWidth="1"/>
  </cols>
  <sheetData>
    <row r="1" spans="1:6" s="7" customFormat="1" x14ac:dyDescent="0.25">
      <c r="A1" s="6" t="s">
        <v>94</v>
      </c>
    </row>
    <row r="2" spans="1:6" s="3" customFormat="1" x14ac:dyDescent="0.25">
      <c r="A2" s="2" t="s">
        <v>0</v>
      </c>
    </row>
    <row r="3" spans="1:6" s="3" customFormat="1" x14ac:dyDescent="0.25">
      <c r="A3" s="2" t="s">
        <v>1</v>
      </c>
    </row>
    <row r="5" spans="1:6" x14ac:dyDescent="0.25">
      <c r="D5" s="8" t="s">
        <v>3</v>
      </c>
      <c r="F5" s="8" t="s">
        <v>2</v>
      </c>
    </row>
    <row r="6" spans="1:6" x14ac:dyDescent="0.25">
      <c r="D6" s="9">
        <v>76.2</v>
      </c>
      <c r="F6" s="9">
        <v>21.6</v>
      </c>
    </row>
    <row r="7" spans="1:6" x14ac:dyDescent="0.25">
      <c r="D7" s="9">
        <v>79.36</v>
      </c>
      <c r="F7" s="9">
        <v>24.86</v>
      </c>
    </row>
    <row r="8" spans="1:6" x14ac:dyDescent="0.25">
      <c r="A8" s="77" t="s">
        <v>4</v>
      </c>
      <c r="B8" s="77"/>
      <c r="D8" s="9">
        <v>94.01</v>
      </c>
      <c r="F8" s="9">
        <v>27.34</v>
      </c>
    </row>
    <row r="9" spans="1:6" x14ac:dyDescent="0.25">
      <c r="A9" s="77"/>
      <c r="B9" s="77"/>
      <c r="D9" s="9">
        <v>95.16</v>
      </c>
      <c r="F9" s="9">
        <v>29.89</v>
      </c>
    </row>
    <row r="10" spans="1:6" x14ac:dyDescent="0.25">
      <c r="D10" s="9">
        <v>102.11</v>
      </c>
      <c r="F10" s="9">
        <v>31.61</v>
      </c>
    </row>
    <row r="11" spans="1:6" x14ac:dyDescent="0.25">
      <c r="D11" s="9">
        <v>108.7</v>
      </c>
      <c r="F11" s="9">
        <v>32.979999999999997</v>
      </c>
    </row>
    <row r="12" spans="1:6" ht="15" customHeight="1" x14ac:dyDescent="0.25">
      <c r="A12" s="77" t="s">
        <v>13</v>
      </c>
      <c r="B12" s="77"/>
      <c r="D12" s="9">
        <v>110.87</v>
      </c>
      <c r="F12" s="9">
        <v>40.409999999999997</v>
      </c>
    </row>
    <row r="13" spans="1:6" x14ac:dyDescent="0.25">
      <c r="A13" s="77"/>
      <c r="B13" s="77"/>
      <c r="D13" s="9">
        <v>112.25</v>
      </c>
      <c r="F13" s="9">
        <v>40.67</v>
      </c>
    </row>
    <row r="14" spans="1:6" x14ac:dyDescent="0.25">
      <c r="A14" s="77"/>
      <c r="B14" s="77"/>
      <c r="D14" s="9">
        <v>114.16</v>
      </c>
      <c r="F14" s="9">
        <v>41.13</v>
      </c>
    </row>
    <row r="15" spans="1:6" x14ac:dyDescent="0.25">
      <c r="A15" s="77"/>
      <c r="B15" s="77"/>
      <c r="D15" s="9">
        <v>121.88</v>
      </c>
      <c r="F15" s="9">
        <v>41.31</v>
      </c>
    </row>
    <row r="16" spans="1:6" x14ac:dyDescent="0.25">
      <c r="D16" s="9">
        <v>129.04</v>
      </c>
      <c r="F16" s="9">
        <v>43.07</v>
      </c>
    </row>
    <row r="17" spans="1:6" x14ac:dyDescent="0.25">
      <c r="D17" s="9">
        <v>144.03</v>
      </c>
      <c r="F17" s="9">
        <v>64.569999999999993</v>
      </c>
    </row>
    <row r="18" spans="1:6" x14ac:dyDescent="0.25">
      <c r="D18" s="9">
        <v>161.61000000000001</v>
      </c>
    </row>
    <row r="19" spans="1:6" x14ac:dyDescent="0.25">
      <c r="D19" s="9">
        <v>162.44</v>
      </c>
    </row>
    <row r="21" spans="1:6" s="3" customFormat="1" x14ac:dyDescent="0.25">
      <c r="A21" s="2" t="s">
        <v>5</v>
      </c>
    </row>
    <row r="23" spans="1:6" x14ac:dyDescent="0.25">
      <c r="A23" s="77" t="s">
        <v>6</v>
      </c>
      <c r="B23" s="77"/>
      <c r="D23" s="8" t="s">
        <v>3</v>
      </c>
      <c r="F23" s="8" t="s">
        <v>2</v>
      </c>
    </row>
    <row r="24" spans="1:6" ht="18" x14ac:dyDescent="0.35">
      <c r="A24" s="77"/>
      <c r="B24" s="77"/>
      <c r="C24" s="11" t="s">
        <v>8</v>
      </c>
      <c r="D24" s="9">
        <f>SUM(D6:D19)</f>
        <v>1611.8200000000002</v>
      </c>
      <c r="E24" s="11" t="s">
        <v>8</v>
      </c>
      <c r="F24" s="9">
        <f>SUM(F6:F17)</f>
        <v>439.44</v>
      </c>
    </row>
    <row r="26" spans="1:6" x14ac:dyDescent="0.25">
      <c r="A26" s="77" t="s">
        <v>7</v>
      </c>
      <c r="B26" s="77"/>
      <c r="C26" s="12" t="s">
        <v>9</v>
      </c>
      <c r="D26" s="9">
        <f>COUNT(D6:D19)</f>
        <v>14</v>
      </c>
      <c r="E26" s="12" t="s">
        <v>9</v>
      </c>
      <c r="F26" s="9">
        <f>COUNT(F6:F17)</f>
        <v>12</v>
      </c>
    </row>
    <row r="27" spans="1:6" x14ac:dyDescent="0.25">
      <c r="A27" s="77"/>
      <c r="B27" s="77"/>
    </row>
    <row r="29" spans="1:6" x14ac:dyDescent="0.25">
      <c r="A29" s="78" t="s">
        <v>11</v>
      </c>
      <c r="B29" s="78"/>
      <c r="C29" s="12" t="s">
        <v>10</v>
      </c>
      <c r="D29" s="9">
        <f>D24/D26</f>
        <v>115.13000000000001</v>
      </c>
      <c r="E29" s="12" t="s">
        <v>10</v>
      </c>
      <c r="F29" s="9">
        <f>F24/F26</f>
        <v>36.619999999999997</v>
      </c>
    </row>
    <row r="31" spans="1:6" x14ac:dyDescent="0.25">
      <c r="A31" s="77" t="s">
        <v>12</v>
      </c>
      <c r="B31" s="77"/>
      <c r="C31" s="12" t="s">
        <v>10</v>
      </c>
      <c r="D31" s="9">
        <f>AVERAGE(D6:D19)</f>
        <v>115.13000000000001</v>
      </c>
      <c r="E31" s="12" t="s">
        <v>10</v>
      </c>
      <c r="F31" s="9">
        <f>AVERAGE(F6:F17)</f>
        <v>36.619999999999997</v>
      </c>
    </row>
    <row r="32" spans="1:6" x14ac:dyDescent="0.25">
      <c r="A32" s="77"/>
      <c r="B32" s="77"/>
    </row>
    <row r="35" spans="1:6" x14ac:dyDescent="0.25">
      <c r="A35" s="77" t="s">
        <v>14</v>
      </c>
      <c r="B35" s="77"/>
    </row>
    <row r="36" spans="1:6" x14ac:dyDescent="0.25">
      <c r="A36" s="77"/>
      <c r="B36" s="77"/>
    </row>
    <row r="37" spans="1:6" ht="15" customHeight="1" x14ac:dyDescent="0.25">
      <c r="A37" s="77" t="s">
        <v>15</v>
      </c>
      <c r="B37" s="77"/>
      <c r="C37" s="12" t="s">
        <v>16</v>
      </c>
      <c r="D37" s="9">
        <f>(D12+D13)/2</f>
        <v>111.56</v>
      </c>
      <c r="E37" s="12" t="s">
        <v>16</v>
      </c>
      <c r="F37" s="9">
        <f>(F11+F12)/2</f>
        <v>36.694999999999993</v>
      </c>
    </row>
    <row r="38" spans="1:6" x14ac:dyDescent="0.25">
      <c r="A38" s="77"/>
      <c r="B38" s="77"/>
    </row>
    <row r="39" spans="1:6" x14ac:dyDescent="0.25">
      <c r="A39" s="77"/>
      <c r="B39" s="77"/>
    </row>
    <row r="41" spans="1:6" x14ac:dyDescent="0.25">
      <c r="A41" s="77" t="s">
        <v>17</v>
      </c>
      <c r="B41" s="77"/>
      <c r="C41" s="12" t="s">
        <v>16</v>
      </c>
      <c r="D41" s="9">
        <f>MEDIAN(D6:D19)</f>
        <v>111.56</v>
      </c>
      <c r="E41" s="12" t="s">
        <v>16</v>
      </c>
      <c r="F41" s="9">
        <f>MEDIAN(F6:F17)</f>
        <v>36.694999999999993</v>
      </c>
    </row>
    <row r="42" spans="1:6" x14ac:dyDescent="0.25">
      <c r="A42" s="77"/>
      <c r="B42" s="77"/>
    </row>
    <row r="45" spans="1:6" s="15" customFormat="1" x14ac:dyDescent="0.25">
      <c r="A45" s="18" t="s">
        <v>18</v>
      </c>
    </row>
    <row r="47" spans="1:6" ht="15.75" thickBot="1" x14ac:dyDescent="0.3">
      <c r="D47" s="8" t="s">
        <v>3</v>
      </c>
      <c r="F47" s="8" t="s">
        <v>2</v>
      </c>
    </row>
    <row r="48" spans="1:6" x14ac:dyDescent="0.25">
      <c r="A48" s="77" t="s">
        <v>21</v>
      </c>
      <c r="B48" s="77"/>
      <c r="C48" s="21" t="s">
        <v>19</v>
      </c>
      <c r="D48" s="22">
        <f>MAX(D6:D19)</f>
        <v>162.44</v>
      </c>
      <c r="E48" s="21" t="s">
        <v>19</v>
      </c>
      <c r="F48" s="22">
        <f>MAX(F6:F17)</f>
        <v>64.569999999999993</v>
      </c>
    </row>
    <row r="49" spans="1:7" x14ac:dyDescent="0.25">
      <c r="A49" s="77"/>
      <c r="B49" s="77"/>
      <c r="C49" s="23" t="s">
        <v>20</v>
      </c>
      <c r="D49" s="24">
        <f>MIN(D6:D19)</f>
        <v>76.2</v>
      </c>
      <c r="E49" s="23" t="s">
        <v>20</v>
      </c>
      <c r="F49" s="24">
        <f>MIN(F6:F17)</f>
        <v>21.6</v>
      </c>
    </row>
    <row r="50" spans="1:7" ht="15" customHeight="1" x14ac:dyDescent="0.25">
      <c r="C50" s="25"/>
      <c r="D50" s="26"/>
      <c r="E50" s="25"/>
      <c r="F50" s="26"/>
    </row>
    <row r="51" spans="1:7" x14ac:dyDescent="0.25">
      <c r="A51" s="78" t="s">
        <v>22</v>
      </c>
      <c r="B51" s="78"/>
      <c r="C51" s="23" t="s">
        <v>23</v>
      </c>
      <c r="D51" s="24">
        <f>D48-D49</f>
        <v>86.24</v>
      </c>
      <c r="E51" s="23" t="s">
        <v>23</v>
      </c>
      <c r="F51" s="24">
        <f>F48-F49</f>
        <v>42.969999999999992</v>
      </c>
    </row>
    <row r="52" spans="1:7" x14ac:dyDescent="0.25">
      <c r="C52" s="25"/>
      <c r="D52" s="26"/>
      <c r="E52" s="25"/>
      <c r="F52" s="26"/>
    </row>
    <row r="53" spans="1:7" ht="18.75" x14ac:dyDescent="0.35">
      <c r="C53" s="27" t="s">
        <v>24</v>
      </c>
      <c r="D53" s="28" t="s">
        <v>25</v>
      </c>
      <c r="E53" s="27" t="s">
        <v>24</v>
      </c>
      <c r="F53" s="28" t="s">
        <v>25</v>
      </c>
      <c r="G53" s="20"/>
    </row>
    <row r="54" spans="1:7" ht="15" customHeight="1" x14ac:dyDescent="0.25">
      <c r="A54" s="77" t="s">
        <v>26</v>
      </c>
      <c r="B54" s="77"/>
      <c r="C54" s="29">
        <f>D6-$D$29</f>
        <v>-38.930000000000007</v>
      </c>
      <c r="D54" s="24">
        <f>C54^2</f>
        <v>1515.5449000000006</v>
      </c>
      <c r="E54" s="29">
        <f>F6-$F$29</f>
        <v>-15.019999999999996</v>
      </c>
      <c r="F54" s="24">
        <f>E54^2</f>
        <v>225.60039999999989</v>
      </c>
    </row>
    <row r="55" spans="1:7" x14ac:dyDescent="0.25">
      <c r="A55" s="77"/>
      <c r="B55" s="77"/>
      <c r="C55" s="29">
        <f t="shared" ref="C55:C67" si="0">D7-$D$29</f>
        <v>-35.77000000000001</v>
      </c>
      <c r="D55" s="24">
        <f t="shared" ref="D55:D67" si="1">C55^2</f>
        <v>1279.4929000000006</v>
      </c>
      <c r="E55" s="29">
        <f t="shared" ref="E55:E65" si="2">F7-$F$29</f>
        <v>-11.759999999999998</v>
      </c>
      <c r="F55" s="24">
        <f t="shared" ref="F55:F65" si="3">E55^2</f>
        <v>138.29759999999996</v>
      </c>
    </row>
    <row r="56" spans="1:7" x14ac:dyDescent="0.25">
      <c r="A56" s="77"/>
      <c r="B56" s="77"/>
      <c r="C56" s="29">
        <f t="shared" si="0"/>
        <v>-21.120000000000005</v>
      </c>
      <c r="D56" s="24">
        <f t="shared" si="1"/>
        <v>446.05440000000021</v>
      </c>
      <c r="E56" s="29">
        <f t="shared" si="2"/>
        <v>-9.2799999999999976</v>
      </c>
      <c r="F56" s="24">
        <f t="shared" si="3"/>
        <v>86.118399999999951</v>
      </c>
    </row>
    <row r="57" spans="1:7" x14ac:dyDescent="0.25">
      <c r="A57" s="78" t="s">
        <v>27</v>
      </c>
      <c r="B57" s="78"/>
      <c r="C57" s="29">
        <f t="shared" si="0"/>
        <v>-19.970000000000013</v>
      </c>
      <c r="D57" s="24">
        <f t="shared" si="1"/>
        <v>398.80090000000052</v>
      </c>
      <c r="E57" s="29">
        <f t="shared" si="2"/>
        <v>-6.7299999999999969</v>
      </c>
      <c r="F57" s="24">
        <f t="shared" si="3"/>
        <v>45.29289999999996</v>
      </c>
    </row>
    <row r="58" spans="1:7" x14ac:dyDescent="0.25">
      <c r="C58" s="29">
        <f t="shared" si="0"/>
        <v>-13.02000000000001</v>
      </c>
      <c r="D58" s="24">
        <f t="shared" si="1"/>
        <v>169.52040000000028</v>
      </c>
      <c r="E58" s="29">
        <f t="shared" si="2"/>
        <v>-5.009999999999998</v>
      </c>
      <c r="F58" s="24">
        <f t="shared" si="3"/>
        <v>25.10009999999998</v>
      </c>
    </row>
    <row r="59" spans="1:7" x14ac:dyDescent="0.25">
      <c r="C59" s="29">
        <f t="shared" si="0"/>
        <v>-6.4300000000000068</v>
      </c>
      <c r="D59" s="24">
        <f t="shared" si="1"/>
        <v>41.344900000000088</v>
      </c>
      <c r="E59" s="29">
        <f t="shared" si="2"/>
        <v>-3.6400000000000006</v>
      </c>
      <c r="F59" s="24">
        <f t="shared" si="3"/>
        <v>13.249600000000004</v>
      </c>
    </row>
    <row r="60" spans="1:7" x14ac:dyDescent="0.25">
      <c r="C60" s="29">
        <f t="shared" si="0"/>
        <v>-4.2600000000000051</v>
      </c>
      <c r="D60" s="24">
        <f t="shared" si="1"/>
        <v>18.147600000000043</v>
      </c>
      <c r="E60" s="29">
        <f t="shared" si="2"/>
        <v>3.7899999999999991</v>
      </c>
      <c r="F60" s="24">
        <f t="shared" si="3"/>
        <v>14.364099999999993</v>
      </c>
    </row>
    <row r="61" spans="1:7" x14ac:dyDescent="0.25">
      <c r="C61" s="29">
        <f t="shared" si="0"/>
        <v>-2.8800000000000097</v>
      </c>
      <c r="D61" s="24">
        <f t="shared" si="1"/>
        <v>8.2944000000000564</v>
      </c>
      <c r="E61" s="29">
        <f t="shared" si="2"/>
        <v>4.0500000000000043</v>
      </c>
      <c r="F61" s="24">
        <f t="shared" si="3"/>
        <v>16.402500000000035</v>
      </c>
    </row>
    <row r="62" spans="1:7" x14ac:dyDescent="0.25">
      <c r="C62" s="29">
        <f t="shared" si="0"/>
        <v>-0.97000000000001307</v>
      </c>
      <c r="D62" s="24">
        <f t="shared" si="1"/>
        <v>0.94090000000002538</v>
      </c>
      <c r="E62" s="29">
        <f t="shared" si="2"/>
        <v>4.5100000000000051</v>
      </c>
      <c r="F62" s="24">
        <f t="shared" si="3"/>
        <v>20.340100000000046</v>
      </c>
    </row>
    <row r="63" spans="1:7" x14ac:dyDescent="0.25">
      <c r="C63" s="29">
        <f t="shared" si="0"/>
        <v>6.7499999999999858</v>
      </c>
      <c r="D63" s="24">
        <f t="shared" si="1"/>
        <v>45.562499999999808</v>
      </c>
      <c r="E63" s="29">
        <f t="shared" si="2"/>
        <v>4.6900000000000048</v>
      </c>
      <c r="F63" s="24">
        <f t="shared" si="3"/>
        <v>21.996100000000045</v>
      </c>
    </row>
    <row r="64" spans="1:7" x14ac:dyDescent="0.25">
      <c r="C64" s="29">
        <f t="shared" si="0"/>
        <v>13.909999999999982</v>
      </c>
      <c r="D64" s="24">
        <f t="shared" si="1"/>
        <v>193.48809999999952</v>
      </c>
      <c r="E64" s="29">
        <f t="shared" si="2"/>
        <v>6.4500000000000028</v>
      </c>
      <c r="F64" s="24">
        <f t="shared" si="3"/>
        <v>41.602500000000035</v>
      </c>
    </row>
    <row r="65" spans="1:6" x14ac:dyDescent="0.25">
      <c r="C65" s="29">
        <f t="shared" si="0"/>
        <v>28.899999999999991</v>
      </c>
      <c r="D65" s="24">
        <f t="shared" si="1"/>
        <v>835.20999999999947</v>
      </c>
      <c r="E65" s="29">
        <f t="shared" si="2"/>
        <v>27.949999999999996</v>
      </c>
      <c r="F65" s="24">
        <f t="shared" si="3"/>
        <v>781.20249999999976</v>
      </c>
    </row>
    <row r="66" spans="1:6" x14ac:dyDescent="0.25">
      <c r="C66" s="29">
        <f t="shared" si="0"/>
        <v>46.480000000000004</v>
      </c>
      <c r="D66" s="24">
        <f t="shared" si="1"/>
        <v>2160.3904000000002</v>
      </c>
      <c r="E66" s="25"/>
      <c r="F66" s="26"/>
    </row>
    <row r="67" spans="1:6" x14ac:dyDescent="0.25">
      <c r="C67" s="29">
        <f t="shared" si="0"/>
        <v>47.309999999999988</v>
      </c>
      <c r="D67" s="24">
        <f t="shared" si="1"/>
        <v>2238.2360999999987</v>
      </c>
      <c r="E67" s="25"/>
      <c r="F67" s="26"/>
    </row>
    <row r="68" spans="1:6" x14ac:dyDescent="0.25">
      <c r="C68" s="25"/>
      <c r="D68" s="26"/>
      <c r="E68" s="25"/>
      <c r="F68" s="26"/>
    </row>
    <row r="69" spans="1:6" x14ac:dyDescent="0.25">
      <c r="A69" s="77" t="s">
        <v>28</v>
      </c>
      <c r="B69" s="77"/>
      <c r="C69" s="25"/>
      <c r="D69" s="26"/>
      <c r="E69" s="25"/>
      <c r="F69" s="26"/>
    </row>
    <row r="70" spans="1:6" x14ac:dyDescent="0.25">
      <c r="A70" s="77"/>
      <c r="B70" s="77"/>
      <c r="C70" s="25"/>
      <c r="D70" s="24">
        <f>SUM(D54:D67)</f>
        <v>9351.0283999999992</v>
      </c>
      <c r="E70" s="25"/>
      <c r="F70" s="24">
        <f>SUM(F54:F65)</f>
        <v>1429.5667999999996</v>
      </c>
    </row>
    <row r="71" spans="1:6" x14ac:dyDescent="0.25">
      <c r="C71" s="25"/>
      <c r="D71" s="26"/>
      <c r="E71" s="25"/>
      <c r="F71" s="26"/>
    </row>
    <row r="72" spans="1:6" x14ac:dyDescent="0.25">
      <c r="A72" s="78" t="s">
        <v>29</v>
      </c>
      <c r="B72" s="78"/>
      <c r="C72" s="23" t="s">
        <v>41</v>
      </c>
      <c r="D72" s="24">
        <f>D70/(D26-1)</f>
        <v>719.3098769230769</v>
      </c>
      <c r="E72" s="23" t="s">
        <v>41</v>
      </c>
      <c r="F72" s="24">
        <f>F70/(F26-1)</f>
        <v>129.96061818181815</v>
      </c>
    </row>
    <row r="73" spans="1:6" x14ac:dyDescent="0.25">
      <c r="C73" s="25"/>
      <c r="D73" s="26"/>
      <c r="E73" s="25"/>
      <c r="F73" s="26"/>
    </row>
    <row r="74" spans="1:6" x14ac:dyDescent="0.25">
      <c r="A74" s="77" t="s">
        <v>30</v>
      </c>
      <c r="B74" s="77"/>
      <c r="C74" s="79" t="s">
        <v>31</v>
      </c>
      <c r="D74" s="26"/>
      <c r="E74" s="79" t="s">
        <v>31</v>
      </c>
      <c r="F74" s="26"/>
    </row>
    <row r="75" spans="1:6" x14ac:dyDescent="0.25">
      <c r="A75" s="77"/>
      <c r="B75" s="77"/>
      <c r="C75" s="79"/>
      <c r="D75" s="24">
        <f>SQRT(D72)</f>
        <v>26.819952962730508</v>
      </c>
      <c r="E75" s="79"/>
      <c r="F75" s="24">
        <f>SQRT(F72)</f>
        <v>11.400027113205395</v>
      </c>
    </row>
    <row r="76" spans="1:6" x14ac:dyDescent="0.25">
      <c r="C76" s="25"/>
      <c r="D76" s="26"/>
      <c r="E76" s="25"/>
      <c r="F76" s="26"/>
    </row>
    <row r="77" spans="1:6" x14ac:dyDescent="0.25">
      <c r="A77" s="77" t="s">
        <v>44</v>
      </c>
      <c r="B77" s="77"/>
      <c r="C77" s="79" t="s">
        <v>31</v>
      </c>
      <c r="D77" s="26"/>
      <c r="E77" s="79" t="s">
        <v>31</v>
      </c>
      <c r="F77" s="26"/>
    </row>
    <row r="78" spans="1:6" ht="15.75" thickBot="1" x14ac:dyDescent="0.3">
      <c r="A78" s="77"/>
      <c r="B78" s="77"/>
      <c r="C78" s="80"/>
      <c r="D78" s="30">
        <f>STDEV(D6:D19)</f>
        <v>26.81995296273044</v>
      </c>
      <c r="E78" s="80"/>
      <c r="F78" s="30">
        <f>STDEV(F6:F17)</f>
        <v>11.400027113205391</v>
      </c>
    </row>
    <row r="81" spans="1:6" ht="15" customHeight="1" x14ac:dyDescent="0.25">
      <c r="A81" s="77" t="s">
        <v>434</v>
      </c>
      <c r="B81" s="77"/>
    </row>
    <row r="82" spans="1:6" x14ac:dyDescent="0.25">
      <c r="A82" s="77"/>
      <c r="B82" s="77"/>
      <c r="C82" s="12" t="s">
        <v>32</v>
      </c>
      <c r="D82" s="9">
        <f>D75/ABS(D29)</f>
        <v>0.23295364338339708</v>
      </c>
      <c r="E82" s="12" t="s">
        <v>32</v>
      </c>
      <c r="F82" s="9">
        <f>F75/ABS(F29)</f>
        <v>0.31130603804493162</v>
      </c>
    </row>
    <row r="83" spans="1:6" x14ac:dyDescent="0.25">
      <c r="A83" s="77"/>
      <c r="B83" s="77"/>
    </row>
    <row r="84" spans="1:6" x14ac:dyDescent="0.25">
      <c r="A84" s="77"/>
      <c r="B84" s="77"/>
    </row>
    <row r="85" spans="1:6" s="15" customFormat="1" x14ac:dyDescent="0.25">
      <c r="A85" s="18" t="s">
        <v>33</v>
      </c>
    </row>
  </sheetData>
  <sortState ref="F6:F17">
    <sortCondition ref="F6:F17"/>
  </sortState>
  <mergeCells count="22">
    <mergeCell ref="E74:E75"/>
    <mergeCell ref="A77:B78"/>
    <mergeCell ref="C77:C78"/>
    <mergeCell ref="E77:E78"/>
    <mergeCell ref="A81:B84"/>
    <mergeCell ref="A57:B57"/>
    <mergeCell ref="A69:B70"/>
    <mergeCell ref="A72:B72"/>
    <mergeCell ref="A74:B75"/>
    <mergeCell ref="C74:C75"/>
    <mergeCell ref="A51:B51"/>
    <mergeCell ref="A54:B56"/>
    <mergeCell ref="A35:B36"/>
    <mergeCell ref="A37:B39"/>
    <mergeCell ref="A41:B42"/>
    <mergeCell ref="A48:B49"/>
    <mergeCell ref="A8:B9"/>
    <mergeCell ref="A23:B24"/>
    <mergeCell ref="A26:B27"/>
    <mergeCell ref="A29:B29"/>
    <mergeCell ref="A31:B32"/>
    <mergeCell ref="A12:B15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1025" r:id="rId4">
          <objectPr defaultSize="0" autoPict="0" r:id="rId5">
            <anchor moveWithCells="1">
              <from>
                <xdr:col>6</xdr:col>
                <xdr:colOff>447675</xdr:colOff>
                <xdr:row>21</xdr:row>
                <xdr:rowOff>28575</xdr:rowOff>
              </from>
              <to>
                <xdr:col>8</xdr:col>
                <xdr:colOff>466725</xdr:colOff>
                <xdr:row>25</xdr:row>
                <xdr:rowOff>19050</xdr:rowOff>
              </to>
            </anchor>
          </objectPr>
        </oleObject>
      </mc:Choice>
      <mc:Fallback>
        <oleObject progId="Equation.3" shapeId="1025" r:id="rId4"/>
      </mc:Fallback>
    </mc:AlternateContent>
    <mc:AlternateContent xmlns:mc="http://schemas.openxmlformats.org/markup-compatibility/2006">
      <mc:Choice Requires="x14">
        <oleObject progId="Equation.3" shapeId="1028" r:id="rId6">
          <objectPr defaultSize="0" autoPict="0" r:id="rId7">
            <anchor moveWithCells="1">
              <from>
                <xdr:col>7</xdr:col>
                <xdr:colOff>371475</xdr:colOff>
                <xdr:row>79</xdr:row>
                <xdr:rowOff>66675</xdr:rowOff>
              </from>
              <to>
                <xdr:col>8</xdr:col>
                <xdr:colOff>695325</xdr:colOff>
                <xdr:row>82</xdr:row>
                <xdr:rowOff>57150</xdr:rowOff>
              </to>
            </anchor>
          </objectPr>
        </oleObject>
      </mc:Choice>
      <mc:Fallback>
        <oleObject progId="Equation.3" shapeId="1028" r:id="rId6"/>
      </mc:Fallback>
    </mc:AlternateContent>
    <mc:AlternateContent xmlns:mc="http://schemas.openxmlformats.org/markup-compatibility/2006">
      <mc:Choice Requires="x14">
        <oleObject progId="Equation.3" shapeId="1029" r:id="rId8">
          <objectPr defaultSize="0" autoPict="0" r:id="rId9">
            <anchor moveWithCells="1">
              <from>
                <xdr:col>7</xdr:col>
                <xdr:colOff>57150</xdr:colOff>
                <xdr:row>58</xdr:row>
                <xdr:rowOff>104775</xdr:rowOff>
              </from>
              <to>
                <xdr:col>9</xdr:col>
                <xdr:colOff>66675</xdr:colOff>
                <xdr:row>62</xdr:row>
                <xdr:rowOff>133350</xdr:rowOff>
              </to>
            </anchor>
          </objectPr>
        </oleObject>
      </mc:Choice>
      <mc:Fallback>
        <oleObject progId="Equation.3" shapeId="1029" r:id="rId8"/>
      </mc:Fallback>
    </mc:AlternateContent>
    <mc:AlternateContent xmlns:mc="http://schemas.openxmlformats.org/markup-compatibility/2006">
      <mc:Choice Requires="x14">
        <oleObject progId="Equation.3" shapeId="1030" r:id="rId10">
          <objectPr defaultSize="0" autoPict="0" r:id="rId11">
            <anchor moveWithCells="1">
              <from>
                <xdr:col>7</xdr:col>
                <xdr:colOff>333375</xdr:colOff>
                <xdr:row>64</xdr:row>
                <xdr:rowOff>152400</xdr:rowOff>
              </from>
              <to>
                <xdr:col>8</xdr:col>
                <xdr:colOff>647700</xdr:colOff>
                <xdr:row>67</xdr:row>
                <xdr:rowOff>133350</xdr:rowOff>
              </to>
            </anchor>
          </objectPr>
        </oleObject>
      </mc:Choice>
      <mc:Fallback>
        <oleObject progId="Equation.3" shapeId="1030" r:id="rId10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4"/>
  <sheetViews>
    <sheetView workbookViewId="0">
      <selection activeCell="A54" sqref="A54"/>
    </sheetView>
  </sheetViews>
  <sheetFormatPr baseColWidth="10" defaultRowHeight="15" x14ac:dyDescent="0.25"/>
  <cols>
    <col min="2" max="2" width="15.28515625" customWidth="1"/>
    <col min="3" max="3" width="19.85546875" bestFit="1" customWidth="1"/>
    <col min="4" max="5" width="22" bestFit="1" customWidth="1"/>
    <col min="7" max="7" width="12.140625" customWidth="1"/>
  </cols>
  <sheetData>
    <row r="1" spans="1:9" s="7" customFormat="1" x14ac:dyDescent="0.25">
      <c r="A1" s="6" t="s">
        <v>95</v>
      </c>
    </row>
    <row r="2" spans="1:9" s="3" customFormat="1" x14ac:dyDescent="0.25">
      <c r="A2" s="2" t="s">
        <v>34</v>
      </c>
    </row>
    <row r="3" spans="1:9" s="3" customFormat="1" x14ac:dyDescent="0.25">
      <c r="A3" s="2" t="s">
        <v>35</v>
      </c>
    </row>
    <row r="4" spans="1:9" s="32" customFormat="1" ht="18.75" x14ac:dyDescent="0.35">
      <c r="A4" s="34"/>
      <c r="D4" s="35" t="s">
        <v>36</v>
      </c>
      <c r="H4" s="31" t="s">
        <v>24</v>
      </c>
      <c r="I4" s="31" t="s">
        <v>25</v>
      </c>
    </row>
    <row r="5" spans="1:9" x14ac:dyDescent="0.25">
      <c r="D5" s="9">
        <v>5</v>
      </c>
      <c r="H5" s="9">
        <f>D5-$D$33</f>
        <v>-3.1999999999999993</v>
      </c>
      <c r="I5" s="9">
        <f>H5^2</f>
        <v>10.239999999999995</v>
      </c>
    </row>
    <row r="6" spans="1:9" x14ac:dyDescent="0.25">
      <c r="D6" s="9">
        <v>6</v>
      </c>
      <c r="F6" s="77" t="s">
        <v>39</v>
      </c>
      <c r="G6" s="77"/>
      <c r="H6" s="9">
        <f t="shared" ref="H6:H29" si="0">D6-$D$33</f>
        <v>-2.1999999999999993</v>
      </c>
      <c r="I6" s="9">
        <f t="shared" ref="I6:I29" si="1">H6^2</f>
        <v>4.8399999999999972</v>
      </c>
    </row>
    <row r="7" spans="1:9" x14ac:dyDescent="0.25">
      <c r="A7" s="77" t="s">
        <v>4</v>
      </c>
      <c r="B7" s="77"/>
      <c r="D7" s="9">
        <v>6</v>
      </c>
      <c r="F7" s="77"/>
      <c r="G7" s="77"/>
      <c r="H7" s="9">
        <f t="shared" si="0"/>
        <v>-2.1999999999999993</v>
      </c>
      <c r="I7" s="9">
        <f t="shared" si="1"/>
        <v>4.8399999999999972</v>
      </c>
    </row>
    <row r="8" spans="1:9" x14ac:dyDescent="0.25">
      <c r="A8" s="77"/>
      <c r="B8" s="77"/>
      <c r="D8" s="9">
        <v>6</v>
      </c>
      <c r="F8" s="77"/>
      <c r="G8" s="77"/>
      <c r="H8" s="9">
        <f t="shared" si="0"/>
        <v>-2.1999999999999993</v>
      </c>
      <c r="I8" s="9">
        <f t="shared" si="1"/>
        <v>4.8399999999999972</v>
      </c>
    </row>
    <row r="9" spans="1:9" x14ac:dyDescent="0.25">
      <c r="D9" s="9">
        <v>7</v>
      </c>
      <c r="F9" s="78" t="s">
        <v>27</v>
      </c>
      <c r="G9" s="78"/>
      <c r="H9" s="9">
        <f t="shared" si="0"/>
        <v>-1.1999999999999993</v>
      </c>
      <c r="I9" s="9">
        <f t="shared" si="1"/>
        <v>1.4399999999999984</v>
      </c>
    </row>
    <row r="10" spans="1:9" x14ac:dyDescent="0.25">
      <c r="D10" s="9">
        <v>7</v>
      </c>
      <c r="H10" s="9">
        <f t="shared" si="0"/>
        <v>-1.1999999999999993</v>
      </c>
      <c r="I10" s="9">
        <f t="shared" si="1"/>
        <v>1.4399999999999984</v>
      </c>
    </row>
    <row r="11" spans="1:9" ht="15" customHeight="1" x14ac:dyDescent="0.25">
      <c r="D11" s="9">
        <v>7</v>
      </c>
      <c r="H11" s="9">
        <f t="shared" si="0"/>
        <v>-1.1999999999999993</v>
      </c>
      <c r="I11" s="9">
        <f t="shared" si="1"/>
        <v>1.4399999999999984</v>
      </c>
    </row>
    <row r="12" spans="1:9" x14ac:dyDescent="0.25">
      <c r="A12" s="33"/>
      <c r="B12" s="33"/>
      <c r="D12" s="9">
        <v>7</v>
      </c>
      <c r="H12" s="9">
        <f t="shared" si="0"/>
        <v>-1.1999999999999993</v>
      </c>
      <c r="I12" s="9">
        <f t="shared" si="1"/>
        <v>1.4399999999999984</v>
      </c>
    </row>
    <row r="13" spans="1:9" x14ac:dyDescent="0.25">
      <c r="A13" s="33"/>
      <c r="B13" s="33"/>
      <c r="D13" s="9">
        <v>7</v>
      </c>
      <c r="H13" s="9">
        <f t="shared" si="0"/>
        <v>-1.1999999999999993</v>
      </c>
      <c r="I13" s="9">
        <f t="shared" si="1"/>
        <v>1.4399999999999984</v>
      </c>
    </row>
    <row r="14" spans="1:9" x14ac:dyDescent="0.25">
      <c r="A14" s="33"/>
      <c r="B14" s="33"/>
      <c r="D14" s="9">
        <v>7</v>
      </c>
      <c r="H14" s="9">
        <f t="shared" si="0"/>
        <v>-1.1999999999999993</v>
      </c>
      <c r="I14" s="9">
        <f t="shared" si="1"/>
        <v>1.4399999999999984</v>
      </c>
    </row>
    <row r="15" spans="1:9" x14ac:dyDescent="0.25">
      <c r="D15" s="9">
        <v>7</v>
      </c>
      <c r="H15" s="9">
        <f t="shared" si="0"/>
        <v>-1.1999999999999993</v>
      </c>
      <c r="I15" s="9">
        <f t="shared" si="1"/>
        <v>1.4399999999999984</v>
      </c>
    </row>
    <row r="16" spans="1:9" x14ac:dyDescent="0.25">
      <c r="D16" s="9">
        <v>8</v>
      </c>
      <c r="H16" s="9">
        <f t="shared" si="0"/>
        <v>-0.19999999999999929</v>
      </c>
      <c r="I16" s="9">
        <f t="shared" si="1"/>
        <v>3.9999999999999716E-2</v>
      </c>
    </row>
    <row r="17" spans="1:13" x14ac:dyDescent="0.25">
      <c r="D17" s="9">
        <v>8</v>
      </c>
      <c r="H17" s="9">
        <f t="shared" si="0"/>
        <v>-0.19999999999999929</v>
      </c>
      <c r="I17" s="9">
        <f t="shared" si="1"/>
        <v>3.9999999999999716E-2</v>
      </c>
    </row>
    <row r="18" spans="1:13" x14ac:dyDescent="0.25">
      <c r="D18" s="9">
        <v>8</v>
      </c>
      <c r="H18" s="9">
        <f t="shared" si="0"/>
        <v>-0.19999999999999929</v>
      </c>
      <c r="I18" s="9">
        <f t="shared" si="1"/>
        <v>3.9999999999999716E-2</v>
      </c>
    </row>
    <row r="19" spans="1:13" x14ac:dyDescent="0.25">
      <c r="D19" s="9">
        <v>8</v>
      </c>
      <c r="H19" s="9">
        <f t="shared" si="0"/>
        <v>-0.19999999999999929</v>
      </c>
      <c r="I19" s="9">
        <f t="shared" si="1"/>
        <v>3.9999999999999716E-2</v>
      </c>
    </row>
    <row r="20" spans="1:13" x14ac:dyDescent="0.25">
      <c r="D20" s="9">
        <v>9</v>
      </c>
      <c r="H20" s="9">
        <f t="shared" si="0"/>
        <v>0.80000000000000071</v>
      </c>
      <c r="I20" s="9">
        <f t="shared" si="1"/>
        <v>0.64000000000000112</v>
      </c>
    </row>
    <row r="21" spans="1:13" x14ac:dyDescent="0.25">
      <c r="D21" s="9">
        <v>9</v>
      </c>
      <c r="H21" s="9">
        <f t="shared" si="0"/>
        <v>0.80000000000000071</v>
      </c>
      <c r="I21" s="9">
        <f t="shared" si="1"/>
        <v>0.64000000000000112</v>
      </c>
    </row>
    <row r="22" spans="1:13" x14ac:dyDescent="0.25">
      <c r="D22" s="9">
        <v>9</v>
      </c>
      <c r="H22" s="9">
        <f t="shared" si="0"/>
        <v>0.80000000000000071</v>
      </c>
      <c r="I22" s="9">
        <f t="shared" si="1"/>
        <v>0.64000000000000112</v>
      </c>
    </row>
    <row r="23" spans="1:13" x14ac:dyDescent="0.25">
      <c r="D23" s="9">
        <v>10</v>
      </c>
      <c r="H23" s="9">
        <f t="shared" si="0"/>
        <v>1.8000000000000007</v>
      </c>
      <c r="I23" s="9">
        <f t="shared" si="1"/>
        <v>3.2400000000000024</v>
      </c>
    </row>
    <row r="24" spans="1:13" x14ac:dyDescent="0.25">
      <c r="D24" s="9">
        <v>10</v>
      </c>
      <c r="H24" s="9">
        <f t="shared" si="0"/>
        <v>1.8000000000000007</v>
      </c>
      <c r="I24" s="9">
        <f t="shared" si="1"/>
        <v>3.2400000000000024</v>
      </c>
    </row>
    <row r="25" spans="1:13" x14ac:dyDescent="0.25">
      <c r="D25" s="9">
        <v>10</v>
      </c>
      <c r="H25" s="9">
        <f t="shared" si="0"/>
        <v>1.8000000000000007</v>
      </c>
      <c r="I25" s="9">
        <f t="shared" si="1"/>
        <v>3.2400000000000024</v>
      </c>
    </row>
    <row r="26" spans="1:13" x14ac:dyDescent="0.25">
      <c r="D26" s="9">
        <v>10</v>
      </c>
      <c r="H26" s="9">
        <f t="shared" si="0"/>
        <v>1.8000000000000007</v>
      </c>
      <c r="I26" s="9">
        <f t="shared" si="1"/>
        <v>3.2400000000000024</v>
      </c>
    </row>
    <row r="27" spans="1:13" x14ac:dyDescent="0.25">
      <c r="D27" s="9">
        <v>11</v>
      </c>
      <c r="H27" s="9">
        <f t="shared" si="0"/>
        <v>2.8000000000000007</v>
      </c>
      <c r="I27" s="9">
        <f t="shared" si="1"/>
        <v>7.8400000000000043</v>
      </c>
    </row>
    <row r="28" spans="1:13" x14ac:dyDescent="0.25">
      <c r="D28" s="9">
        <v>11</v>
      </c>
      <c r="H28" s="9">
        <f t="shared" si="0"/>
        <v>2.8000000000000007</v>
      </c>
      <c r="I28" s="9">
        <f t="shared" si="1"/>
        <v>7.8400000000000043</v>
      </c>
    </row>
    <row r="29" spans="1:13" x14ac:dyDescent="0.25">
      <c r="D29" s="9">
        <v>12</v>
      </c>
      <c r="H29" s="9">
        <f t="shared" si="0"/>
        <v>3.8000000000000007</v>
      </c>
      <c r="I29" s="9">
        <f t="shared" si="1"/>
        <v>14.440000000000005</v>
      </c>
    </row>
    <row r="30" spans="1:13" ht="15" customHeight="1" x14ac:dyDescent="0.25">
      <c r="A30" s="77" t="s">
        <v>6</v>
      </c>
      <c r="B30" s="77"/>
      <c r="F30" s="77" t="s">
        <v>6</v>
      </c>
      <c r="G30" s="77"/>
      <c r="K30" s="77" t="s">
        <v>43</v>
      </c>
      <c r="L30" s="77"/>
      <c r="M30" s="77"/>
    </row>
    <row r="31" spans="1:13" x14ac:dyDescent="0.25">
      <c r="A31" s="77"/>
      <c r="B31" s="77"/>
      <c r="C31" s="12" t="s">
        <v>37</v>
      </c>
      <c r="D31" s="9">
        <f>SUM(D5:D29)</f>
        <v>205</v>
      </c>
      <c r="F31" s="77"/>
      <c r="G31" s="77"/>
      <c r="H31" s="12" t="s">
        <v>37</v>
      </c>
      <c r="I31" s="9">
        <f>SUM(I5:I29)</f>
        <v>80</v>
      </c>
      <c r="K31" s="77"/>
      <c r="L31" s="77"/>
      <c r="M31" s="77"/>
    </row>
    <row r="32" spans="1:13" x14ac:dyDescent="0.25">
      <c r="C32" s="12"/>
    </row>
    <row r="33" spans="1:13" x14ac:dyDescent="0.25">
      <c r="A33" s="78" t="s">
        <v>38</v>
      </c>
      <c r="B33" s="78"/>
      <c r="C33" s="12" t="s">
        <v>10</v>
      </c>
      <c r="D33" s="9">
        <f>D31/25</f>
        <v>8.1999999999999993</v>
      </c>
      <c r="F33" s="78" t="s">
        <v>40</v>
      </c>
      <c r="G33" s="78"/>
      <c r="H33" s="12" t="s">
        <v>41</v>
      </c>
      <c r="I33" s="9">
        <f>I31/24</f>
        <v>3.3333333333333335</v>
      </c>
      <c r="L33" s="12" t="s">
        <v>41</v>
      </c>
      <c r="M33" s="9">
        <f>VAR(D5:D29)</f>
        <v>3.3333333333333335</v>
      </c>
    </row>
    <row r="34" spans="1:13" x14ac:dyDescent="0.25">
      <c r="C34" s="12"/>
      <c r="L34" s="12" t="s">
        <v>42</v>
      </c>
      <c r="M34" s="9">
        <f>STDEV(D5:D29)</f>
        <v>1.8257418583505538</v>
      </c>
    </row>
    <row r="35" spans="1:13" x14ac:dyDescent="0.25">
      <c r="A35" s="77" t="s">
        <v>12</v>
      </c>
      <c r="B35" s="77"/>
      <c r="C35" s="12" t="s">
        <v>10</v>
      </c>
      <c r="D35" s="9">
        <f>AVERAGE(D5:D29)</f>
        <v>8.1999999999999993</v>
      </c>
      <c r="F35" s="77" t="s">
        <v>30</v>
      </c>
      <c r="G35" s="77"/>
    </row>
    <row r="36" spans="1:13" x14ac:dyDescent="0.25">
      <c r="A36" s="77"/>
      <c r="B36" s="77"/>
      <c r="F36" s="77"/>
      <c r="G36" s="77"/>
      <c r="H36" s="12" t="s">
        <v>42</v>
      </c>
      <c r="I36" s="9">
        <f>SQRT(I33)</f>
        <v>1.8257418583505538</v>
      </c>
    </row>
    <row r="37" spans="1:13" s="32" customFormat="1" x14ac:dyDescent="0.25">
      <c r="A37" s="37"/>
      <c r="B37" s="37"/>
      <c r="F37" s="37"/>
      <c r="G37" s="37"/>
      <c r="H37" s="38"/>
    </row>
    <row r="38" spans="1:13" x14ac:dyDescent="0.25">
      <c r="C38" s="12"/>
    </row>
    <row r="39" spans="1:13" s="15" customFormat="1" x14ac:dyDescent="0.25">
      <c r="A39" s="18" t="s">
        <v>45</v>
      </c>
      <c r="C39" s="36"/>
    </row>
    <row r="40" spans="1:13" s="15" customFormat="1" x14ac:dyDescent="0.25">
      <c r="A40" s="18" t="s">
        <v>46</v>
      </c>
      <c r="C40" s="36"/>
    </row>
    <row r="41" spans="1:13" x14ac:dyDescent="0.25">
      <c r="C41" s="12"/>
    </row>
    <row r="42" spans="1:13" x14ac:dyDescent="0.25">
      <c r="C42" s="8" t="s">
        <v>186</v>
      </c>
      <c r="D42" s="53" t="s">
        <v>187</v>
      </c>
      <c r="E42" s="53" t="s">
        <v>188</v>
      </c>
    </row>
    <row r="43" spans="1:13" x14ac:dyDescent="0.25">
      <c r="B43" s="1" t="s">
        <v>184</v>
      </c>
      <c r="C43" s="9">
        <f>D33-I36</f>
        <v>6.3742581416494453</v>
      </c>
      <c r="D43" s="9">
        <f>D33-2*I36</f>
        <v>4.5485162832988912</v>
      </c>
      <c r="E43" s="9">
        <f>D33-3*I36</f>
        <v>2.7227744249483381</v>
      </c>
    </row>
    <row r="44" spans="1:13" x14ac:dyDescent="0.25">
      <c r="B44" s="1" t="s">
        <v>185</v>
      </c>
      <c r="C44" s="9">
        <f>D33+I36</f>
        <v>10.025741858350553</v>
      </c>
      <c r="D44" s="9">
        <f>D33+2*I36</f>
        <v>11.851483716701107</v>
      </c>
      <c r="E44" s="9">
        <f>D33+3*I36</f>
        <v>13.677225575051661</v>
      </c>
    </row>
    <row r="46" spans="1:13" x14ac:dyDescent="0.25">
      <c r="B46" s="81" t="s">
        <v>47</v>
      </c>
    </row>
    <row r="47" spans="1:13" x14ac:dyDescent="0.25">
      <c r="B47" s="81"/>
      <c r="C47" s="9">
        <f>COUNT(D9:D26)</f>
        <v>18</v>
      </c>
      <c r="D47" s="9">
        <f>COUNT(D5:D28)</f>
        <v>24</v>
      </c>
      <c r="E47" s="9">
        <f>COUNT(D5:D29)</f>
        <v>25</v>
      </c>
      <c r="G47" s="78" t="s">
        <v>48</v>
      </c>
      <c r="H47" s="78"/>
      <c r="I47" s="78"/>
      <c r="J47" s="78"/>
      <c r="K47" s="78"/>
      <c r="L47" s="78"/>
    </row>
    <row r="49" spans="1:12" x14ac:dyDescent="0.25">
      <c r="B49" s="8" t="s">
        <v>49</v>
      </c>
      <c r="C49" s="59">
        <f>C47/25</f>
        <v>0.72</v>
      </c>
      <c r="D49" s="59">
        <f>D47/25</f>
        <v>0.96</v>
      </c>
      <c r="E49" s="59">
        <f>E47/25</f>
        <v>1</v>
      </c>
    </row>
    <row r="51" spans="1:12" s="15" customFormat="1" x14ac:dyDescent="0.25">
      <c r="A51" s="18" t="s">
        <v>50</v>
      </c>
    </row>
    <row r="53" spans="1:12" x14ac:dyDescent="0.25">
      <c r="B53" s="39" t="s">
        <v>51</v>
      </c>
      <c r="C53" s="8">
        <v>1</v>
      </c>
      <c r="D53" s="8">
        <v>2</v>
      </c>
      <c r="E53" s="8">
        <v>3</v>
      </c>
    </row>
    <row r="54" spans="1:12" ht="17.25" x14ac:dyDescent="0.25">
      <c r="B54" s="39" t="s">
        <v>52</v>
      </c>
      <c r="C54" s="59">
        <f>1-1/C53^2</f>
        <v>0</v>
      </c>
      <c r="D54" s="59">
        <f>1-1/D53^2</f>
        <v>0.75</v>
      </c>
      <c r="E54" s="59">
        <f>1-1/E53^2</f>
        <v>0.88888888888888884</v>
      </c>
      <c r="G54" s="78" t="s">
        <v>53</v>
      </c>
      <c r="H54" s="78"/>
      <c r="I54" s="78"/>
      <c r="J54" s="78"/>
      <c r="K54" s="78"/>
      <c r="L54" s="78"/>
    </row>
  </sheetData>
  <sortState ref="D5:D29">
    <sortCondition ref="D5:D29"/>
  </sortState>
  <mergeCells count="13">
    <mergeCell ref="G47:L47"/>
    <mergeCell ref="G54:L54"/>
    <mergeCell ref="F6:G8"/>
    <mergeCell ref="F9:G9"/>
    <mergeCell ref="F30:G31"/>
    <mergeCell ref="F33:G33"/>
    <mergeCell ref="F35:G36"/>
    <mergeCell ref="K30:M31"/>
    <mergeCell ref="A30:B31"/>
    <mergeCell ref="A33:B33"/>
    <mergeCell ref="B46:B47"/>
    <mergeCell ref="A7:B8"/>
    <mergeCell ref="A35:B36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4100" r:id="rId4">
          <objectPr defaultSize="0" r:id="rId5">
            <anchor moveWithCells="1">
              <from>
                <xdr:col>0</xdr:col>
                <xdr:colOff>447675</xdr:colOff>
                <xdr:row>11</xdr:row>
                <xdr:rowOff>28575</xdr:rowOff>
              </from>
              <to>
                <xdr:col>2</xdr:col>
                <xdr:colOff>200025</xdr:colOff>
                <xdr:row>15</xdr:row>
                <xdr:rowOff>57150</xdr:rowOff>
              </to>
            </anchor>
          </objectPr>
        </oleObject>
      </mc:Choice>
      <mc:Fallback>
        <oleObject progId="Equation.3" shapeId="4100" r:id="rId4"/>
      </mc:Fallback>
    </mc:AlternateContent>
    <mc:AlternateContent xmlns:mc="http://schemas.openxmlformats.org/markup-compatibility/2006">
      <mc:Choice Requires="x14">
        <oleObject progId="Equation.3" shapeId="4101" r:id="rId6">
          <objectPr defaultSize="0" r:id="rId7">
            <anchor moveWithCells="1">
              <from>
                <xdr:col>10</xdr:col>
                <xdr:colOff>542925</xdr:colOff>
                <xdr:row>5</xdr:row>
                <xdr:rowOff>57150</xdr:rowOff>
              </from>
              <to>
                <xdr:col>12</xdr:col>
                <xdr:colOff>552450</xdr:colOff>
                <xdr:row>9</xdr:row>
                <xdr:rowOff>85725</xdr:rowOff>
              </to>
            </anchor>
          </objectPr>
        </oleObject>
      </mc:Choice>
      <mc:Fallback>
        <oleObject progId="Equation.3" shapeId="4101" r:id="rId6"/>
      </mc:Fallback>
    </mc:AlternateContent>
    <mc:AlternateContent xmlns:mc="http://schemas.openxmlformats.org/markup-compatibility/2006">
      <mc:Choice Requires="x14">
        <oleObject progId="Equation.3" shapeId="4102" r:id="rId8">
          <objectPr defaultSize="0" autoPict="0" r:id="rId9">
            <anchor moveWithCells="1">
              <from>
                <xdr:col>11</xdr:col>
                <xdr:colOff>57150</xdr:colOff>
                <xdr:row>10</xdr:row>
                <xdr:rowOff>104775</xdr:rowOff>
              </from>
              <to>
                <xdr:col>12</xdr:col>
                <xdr:colOff>371475</xdr:colOff>
                <xdr:row>13</xdr:row>
                <xdr:rowOff>85725</xdr:rowOff>
              </to>
            </anchor>
          </objectPr>
        </oleObject>
      </mc:Choice>
      <mc:Fallback>
        <oleObject progId="Equation.3" shapeId="4102" r:id="rId8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3"/>
  <sheetViews>
    <sheetView topLeftCell="A28" workbookViewId="0">
      <selection activeCell="D14" sqref="D14"/>
    </sheetView>
  </sheetViews>
  <sheetFormatPr baseColWidth="10" defaultRowHeight="15" x14ac:dyDescent="0.25"/>
  <cols>
    <col min="1" max="1" width="25.85546875" bestFit="1" customWidth="1"/>
    <col min="2" max="2" width="14.28515625" customWidth="1"/>
    <col min="3" max="3" width="9.42578125" bestFit="1" customWidth="1"/>
    <col min="4" max="4" width="9" customWidth="1"/>
    <col min="5" max="5" width="25.85546875" bestFit="1" customWidth="1"/>
    <col min="6" max="6" width="12.5703125" bestFit="1" customWidth="1"/>
    <col min="7" max="7" width="25.85546875" bestFit="1" customWidth="1"/>
    <col min="8" max="8" width="12" customWidth="1"/>
  </cols>
  <sheetData>
    <row r="1" spans="1:5" s="7" customFormat="1" x14ac:dyDescent="0.25">
      <c r="A1" s="6" t="s">
        <v>96</v>
      </c>
    </row>
    <row r="2" spans="1:5" s="3" customFormat="1" x14ac:dyDescent="0.25">
      <c r="A2" s="2" t="s">
        <v>54</v>
      </c>
    </row>
    <row r="3" spans="1:5" s="3" customFormat="1" x14ac:dyDescent="0.25">
      <c r="A3" s="2"/>
    </row>
    <row r="4" spans="1:5" s="3" customFormat="1" x14ac:dyDescent="0.25">
      <c r="A4" s="2">
        <v>1</v>
      </c>
      <c r="B4" s="2" t="s">
        <v>59</v>
      </c>
    </row>
    <row r="5" spans="1:5" s="3" customFormat="1" x14ac:dyDescent="0.25">
      <c r="A5" s="2">
        <v>2</v>
      </c>
      <c r="B5" s="2" t="s">
        <v>58</v>
      </c>
    </row>
    <row r="6" spans="1:5" s="3" customFormat="1" x14ac:dyDescent="0.25">
      <c r="A6" s="2">
        <v>3</v>
      </c>
      <c r="B6" s="2" t="s">
        <v>56</v>
      </c>
    </row>
    <row r="7" spans="1:5" s="3" customFormat="1" x14ac:dyDescent="0.25">
      <c r="A7" s="2">
        <v>4</v>
      </c>
      <c r="B7" s="2" t="s">
        <v>57</v>
      </c>
    </row>
    <row r="9" spans="1:5" ht="18" x14ac:dyDescent="0.35">
      <c r="A9" s="34"/>
      <c r="B9" s="32"/>
      <c r="C9" s="32" t="s">
        <v>55</v>
      </c>
      <c r="D9" s="35" t="s">
        <v>36</v>
      </c>
      <c r="E9" s="8" t="s">
        <v>60</v>
      </c>
    </row>
    <row r="10" spans="1:5" x14ac:dyDescent="0.25">
      <c r="C10">
        <v>1</v>
      </c>
      <c r="D10" s="9">
        <v>3</v>
      </c>
      <c r="E10" s="9" t="str">
        <f>VLOOKUP(D10,$A$4:$B$7,2,FALSE)</f>
        <v>Cerveza artesanal</v>
      </c>
    </row>
    <row r="11" spans="1:5" x14ac:dyDescent="0.25">
      <c r="C11">
        <v>2</v>
      </c>
      <c r="D11" s="9">
        <v>4</v>
      </c>
      <c r="E11" s="9" t="str">
        <f t="shared" ref="E11:E34" si="0">VLOOKUP(D11,$A$4:$B$7,2,FALSE)</f>
        <v>Cerveza importada</v>
      </c>
    </row>
    <row r="12" spans="1:5" x14ac:dyDescent="0.25">
      <c r="A12" s="77" t="s">
        <v>77</v>
      </c>
      <c r="B12" s="77"/>
      <c r="C12">
        <v>3</v>
      </c>
      <c r="D12" s="9">
        <v>1</v>
      </c>
      <c r="E12" s="9" t="str">
        <f t="shared" si="0"/>
        <v>Cerveza Nacional en lata</v>
      </c>
    </row>
    <row r="13" spans="1:5" x14ac:dyDescent="0.25">
      <c r="A13" s="77"/>
      <c r="B13" s="77"/>
      <c r="C13">
        <v>4</v>
      </c>
      <c r="D13" s="9">
        <v>1</v>
      </c>
      <c r="E13" s="9" t="str">
        <f t="shared" si="0"/>
        <v>Cerveza Nacional en lata</v>
      </c>
    </row>
    <row r="14" spans="1:5" x14ac:dyDescent="0.25">
      <c r="C14">
        <v>5</v>
      </c>
      <c r="D14" s="9">
        <v>3</v>
      </c>
      <c r="E14" s="9" t="str">
        <f t="shared" si="0"/>
        <v>Cerveza artesanal</v>
      </c>
    </row>
    <row r="15" spans="1:5" ht="15" customHeight="1" x14ac:dyDescent="0.25">
      <c r="A15" s="77" t="s">
        <v>63</v>
      </c>
      <c r="B15" s="77"/>
      <c r="C15">
        <v>6</v>
      </c>
      <c r="D15" s="9">
        <v>4</v>
      </c>
      <c r="E15" s="9" t="str">
        <f t="shared" si="0"/>
        <v>Cerveza importada</v>
      </c>
    </row>
    <row r="16" spans="1:5" x14ac:dyDescent="0.25">
      <c r="A16" s="77"/>
      <c r="B16" s="77"/>
      <c r="C16">
        <v>7</v>
      </c>
      <c r="D16" s="9">
        <v>3</v>
      </c>
      <c r="E16" s="9" t="str">
        <f t="shared" si="0"/>
        <v>Cerveza artesanal</v>
      </c>
    </row>
    <row r="17" spans="1:5" x14ac:dyDescent="0.25">
      <c r="A17" s="77"/>
      <c r="B17" s="77"/>
      <c r="C17">
        <v>8</v>
      </c>
      <c r="D17" s="9">
        <v>3</v>
      </c>
      <c r="E17" s="9" t="str">
        <f t="shared" si="0"/>
        <v>Cerveza artesanal</v>
      </c>
    </row>
    <row r="18" spans="1:5" x14ac:dyDescent="0.25">
      <c r="A18" s="13" t="s">
        <v>64</v>
      </c>
      <c r="B18" s="13"/>
      <c r="C18">
        <v>9</v>
      </c>
      <c r="D18" s="9">
        <v>1</v>
      </c>
      <c r="E18" s="9" t="str">
        <f t="shared" si="0"/>
        <v>Cerveza Nacional en lata</v>
      </c>
    </row>
    <row r="19" spans="1:5" x14ac:dyDescent="0.25">
      <c r="A19" s="13" t="s">
        <v>65</v>
      </c>
      <c r="B19" s="13"/>
      <c r="C19">
        <v>10</v>
      </c>
      <c r="D19" s="9">
        <v>3</v>
      </c>
      <c r="E19" s="9" t="str">
        <f t="shared" si="0"/>
        <v>Cerveza artesanal</v>
      </c>
    </row>
    <row r="20" spans="1:5" x14ac:dyDescent="0.25">
      <c r="A20" s="4" t="s">
        <v>66</v>
      </c>
      <c r="B20" s="5"/>
      <c r="C20">
        <v>11</v>
      </c>
      <c r="D20" s="9">
        <v>2</v>
      </c>
      <c r="E20" s="9" t="str">
        <f t="shared" si="0"/>
        <v>Cerveza Nacional en botella</v>
      </c>
    </row>
    <row r="21" spans="1:5" x14ac:dyDescent="0.25">
      <c r="C21">
        <v>12</v>
      </c>
      <c r="D21" s="9">
        <v>1</v>
      </c>
      <c r="E21" s="9" t="str">
        <f t="shared" si="0"/>
        <v>Cerveza Nacional en lata</v>
      </c>
    </row>
    <row r="22" spans="1:5" x14ac:dyDescent="0.25">
      <c r="C22">
        <v>13</v>
      </c>
      <c r="D22" s="9">
        <v>2</v>
      </c>
      <c r="E22" s="9" t="str">
        <f t="shared" si="0"/>
        <v>Cerveza Nacional en botella</v>
      </c>
    </row>
    <row r="23" spans="1:5" x14ac:dyDescent="0.25">
      <c r="C23">
        <v>14</v>
      </c>
      <c r="D23" s="9">
        <v>1</v>
      </c>
      <c r="E23" s="9" t="str">
        <f t="shared" si="0"/>
        <v>Cerveza Nacional en lata</v>
      </c>
    </row>
    <row r="24" spans="1:5" x14ac:dyDescent="0.25">
      <c r="C24">
        <v>15</v>
      </c>
      <c r="D24" s="9">
        <v>2</v>
      </c>
      <c r="E24" s="9" t="str">
        <f t="shared" si="0"/>
        <v>Cerveza Nacional en botella</v>
      </c>
    </row>
    <row r="25" spans="1:5" x14ac:dyDescent="0.25">
      <c r="C25">
        <v>16</v>
      </c>
      <c r="D25" s="9">
        <v>3</v>
      </c>
      <c r="E25" s="9" t="str">
        <f t="shared" si="0"/>
        <v>Cerveza artesanal</v>
      </c>
    </row>
    <row r="26" spans="1:5" x14ac:dyDescent="0.25">
      <c r="C26">
        <v>17</v>
      </c>
      <c r="D26" s="9">
        <v>2</v>
      </c>
      <c r="E26" s="9" t="str">
        <f t="shared" si="0"/>
        <v>Cerveza Nacional en botella</v>
      </c>
    </row>
    <row r="27" spans="1:5" x14ac:dyDescent="0.25">
      <c r="C27">
        <v>18</v>
      </c>
      <c r="D27" s="9">
        <v>3</v>
      </c>
      <c r="E27" s="9" t="str">
        <f t="shared" si="0"/>
        <v>Cerveza artesanal</v>
      </c>
    </row>
    <row r="28" spans="1:5" x14ac:dyDescent="0.25">
      <c r="C28">
        <v>19</v>
      </c>
      <c r="D28" s="9">
        <v>1</v>
      </c>
      <c r="E28" s="9" t="str">
        <f t="shared" si="0"/>
        <v>Cerveza Nacional en lata</v>
      </c>
    </row>
    <row r="29" spans="1:5" x14ac:dyDescent="0.25">
      <c r="C29">
        <v>20</v>
      </c>
      <c r="D29" s="9">
        <v>1</v>
      </c>
      <c r="E29" s="9" t="str">
        <f t="shared" si="0"/>
        <v>Cerveza Nacional en lata</v>
      </c>
    </row>
    <row r="30" spans="1:5" x14ac:dyDescent="0.25">
      <c r="C30">
        <v>21</v>
      </c>
      <c r="D30" s="9">
        <v>1</v>
      </c>
      <c r="E30" s="9" t="str">
        <f t="shared" si="0"/>
        <v>Cerveza Nacional en lata</v>
      </c>
    </row>
    <row r="31" spans="1:5" x14ac:dyDescent="0.25">
      <c r="C31">
        <v>22</v>
      </c>
      <c r="D31" s="9">
        <v>1</v>
      </c>
      <c r="E31" s="9" t="str">
        <f t="shared" si="0"/>
        <v>Cerveza Nacional en lata</v>
      </c>
    </row>
    <row r="32" spans="1:5" x14ac:dyDescent="0.25">
      <c r="C32">
        <v>23</v>
      </c>
      <c r="D32" s="9">
        <v>4</v>
      </c>
      <c r="E32" s="9" t="str">
        <f t="shared" si="0"/>
        <v>Cerveza importada</v>
      </c>
    </row>
    <row r="33" spans="1:8" x14ac:dyDescent="0.25">
      <c r="C33">
        <v>24</v>
      </c>
      <c r="D33" s="9">
        <v>3</v>
      </c>
      <c r="E33" s="9" t="str">
        <f t="shared" si="0"/>
        <v>Cerveza artesanal</v>
      </c>
    </row>
    <row r="34" spans="1:8" x14ac:dyDescent="0.25">
      <c r="C34">
        <v>25</v>
      </c>
      <c r="D34" s="9">
        <v>1</v>
      </c>
      <c r="E34" s="9" t="str">
        <f t="shared" si="0"/>
        <v>Cerveza Nacional en lata</v>
      </c>
    </row>
    <row r="36" spans="1:8" s="15" customFormat="1" x14ac:dyDescent="0.25">
      <c r="A36" s="18" t="s">
        <v>61</v>
      </c>
    </row>
    <row r="38" spans="1:8" x14ac:dyDescent="0.25">
      <c r="A38" s="78" t="s">
        <v>62</v>
      </c>
      <c r="B38" s="78"/>
    </row>
    <row r="39" spans="1:8" x14ac:dyDescent="0.25">
      <c r="A39" s="40"/>
      <c r="B39" s="41"/>
    </row>
    <row r="40" spans="1:8" x14ac:dyDescent="0.25">
      <c r="A40" s="40" t="s">
        <v>67</v>
      </c>
      <c r="B40" s="41"/>
      <c r="G40" s="60" t="s">
        <v>189</v>
      </c>
      <c r="H40" t="s">
        <v>191</v>
      </c>
    </row>
    <row r="41" spans="1:8" x14ac:dyDescent="0.25">
      <c r="A41" s="40" t="s">
        <v>68</v>
      </c>
      <c r="B41" s="41"/>
      <c r="G41" s="40" t="s">
        <v>56</v>
      </c>
      <c r="H41" s="41">
        <v>8</v>
      </c>
    </row>
    <row r="42" spans="1:8" x14ac:dyDescent="0.25">
      <c r="A42" s="40" t="s">
        <v>69</v>
      </c>
      <c r="B42" s="41"/>
      <c r="G42" s="40" t="s">
        <v>57</v>
      </c>
      <c r="H42" s="41">
        <v>3</v>
      </c>
    </row>
    <row r="43" spans="1:8" x14ac:dyDescent="0.25">
      <c r="A43" s="40" t="s">
        <v>70</v>
      </c>
      <c r="B43" s="41"/>
      <c r="G43" s="40" t="s">
        <v>58</v>
      </c>
      <c r="H43" s="41">
        <v>4</v>
      </c>
    </row>
    <row r="44" spans="1:8" x14ac:dyDescent="0.25">
      <c r="A44" s="40" t="s">
        <v>71</v>
      </c>
      <c r="G44" s="40" t="s">
        <v>59</v>
      </c>
      <c r="H44" s="41">
        <v>10</v>
      </c>
    </row>
    <row r="45" spans="1:8" x14ac:dyDescent="0.25">
      <c r="A45" s="40" t="s">
        <v>72</v>
      </c>
      <c r="G45" s="40" t="s">
        <v>190</v>
      </c>
      <c r="H45" s="41">
        <v>25</v>
      </c>
    </row>
    <row r="47" spans="1:8" x14ac:dyDescent="0.25">
      <c r="A47" s="78" t="s">
        <v>73</v>
      </c>
      <c r="B47" s="78"/>
    </row>
    <row r="48" spans="1:8" x14ac:dyDescent="0.25">
      <c r="A48" s="42" t="s">
        <v>74</v>
      </c>
    </row>
    <row r="49" spans="1:9" x14ac:dyDescent="0.25">
      <c r="G49" t="str">
        <f>G41</f>
        <v>Cerveza artesanal</v>
      </c>
      <c r="H49" s="61">
        <f>GETPIVOTDATA("xi",$G$40,"Categoría","Cerveza artesanal")/GETPIVOTDATA("xi",$G$40)</f>
        <v>0.32</v>
      </c>
    </row>
    <row r="50" spans="1:9" x14ac:dyDescent="0.25">
      <c r="G50" t="str">
        <f>G42</f>
        <v>Cerveza importada</v>
      </c>
      <c r="H50" s="61">
        <f>GETPIVOTDATA("xi",$G$40,"Categoría","Cerveza importada")/GETPIVOTDATA("xi",$G$40)</f>
        <v>0.12</v>
      </c>
    </row>
    <row r="51" spans="1:9" x14ac:dyDescent="0.25">
      <c r="G51" t="str">
        <f>G43</f>
        <v>Cerveza Nacional en botella</v>
      </c>
      <c r="H51" s="61">
        <f>GETPIVOTDATA("xi",$G$40,"Categoría","Cerveza Nacional en botella")/GETPIVOTDATA("xi",$G$40)</f>
        <v>0.16</v>
      </c>
    </row>
    <row r="52" spans="1:9" x14ac:dyDescent="0.25">
      <c r="G52" t="str">
        <f>G44</f>
        <v>Cerveza Nacional en lata</v>
      </c>
      <c r="H52" s="61">
        <f>GETPIVOTDATA("xi",$G$40,"Categoría","Cerveza Nacional en lata")/GETPIVOTDATA("xi",$G$40)</f>
        <v>0.4</v>
      </c>
    </row>
    <row r="53" spans="1:9" x14ac:dyDescent="0.25">
      <c r="H53" s="62">
        <f>SUM(H49:H52)</f>
        <v>1</v>
      </c>
    </row>
    <row r="55" spans="1:9" s="15" customFormat="1" x14ac:dyDescent="0.25">
      <c r="A55" s="18" t="s">
        <v>75</v>
      </c>
      <c r="G55"/>
      <c r="H55"/>
      <c r="I55"/>
    </row>
    <row r="73" spans="1:1" s="15" customFormat="1" x14ac:dyDescent="0.25">
      <c r="A73" s="18" t="s">
        <v>76</v>
      </c>
    </row>
  </sheetData>
  <mergeCells count="4">
    <mergeCell ref="A12:B13"/>
    <mergeCell ref="A15:B17"/>
    <mergeCell ref="A38:B38"/>
    <mergeCell ref="A47:B47"/>
  </mergeCell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7"/>
  <sheetViews>
    <sheetView workbookViewId="0">
      <selection activeCell="M64" sqref="M64"/>
    </sheetView>
  </sheetViews>
  <sheetFormatPr baseColWidth="10" defaultRowHeight="15" x14ac:dyDescent="0.25"/>
  <cols>
    <col min="1" max="2" width="13.28515625" customWidth="1"/>
    <col min="3" max="12" width="6.85546875" customWidth="1"/>
    <col min="13" max="13" width="11.85546875" bestFit="1" customWidth="1"/>
    <col min="16" max="16" width="21.28515625" bestFit="1" customWidth="1"/>
  </cols>
  <sheetData>
    <row r="1" spans="1:15" s="7" customFormat="1" x14ac:dyDescent="0.25">
      <c r="A1" s="6" t="s">
        <v>97</v>
      </c>
    </row>
    <row r="2" spans="1:15" s="3" customFormat="1" x14ac:dyDescent="0.25">
      <c r="A2" s="2" t="s">
        <v>78</v>
      </c>
    </row>
    <row r="4" spans="1:15" ht="18" x14ac:dyDescent="0.35">
      <c r="B4" s="8" t="s">
        <v>36</v>
      </c>
      <c r="C4" s="9">
        <v>4</v>
      </c>
      <c r="D4" s="9">
        <v>6</v>
      </c>
      <c r="E4" s="9">
        <v>11</v>
      </c>
      <c r="F4" s="9">
        <v>3</v>
      </c>
      <c r="G4" s="9">
        <v>16</v>
      </c>
      <c r="H4" s="9">
        <v>5</v>
      </c>
      <c r="I4" s="9">
        <v>7</v>
      </c>
      <c r="J4" s="9">
        <v>13</v>
      </c>
      <c r="K4" s="9">
        <v>9</v>
      </c>
      <c r="L4" s="9">
        <v>14</v>
      </c>
      <c r="N4" s="77" t="s">
        <v>4</v>
      </c>
      <c r="O4" s="77"/>
    </row>
    <row r="5" spans="1:15" ht="18" x14ac:dyDescent="0.35">
      <c r="B5" s="8" t="s">
        <v>79</v>
      </c>
      <c r="C5" s="9">
        <v>50</v>
      </c>
      <c r="D5" s="9">
        <v>50</v>
      </c>
      <c r="E5" s="9">
        <v>40</v>
      </c>
      <c r="F5" s="9">
        <v>60</v>
      </c>
      <c r="G5" s="9">
        <v>30</v>
      </c>
      <c r="H5" s="9">
        <v>45</v>
      </c>
      <c r="I5" s="9">
        <v>45</v>
      </c>
      <c r="J5" s="9">
        <v>37</v>
      </c>
      <c r="K5" s="9">
        <v>45</v>
      </c>
      <c r="L5" s="9">
        <v>32</v>
      </c>
      <c r="N5" s="77"/>
      <c r="O5" s="77"/>
    </row>
    <row r="8" spans="1:15" s="15" customFormat="1" x14ac:dyDescent="0.25">
      <c r="A8" s="18" t="s">
        <v>80</v>
      </c>
    </row>
    <row r="25" spans="1:16" s="15" customFormat="1" x14ac:dyDescent="0.25">
      <c r="A25" s="18" t="s">
        <v>81</v>
      </c>
    </row>
    <row r="27" spans="1:16" ht="18" x14ac:dyDescent="0.35">
      <c r="C27" s="8" t="s">
        <v>36</v>
      </c>
      <c r="D27" s="8" t="s">
        <v>79</v>
      </c>
      <c r="M27" s="31" t="s">
        <v>24</v>
      </c>
      <c r="N27" s="31" t="s">
        <v>82</v>
      </c>
      <c r="O27" s="31"/>
      <c r="P27" s="31" t="s">
        <v>83</v>
      </c>
    </row>
    <row r="28" spans="1:16" x14ac:dyDescent="0.25">
      <c r="C28">
        <f>C4</f>
        <v>4</v>
      </c>
      <c r="D28">
        <f>C5</f>
        <v>50</v>
      </c>
      <c r="M28" s="9">
        <f>C28-$C$40</f>
        <v>-4.8000000000000007</v>
      </c>
      <c r="N28" s="9">
        <f>D28-$D$40</f>
        <v>6.6000000000000014</v>
      </c>
      <c r="P28" s="9">
        <f>M28*N28</f>
        <v>-31.68000000000001</v>
      </c>
    </row>
    <row r="29" spans="1:16" x14ac:dyDescent="0.25">
      <c r="C29">
        <f>D4</f>
        <v>6</v>
      </c>
      <c r="D29">
        <f>D5</f>
        <v>50</v>
      </c>
      <c r="M29" s="9">
        <f t="shared" ref="M29:M37" si="0">C29-$C$40</f>
        <v>-2.8000000000000007</v>
      </c>
      <c r="N29" s="9">
        <f t="shared" ref="N29:N37" si="1">D29-$D$40</f>
        <v>6.6000000000000014</v>
      </c>
      <c r="P29" s="9">
        <f t="shared" ref="P29:P37" si="2">M29*N29</f>
        <v>-18.480000000000008</v>
      </c>
    </row>
    <row r="30" spans="1:16" x14ac:dyDescent="0.25">
      <c r="C30">
        <f>E4</f>
        <v>11</v>
      </c>
      <c r="D30">
        <f>E5</f>
        <v>40</v>
      </c>
      <c r="M30" s="9">
        <f t="shared" si="0"/>
        <v>2.1999999999999993</v>
      </c>
      <c r="N30" s="9">
        <f t="shared" si="1"/>
        <v>-3.3999999999999986</v>
      </c>
      <c r="P30" s="9">
        <f t="shared" si="2"/>
        <v>-7.4799999999999942</v>
      </c>
    </row>
    <row r="31" spans="1:16" x14ac:dyDescent="0.25">
      <c r="C31">
        <f>F4</f>
        <v>3</v>
      </c>
      <c r="D31">
        <f>F5</f>
        <v>60</v>
      </c>
      <c r="M31" s="9">
        <f t="shared" si="0"/>
        <v>-5.8000000000000007</v>
      </c>
      <c r="N31" s="9">
        <f t="shared" si="1"/>
        <v>16.600000000000001</v>
      </c>
      <c r="P31" s="9">
        <f t="shared" si="2"/>
        <v>-96.280000000000015</v>
      </c>
    </row>
    <row r="32" spans="1:16" x14ac:dyDescent="0.25">
      <c r="C32">
        <f>G4</f>
        <v>16</v>
      </c>
      <c r="D32">
        <f>G5</f>
        <v>30</v>
      </c>
      <c r="M32" s="9">
        <f t="shared" si="0"/>
        <v>7.1999999999999993</v>
      </c>
      <c r="N32" s="9">
        <f t="shared" si="1"/>
        <v>-13.399999999999999</v>
      </c>
      <c r="P32" s="9">
        <f t="shared" si="2"/>
        <v>-96.479999999999976</v>
      </c>
    </row>
    <row r="33" spans="1:16" x14ac:dyDescent="0.25">
      <c r="C33">
        <f>H4</f>
        <v>5</v>
      </c>
      <c r="D33">
        <f>H5</f>
        <v>45</v>
      </c>
      <c r="M33" s="9">
        <f t="shared" si="0"/>
        <v>-3.8000000000000007</v>
      </c>
      <c r="N33" s="9">
        <f t="shared" si="1"/>
        <v>1.6000000000000014</v>
      </c>
      <c r="P33" s="9">
        <f t="shared" si="2"/>
        <v>-6.0800000000000063</v>
      </c>
    </row>
    <row r="34" spans="1:16" x14ac:dyDescent="0.25">
      <c r="C34">
        <f>I4</f>
        <v>7</v>
      </c>
      <c r="D34">
        <f>I5</f>
        <v>45</v>
      </c>
      <c r="M34" s="9">
        <f t="shared" si="0"/>
        <v>-1.8000000000000007</v>
      </c>
      <c r="N34" s="9">
        <f t="shared" si="1"/>
        <v>1.6000000000000014</v>
      </c>
      <c r="P34" s="9">
        <f t="shared" si="2"/>
        <v>-2.8800000000000039</v>
      </c>
    </row>
    <row r="35" spans="1:16" x14ac:dyDescent="0.25">
      <c r="C35">
        <f>J4</f>
        <v>13</v>
      </c>
      <c r="D35">
        <f>J5</f>
        <v>37</v>
      </c>
      <c r="M35" s="9">
        <f t="shared" si="0"/>
        <v>4.1999999999999993</v>
      </c>
      <c r="N35" s="9">
        <f t="shared" si="1"/>
        <v>-6.3999999999999986</v>
      </c>
      <c r="P35" s="9">
        <f t="shared" si="2"/>
        <v>-26.879999999999988</v>
      </c>
    </row>
    <row r="36" spans="1:16" x14ac:dyDescent="0.25">
      <c r="C36">
        <f>K4</f>
        <v>9</v>
      </c>
      <c r="D36">
        <f>K5</f>
        <v>45</v>
      </c>
      <c r="M36" s="9">
        <f t="shared" si="0"/>
        <v>0.19999999999999929</v>
      </c>
      <c r="N36" s="9">
        <f t="shared" si="1"/>
        <v>1.6000000000000014</v>
      </c>
      <c r="P36" s="9">
        <f t="shared" si="2"/>
        <v>0.31999999999999917</v>
      </c>
    </row>
    <row r="37" spans="1:16" x14ac:dyDescent="0.25">
      <c r="C37">
        <f>L4</f>
        <v>14</v>
      </c>
      <c r="D37">
        <f>L5</f>
        <v>32</v>
      </c>
      <c r="M37" s="9">
        <f t="shared" si="0"/>
        <v>5.1999999999999993</v>
      </c>
      <c r="N37" s="9">
        <f t="shared" si="1"/>
        <v>-11.399999999999999</v>
      </c>
      <c r="P37" s="9">
        <f t="shared" si="2"/>
        <v>-59.279999999999987</v>
      </c>
    </row>
    <row r="38" spans="1:16" x14ac:dyDescent="0.25">
      <c r="A38" s="43"/>
      <c r="B38" s="43"/>
    </row>
    <row r="39" spans="1:16" x14ac:dyDescent="0.25">
      <c r="B39" s="12" t="s">
        <v>37</v>
      </c>
      <c r="C39" s="9">
        <f>SUM(C28:C37)</f>
        <v>88</v>
      </c>
      <c r="D39" s="9">
        <f>SUM(D28:D37)</f>
        <v>434</v>
      </c>
      <c r="O39" s="12" t="s">
        <v>37</v>
      </c>
      <c r="P39" s="9">
        <f>SUM(P28:P37)</f>
        <v>-345.19999999999993</v>
      </c>
    </row>
    <row r="40" spans="1:16" x14ac:dyDescent="0.25">
      <c r="B40" s="12" t="s">
        <v>10</v>
      </c>
      <c r="C40" s="9">
        <f>C39/COUNT(C28:C37)</f>
        <v>8.8000000000000007</v>
      </c>
      <c r="D40" s="9">
        <f>D39/COUNT(D28:D37)</f>
        <v>43.4</v>
      </c>
      <c r="M40" s="78" t="s">
        <v>85</v>
      </c>
      <c r="N40" s="78"/>
      <c r="O40" t="s">
        <v>84</v>
      </c>
      <c r="P40" s="9">
        <f>P39/(COUNT(C28:C37)-1)</f>
        <v>-38.355555555555547</v>
      </c>
    </row>
    <row r="42" spans="1:16" x14ac:dyDescent="0.25">
      <c r="M42" s="77" t="s">
        <v>86</v>
      </c>
      <c r="N42" s="77"/>
    </row>
    <row r="43" spans="1:16" x14ac:dyDescent="0.25">
      <c r="M43" s="77"/>
      <c r="N43" s="77"/>
      <c r="O43" t="s">
        <v>84</v>
      </c>
      <c r="P43" s="9">
        <f>_xlfn.COVARIANCE.S(C28:C37,D28:D37)</f>
        <v>-38.355555555555547</v>
      </c>
    </row>
    <row r="45" spans="1:16" s="15" customFormat="1" x14ac:dyDescent="0.25">
      <c r="A45" s="18" t="s">
        <v>87</v>
      </c>
    </row>
    <row r="48" spans="1:16" ht="18.75" x14ac:dyDescent="0.35">
      <c r="H48" s="78" t="s">
        <v>88</v>
      </c>
      <c r="I48" s="78"/>
      <c r="J48" s="78"/>
      <c r="K48" s="78"/>
      <c r="L48" s="78"/>
      <c r="M48" s="31" t="s">
        <v>25</v>
      </c>
      <c r="N48" s="31" t="s">
        <v>89</v>
      </c>
    </row>
    <row r="49" spans="9:14" x14ac:dyDescent="0.25">
      <c r="M49" s="9">
        <f>M28^2</f>
        <v>23.040000000000006</v>
      </c>
      <c r="N49" s="9">
        <f>N28^2</f>
        <v>43.560000000000016</v>
      </c>
    </row>
    <row r="50" spans="9:14" x14ac:dyDescent="0.25">
      <c r="M50" s="9">
        <f t="shared" ref="M50:N50" si="3">M29^2</f>
        <v>7.8400000000000043</v>
      </c>
      <c r="N50" s="9">
        <f t="shared" si="3"/>
        <v>43.560000000000016</v>
      </c>
    </row>
    <row r="51" spans="9:14" x14ac:dyDescent="0.25">
      <c r="M51" s="9">
        <f t="shared" ref="M51:N51" si="4">M30^2</f>
        <v>4.8399999999999972</v>
      </c>
      <c r="N51" s="9">
        <f t="shared" si="4"/>
        <v>11.55999999999999</v>
      </c>
    </row>
    <row r="52" spans="9:14" x14ac:dyDescent="0.25">
      <c r="M52" s="9">
        <f t="shared" ref="M52:N52" si="5">M31^2</f>
        <v>33.640000000000008</v>
      </c>
      <c r="N52" s="9">
        <f t="shared" si="5"/>
        <v>275.56000000000006</v>
      </c>
    </row>
    <row r="53" spans="9:14" x14ac:dyDescent="0.25">
      <c r="M53" s="9">
        <f t="shared" ref="M53:N53" si="6">M32^2</f>
        <v>51.839999999999989</v>
      </c>
      <c r="N53" s="9">
        <f t="shared" si="6"/>
        <v>179.55999999999997</v>
      </c>
    </row>
    <row r="54" spans="9:14" x14ac:dyDescent="0.25">
      <c r="M54" s="9">
        <f t="shared" ref="M54:N54" si="7">M33^2</f>
        <v>14.440000000000005</v>
      </c>
      <c r="N54" s="9">
        <f t="shared" si="7"/>
        <v>2.5600000000000045</v>
      </c>
    </row>
    <row r="55" spans="9:14" x14ac:dyDescent="0.25">
      <c r="M55" s="9">
        <f t="shared" ref="M55:N55" si="8">M34^2</f>
        <v>3.2400000000000024</v>
      </c>
      <c r="N55" s="9">
        <f t="shared" si="8"/>
        <v>2.5600000000000045</v>
      </c>
    </row>
    <row r="56" spans="9:14" x14ac:dyDescent="0.25">
      <c r="M56" s="9">
        <f t="shared" ref="M56:N56" si="9">M35^2</f>
        <v>17.639999999999993</v>
      </c>
      <c r="N56" s="9">
        <f t="shared" si="9"/>
        <v>40.95999999999998</v>
      </c>
    </row>
    <row r="57" spans="9:14" x14ac:dyDescent="0.25">
      <c r="M57" s="9">
        <f t="shared" ref="M57:N57" si="10">M36^2</f>
        <v>3.9999999999999716E-2</v>
      </c>
      <c r="N57" s="9">
        <f t="shared" si="10"/>
        <v>2.5600000000000045</v>
      </c>
    </row>
    <row r="58" spans="9:14" x14ac:dyDescent="0.25">
      <c r="M58" s="9">
        <f t="shared" ref="M58:N58" si="11">M37^2</f>
        <v>27.039999999999992</v>
      </c>
      <c r="N58" s="9">
        <f t="shared" si="11"/>
        <v>129.95999999999998</v>
      </c>
    </row>
    <row r="60" spans="9:14" x14ac:dyDescent="0.25">
      <c r="L60" t="s">
        <v>37</v>
      </c>
      <c r="M60" s="9">
        <f>SUM(M49:M58)</f>
        <v>183.6</v>
      </c>
      <c r="N60" s="9">
        <f>SUM(N49:N58)</f>
        <v>732.40000000000009</v>
      </c>
    </row>
    <row r="61" spans="9:14" x14ac:dyDescent="0.25">
      <c r="I61" s="78" t="s">
        <v>85</v>
      </c>
      <c r="J61" s="78"/>
      <c r="K61" s="82" t="s">
        <v>41</v>
      </c>
      <c r="L61" s="82"/>
      <c r="M61" s="9">
        <f>M60/(COUNT(C28:C37)-1)</f>
        <v>20.399999999999999</v>
      </c>
      <c r="N61" s="9">
        <f>N60/(COUNT(D28:D37)-1)</f>
        <v>81.377777777777794</v>
      </c>
    </row>
    <row r="62" spans="9:14" x14ac:dyDescent="0.25">
      <c r="I62" s="78" t="s">
        <v>90</v>
      </c>
      <c r="J62" s="78"/>
      <c r="K62" s="82" t="s">
        <v>42</v>
      </c>
      <c r="L62" s="82"/>
      <c r="M62" s="9">
        <f>SQRT(M61)</f>
        <v>4.5166359162544856</v>
      </c>
      <c r="N62" s="9">
        <f>SQRT(N61)</f>
        <v>9.0209632400192046</v>
      </c>
    </row>
    <row r="64" spans="9:14" x14ac:dyDescent="0.25">
      <c r="I64" s="82" t="s">
        <v>91</v>
      </c>
      <c r="J64" s="82"/>
      <c r="K64" s="82"/>
      <c r="L64" s="82"/>
      <c r="M64" s="9">
        <f>P43/(M62*N62)</f>
        <v>-0.94136984153944347</v>
      </c>
      <c r="N64" s="32"/>
    </row>
    <row r="66" spans="5:13" ht="15" customHeight="1" x14ac:dyDescent="0.25">
      <c r="E66" s="77" t="s">
        <v>92</v>
      </c>
      <c r="F66" s="77"/>
      <c r="G66" s="77"/>
      <c r="H66" s="77"/>
    </row>
    <row r="67" spans="5:13" x14ac:dyDescent="0.25">
      <c r="E67" s="77"/>
      <c r="F67" s="77"/>
      <c r="G67" s="77"/>
      <c r="H67" s="77"/>
      <c r="I67" s="82" t="s">
        <v>91</v>
      </c>
      <c r="J67" s="82"/>
      <c r="K67" s="82"/>
      <c r="L67" s="82"/>
      <c r="M67" s="9">
        <f>CORREL(C28:C37,D28:D37)</f>
        <v>-0.94136984153944359</v>
      </c>
    </row>
  </sheetData>
  <mergeCells count="11">
    <mergeCell ref="N4:O5"/>
    <mergeCell ref="M40:N40"/>
    <mergeCell ref="M42:N43"/>
    <mergeCell ref="I64:L64"/>
    <mergeCell ref="E66:H67"/>
    <mergeCell ref="I67:L67"/>
    <mergeCell ref="H48:L48"/>
    <mergeCell ref="I61:J61"/>
    <mergeCell ref="K61:L61"/>
    <mergeCell ref="I62:J62"/>
    <mergeCell ref="K62:L62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3073" r:id="rId4">
          <objectPr defaultSize="0" autoPict="0" r:id="rId5">
            <anchor moveWithCells="1">
              <from>
                <xdr:col>6</xdr:col>
                <xdr:colOff>66675</xdr:colOff>
                <xdr:row>28</xdr:row>
                <xdr:rowOff>142875</xdr:rowOff>
              </from>
              <to>
                <xdr:col>10</xdr:col>
                <xdr:colOff>447675</xdr:colOff>
                <xdr:row>31</xdr:row>
                <xdr:rowOff>123825</xdr:rowOff>
              </to>
            </anchor>
          </objectPr>
        </oleObject>
      </mc:Choice>
      <mc:Fallback>
        <oleObject progId="Equation.3" shapeId="3073" r:id="rId4"/>
      </mc:Fallback>
    </mc:AlternateContent>
    <mc:AlternateContent xmlns:mc="http://schemas.openxmlformats.org/markup-compatibility/2006">
      <mc:Choice Requires="x14">
        <oleObject progId="Equation.3" shapeId="3074" r:id="rId6">
          <objectPr defaultSize="0" r:id="rId7">
            <anchor moveWithCells="1">
              <from>
                <xdr:col>4</xdr:col>
                <xdr:colOff>285750</xdr:colOff>
                <xdr:row>47</xdr:row>
                <xdr:rowOff>0</xdr:rowOff>
              </from>
              <to>
                <xdr:col>6</xdr:col>
                <xdr:colOff>200025</xdr:colOff>
                <xdr:row>49</xdr:row>
                <xdr:rowOff>38100</xdr:rowOff>
              </to>
            </anchor>
          </objectPr>
        </oleObject>
      </mc:Choice>
      <mc:Fallback>
        <oleObject progId="Equation.3" shapeId="3074" r:id="rId6"/>
      </mc:Fallback>
    </mc:AlternateContent>
    <mc:AlternateContent xmlns:mc="http://schemas.openxmlformats.org/markup-compatibility/2006">
      <mc:Choice Requires="x14">
        <oleObject progId="Equation.3" shapeId="3075" r:id="rId8">
          <objectPr defaultSize="0" r:id="rId9">
            <anchor moveWithCells="1">
              <from>
                <xdr:col>4</xdr:col>
                <xdr:colOff>390525</xdr:colOff>
                <xdr:row>51</xdr:row>
                <xdr:rowOff>28575</xdr:rowOff>
              </from>
              <to>
                <xdr:col>8</xdr:col>
                <xdr:colOff>95250</xdr:colOff>
                <xdr:row>55</xdr:row>
                <xdr:rowOff>57150</xdr:rowOff>
              </to>
            </anchor>
          </objectPr>
        </oleObject>
      </mc:Choice>
      <mc:Fallback>
        <oleObject progId="Equation.3" shapeId="3075" r:id="rId8"/>
      </mc:Fallback>
    </mc:AlternateContent>
    <mc:AlternateContent xmlns:mc="http://schemas.openxmlformats.org/markup-compatibility/2006">
      <mc:Choice Requires="x14">
        <oleObject progId="Equation.3" shapeId="3076" r:id="rId10">
          <objectPr defaultSize="0" autoPict="0" r:id="rId11">
            <anchor moveWithCells="1">
              <from>
                <xdr:col>4</xdr:col>
                <xdr:colOff>447675</xdr:colOff>
                <xdr:row>56</xdr:row>
                <xdr:rowOff>66675</xdr:rowOff>
              </from>
              <to>
                <xdr:col>7</xdr:col>
                <xdr:colOff>152400</xdr:colOff>
                <xdr:row>59</xdr:row>
                <xdr:rowOff>47625</xdr:rowOff>
              </to>
            </anchor>
          </objectPr>
        </oleObject>
      </mc:Choice>
      <mc:Fallback>
        <oleObject progId="Equation.3" shapeId="3076" r:id="rId10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2"/>
  <sheetViews>
    <sheetView workbookViewId="0"/>
  </sheetViews>
  <sheetFormatPr baseColWidth="10" defaultRowHeight="15" x14ac:dyDescent="0.25"/>
  <cols>
    <col min="3" max="3" width="17.5703125" customWidth="1"/>
    <col min="4" max="4" width="11.42578125" customWidth="1"/>
    <col min="8" max="8" width="17.5703125" bestFit="1" customWidth="1"/>
    <col min="9" max="9" width="23.7109375" customWidth="1"/>
  </cols>
  <sheetData>
    <row r="1" spans="1:3" s="7" customFormat="1" x14ac:dyDescent="0.25">
      <c r="A1" s="6" t="s">
        <v>93</v>
      </c>
    </row>
    <row r="2" spans="1:3" s="3" customFormat="1" x14ac:dyDescent="0.25">
      <c r="A2" s="2" t="s">
        <v>98</v>
      </c>
    </row>
    <row r="3" spans="1:3" s="17" customFormat="1" x14ac:dyDescent="0.25">
      <c r="A3" s="16" t="s">
        <v>99</v>
      </c>
    </row>
    <row r="5" spans="1:3" x14ac:dyDescent="0.25">
      <c r="C5" s="1" t="s">
        <v>100</v>
      </c>
    </row>
    <row r="6" spans="1:3" x14ac:dyDescent="0.25">
      <c r="C6" s="9">
        <v>4</v>
      </c>
    </row>
    <row r="7" spans="1:3" x14ac:dyDescent="0.25">
      <c r="C7" s="9">
        <v>6</v>
      </c>
    </row>
    <row r="8" spans="1:3" x14ac:dyDescent="0.25">
      <c r="C8" s="9">
        <v>1</v>
      </c>
    </row>
    <row r="9" spans="1:3" x14ac:dyDescent="0.25">
      <c r="C9" s="9">
        <v>0</v>
      </c>
    </row>
    <row r="10" spans="1:3" x14ac:dyDescent="0.25">
      <c r="C10" s="9">
        <v>4</v>
      </c>
    </row>
    <row r="11" spans="1:3" x14ac:dyDescent="0.25">
      <c r="C11" s="9">
        <v>1</v>
      </c>
    </row>
    <row r="12" spans="1:3" x14ac:dyDescent="0.25">
      <c r="C12" s="9">
        <v>3</v>
      </c>
    </row>
    <row r="13" spans="1:3" x14ac:dyDescent="0.25">
      <c r="C13" s="9">
        <v>2</v>
      </c>
    </row>
    <row r="14" spans="1:3" x14ac:dyDescent="0.25">
      <c r="C14" s="9">
        <v>1</v>
      </c>
    </row>
    <row r="15" spans="1:3" x14ac:dyDescent="0.25">
      <c r="C15" s="9">
        <v>1</v>
      </c>
    </row>
    <row r="16" spans="1:3" x14ac:dyDescent="0.25">
      <c r="C16" s="9">
        <v>2</v>
      </c>
    </row>
    <row r="17" spans="3:3" x14ac:dyDescent="0.25">
      <c r="C17" s="9">
        <v>3</v>
      </c>
    </row>
    <row r="18" spans="3:3" x14ac:dyDescent="0.25">
      <c r="C18" s="9">
        <v>2</v>
      </c>
    </row>
    <row r="19" spans="3:3" x14ac:dyDescent="0.25">
      <c r="C19" s="9">
        <v>1</v>
      </c>
    </row>
    <row r="20" spans="3:3" x14ac:dyDescent="0.25">
      <c r="C20" s="9">
        <v>3</v>
      </c>
    </row>
    <row r="21" spans="3:3" x14ac:dyDescent="0.25">
      <c r="C21" s="9">
        <v>8</v>
      </c>
    </row>
    <row r="22" spans="3:3" x14ac:dyDescent="0.25">
      <c r="C22" s="9">
        <v>0</v>
      </c>
    </row>
    <row r="23" spans="3:3" x14ac:dyDescent="0.25">
      <c r="C23" s="9">
        <v>1</v>
      </c>
    </row>
    <row r="24" spans="3:3" x14ac:dyDescent="0.25">
      <c r="C24" s="9">
        <v>2</v>
      </c>
    </row>
    <row r="25" spans="3:3" x14ac:dyDescent="0.25">
      <c r="C25" s="9">
        <v>4</v>
      </c>
    </row>
    <row r="26" spans="3:3" x14ac:dyDescent="0.25">
      <c r="C26" s="9">
        <v>0</v>
      </c>
    </row>
    <row r="27" spans="3:3" x14ac:dyDescent="0.25">
      <c r="C27" s="9">
        <v>1</v>
      </c>
    </row>
    <row r="28" spans="3:3" x14ac:dyDescent="0.25">
      <c r="C28" s="9">
        <v>0</v>
      </c>
    </row>
    <row r="29" spans="3:3" x14ac:dyDescent="0.25">
      <c r="C29" s="9">
        <v>4</v>
      </c>
    </row>
    <row r="30" spans="3:3" x14ac:dyDescent="0.25">
      <c r="C30" s="9">
        <v>0</v>
      </c>
    </row>
    <row r="31" spans="3:3" x14ac:dyDescent="0.25">
      <c r="C31" s="9">
        <v>3</v>
      </c>
    </row>
    <row r="32" spans="3:3" x14ac:dyDescent="0.25">
      <c r="C32" s="9">
        <v>1</v>
      </c>
    </row>
    <row r="33" spans="1:3" x14ac:dyDescent="0.25">
      <c r="C33" s="9">
        <v>1</v>
      </c>
    </row>
    <row r="34" spans="1:3" x14ac:dyDescent="0.25">
      <c r="C34" s="9">
        <v>2</v>
      </c>
    </row>
    <row r="35" spans="1:3" x14ac:dyDescent="0.25">
      <c r="C35" s="9">
        <v>3</v>
      </c>
    </row>
    <row r="36" spans="1:3" x14ac:dyDescent="0.25">
      <c r="C36" s="9">
        <v>1</v>
      </c>
    </row>
    <row r="37" spans="1:3" x14ac:dyDescent="0.25">
      <c r="C37" s="9">
        <v>2</v>
      </c>
    </row>
    <row r="38" spans="1:3" x14ac:dyDescent="0.25">
      <c r="C38" s="9">
        <v>1</v>
      </c>
    </row>
    <row r="39" spans="1:3" x14ac:dyDescent="0.25">
      <c r="C39" s="9">
        <v>0</v>
      </c>
    </row>
    <row r="40" spans="1:3" x14ac:dyDescent="0.25">
      <c r="C40" s="9">
        <v>1</v>
      </c>
    </row>
    <row r="41" spans="1:3" x14ac:dyDescent="0.25">
      <c r="C41" s="9">
        <v>1</v>
      </c>
    </row>
    <row r="42" spans="1:3" x14ac:dyDescent="0.25">
      <c r="C42" s="9">
        <v>0</v>
      </c>
    </row>
    <row r="43" spans="1:3" x14ac:dyDescent="0.25">
      <c r="C43" s="9">
        <v>3</v>
      </c>
    </row>
    <row r="44" spans="1:3" x14ac:dyDescent="0.25">
      <c r="C44" s="9">
        <v>6</v>
      </c>
    </row>
    <row r="45" spans="1:3" x14ac:dyDescent="0.25">
      <c r="C45" s="9">
        <v>1</v>
      </c>
    </row>
    <row r="47" spans="1:3" s="17" customFormat="1" x14ac:dyDescent="0.25">
      <c r="A47" s="16" t="s">
        <v>101</v>
      </c>
    </row>
    <row r="49" spans="1:9" x14ac:dyDescent="0.25">
      <c r="A49" t="s">
        <v>192</v>
      </c>
    </row>
    <row r="52" spans="1:9" s="17" customFormat="1" x14ac:dyDescent="0.25">
      <c r="A52" s="16" t="s">
        <v>102</v>
      </c>
    </row>
    <row r="54" spans="1:9" x14ac:dyDescent="0.25">
      <c r="A54" s="78" t="s">
        <v>62</v>
      </c>
      <c r="B54" s="78"/>
      <c r="C54" s="78"/>
    </row>
    <row r="55" spans="1:9" x14ac:dyDescent="0.25">
      <c r="A55" s="40"/>
      <c r="B55" s="41"/>
      <c r="C55" s="40"/>
      <c r="D55" s="41"/>
    </row>
    <row r="56" spans="1:9" x14ac:dyDescent="0.25">
      <c r="A56" s="40" t="s">
        <v>67</v>
      </c>
      <c r="B56" s="41"/>
      <c r="C56" s="40"/>
      <c r="D56" s="41"/>
      <c r="H56" s="60" t="s">
        <v>189</v>
      </c>
      <c r="I56" t="s">
        <v>193</v>
      </c>
    </row>
    <row r="57" spans="1:9" x14ac:dyDescent="0.25">
      <c r="A57" s="40" t="s">
        <v>120</v>
      </c>
      <c r="B57" s="41"/>
      <c r="C57" s="40"/>
      <c r="D57" s="41"/>
      <c r="H57" s="40">
        <v>0</v>
      </c>
      <c r="I57" s="41">
        <v>7</v>
      </c>
    </row>
    <row r="58" spans="1:9" x14ac:dyDescent="0.25">
      <c r="A58" s="40" t="s">
        <v>121</v>
      </c>
      <c r="B58" s="41"/>
      <c r="C58" s="40"/>
      <c r="D58" s="41"/>
      <c r="H58" s="40">
        <v>1</v>
      </c>
      <c r="I58" s="41">
        <v>14</v>
      </c>
    </row>
    <row r="59" spans="1:9" x14ac:dyDescent="0.25">
      <c r="A59" s="40" t="s">
        <v>103</v>
      </c>
      <c r="B59" s="41"/>
      <c r="C59" s="40"/>
      <c r="D59" s="41"/>
      <c r="H59" s="40">
        <v>2</v>
      </c>
      <c r="I59" s="41">
        <v>6</v>
      </c>
    </row>
    <row r="60" spans="1:9" x14ac:dyDescent="0.25">
      <c r="A60" s="40" t="s">
        <v>104</v>
      </c>
      <c r="C60" s="40"/>
      <c r="D60" s="41"/>
      <c r="H60" s="40">
        <v>3</v>
      </c>
      <c r="I60" s="41">
        <v>6</v>
      </c>
    </row>
    <row r="61" spans="1:9" x14ac:dyDescent="0.25">
      <c r="A61" s="40" t="s">
        <v>72</v>
      </c>
      <c r="C61" s="40"/>
      <c r="D61" s="41"/>
      <c r="H61" s="40">
        <v>4</v>
      </c>
      <c r="I61" s="41">
        <v>4</v>
      </c>
    </row>
    <row r="62" spans="1:9" x14ac:dyDescent="0.25">
      <c r="C62" s="40"/>
      <c r="D62" s="41"/>
      <c r="H62" s="40">
        <v>6</v>
      </c>
      <c r="I62" s="41">
        <v>2</v>
      </c>
    </row>
    <row r="63" spans="1:9" x14ac:dyDescent="0.25">
      <c r="C63" s="40"/>
      <c r="D63" s="41"/>
      <c r="H63" s="40">
        <v>8</v>
      </c>
      <c r="I63" s="41">
        <v>1</v>
      </c>
    </row>
    <row r="64" spans="1:9" x14ac:dyDescent="0.25">
      <c r="C64" s="40"/>
      <c r="D64" s="41"/>
      <c r="H64" s="40" t="s">
        <v>190</v>
      </c>
      <c r="I64" s="41">
        <v>40</v>
      </c>
    </row>
    <row r="65" spans="1:9" x14ac:dyDescent="0.25">
      <c r="C65" s="40"/>
      <c r="D65" s="41"/>
    </row>
    <row r="66" spans="1:9" x14ac:dyDescent="0.25">
      <c r="C66" s="40"/>
      <c r="D66" s="41"/>
    </row>
    <row r="67" spans="1:9" x14ac:dyDescent="0.25">
      <c r="C67" s="40"/>
      <c r="D67" s="41"/>
    </row>
    <row r="68" spans="1:9" x14ac:dyDescent="0.25">
      <c r="C68" s="40"/>
      <c r="D68" s="41"/>
    </row>
    <row r="69" spans="1:9" x14ac:dyDescent="0.25">
      <c r="C69" s="40"/>
      <c r="D69" s="41"/>
    </row>
    <row r="70" spans="1:9" x14ac:dyDescent="0.25">
      <c r="C70" s="40"/>
      <c r="D70" s="41"/>
    </row>
    <row r="71" spans="1:9" x14ac:dyDescent="0.25">
      <c r="C71" s="40"/>
      <c r="D71" s="41"/>
    </row>
    <row r="75" spans="1:9" s="17" customFormat="1" x14ac:dyDescent="0.25">
      <c r="A75" s="16" t="s">
        <v>110</v>
      </c>
      <c r="B75" s="16"/>
      <c r="C75" s="16"/>
      <c r="F75" s="17" t="s">
        <v>194</v>
      </c>
      <c r="H75" s="83" t="s">
        <v>113</v>
      </c>
      <c r="I75" s="83"/>
    </row>
    <row r="76" spans="1:9" s="17" customFormat="1" x14ac:dyDescent="0.25">
      <c r="A76" s="16"/>
      <c r="B76" s="16"/>
      <c r="C76" s="16" t="s">
        <v>105</v>
      </c>
      <c r="F76" s="17">
        <f>GETPIVOTDATA("Llegadas Tarde",$H$56,"Llegadas Tarde",6)</f>
        <v>2</v>
      </c>
      <c r="H76" s="83"/>
      <c r="I76" s="83"/>
    </row>
    <row r="77" spans="1:9" s="17" customFormat="1" x14ac:dyDescent="0.25">
      <c r="A77" s="16"/>
      <c r="B77" s="16"/>
      <c r="C77" s="16" t="s">
        <v>106</v>
      </c>
      <c r="F77" s="17">
        <f>SUM(I57:I61)</f>
        <v>37</v>
      </c>
      <c r="H77" s="83"/>
      <c r="I77" s="83"/>
    </row>
    <row r="78" spans="1:9" s="17" customFormat="1" x14ac:dyDescent="0.25">
      <c r="A78" s="16"/>
      <c r="B78" s="16"/>
      <c r="C78" s="16" t="s">
        <v>107</v>
      </c>
      <c r="F78" s="17">
        <f>SUM(I59:I63)</f>
        <v>19</v>
      </c>
      <c r="H78" s="83"/>
      <c r="I78" s="83"/>
    </row>
    <row r="79" spans="1:9" s="17" customFormat="1" x14ac:dyDescent="0.25">
      <c r="A79" s="16" t="s">
        <v>111</v>
      </c>
      <c r="B79" s="16"/>
      <c r="H79" s="83"/>
      <c r="I79" s="83"/>
    </row>
    <row r="80" spans="1:9" s="17" customFormat="1" x14ac:dyDescent="0.25">
      <c r="A80" s="16"/>
      <c r="B80" s="16" t="s">
        <v>108</v>
      </c>
      <c r="F80" s="65">
        <f>GETPIVOTDATA("Llegadas Tarde",$H$56,"Llegadas Tarde",4)/GETPIVOTDATA("Llegadas Tarde",$H$56)</f>
        <v>0.1</v>
      </c>
      <c r="H80" s="83"/>
      <c r="I80" s="83"/>
    </row>
    <row r="81" spans="1:9" s="17" customFormat="1" x14ac:dyDescent="0.25">
      <c r="A81" s="16"/>
      <c r="B81" s="16" t="s">
        <v>109</v>
      </c>
      <c r="F81" s="65">
        <f>(GETPIVOTDATA("Llegadas Tarde",$H$56,"Llegadas Tarde",0)+GETPIVOTDATA("Llegadas Tarde",$H$56,"Llegadas Tarde",1))/GETPIVOTDATA("Llegadas Tarde",$H$56)</f>
        <v>0.52500000000000002</v>
      </c>
      <c r="H81" s="83"/>
      <c r="I81" s="83"/>
    </row>
    <row r="82" spans="1:9" s="17" customFormat="1" x14ac:dyDescent="0.25">
      <c r="A82" s="16" t="s">
        <v>112</v>
      </c>
      <c r="B82" s="16"/>
      <c r="F82" s="17">
        <v>1</v>
      </c>
      <c r="H82" s="83"/>
      <c r="I82" s="83"/>
    </row>
  </sheetData>
  <mergeCells count="2">
    <mergeCell ref="A54:C54"/>
    <mergeCell ref="H75:I8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72"/>
  <sheetViews>
    <sheetView topLeftCell="A146" workbookViewId="0">
      <selection activeCell="T149" sqref="T149"/>
    </sheetView>
  </sheetViews>
  <sheetFormatPr baseColWidth="10" defaultRowHeight="15" x14ac:dyDescent="0.25"/>
  <cols>
    <col min="2" max="2" width="20.5703125" customWidth="1"/>
    <col min="3" max="3" width="17.5703125" customWidth="1"/>
    <col min="4" max="4" width="11.42578125" customWidth="1"/>
    <col min="8" max="8" width="17.5703125" bestFit="1" customWidth="1"/>
    <col min="9" max="9" width="17.28515625" customWidth="1"/>
  </cols>
  <sheetData>
    <row r="1" spans="1:3" s="7" customFormat="1" x14ac:dyDescent="0.25">
      <c r="A1" s="6" t="s">
        <v>114</v>
      </c>
    </row>
    <row r="2" spans="1:3" s="3" customFormat="1" x14ac:dyDescent="0.25">
      <c r="A2" s="2" t="s">
        <v>115</v>
      </c>
    </row>
    <row r="3" spans="1:3" s="3" customFormat="1" x14ac:dyDescent="0.25">
      <c r="A3" s="2" t="s">
        <v>116</v>
      </c>
    </row>
    <row r="5" spans="1:3" x14ac:dyDescent="0.25">
      <c r="C5" s="8" t="s">
        <v>117</v>
      </c>
    </row>
    <row r="6" spans="1:3" x14ac:dyDescent="0.25">
      <c r="C6" s="9">
        <v>0.2</v>
      </c>
    </row>
    <row r="7" spans="1:3" x14ac:dyDescent="0.25">
      <c r="C7" s="9">
        <v>0.2</v>
      </c>
    </row>
    <row r="8" spans="1:3" x14ac:dyDescent="0.25">
      <c r="C8" s="9">
        <v>0.3</v>
      </c>
    </row>
    <row r="9" spans="1:3" x14ac:dyDescent="0.25">
      <c r="C9" s="9">
        <v>0.3</v>
      </c>
    </row>
    <row r="10" spans="1:3" x14ac:dyDescent="0.25">
      <c r="C10" s="9">
        <v>0.3</v>
      </c>
    </row>
    <row r="11" spans="1:3" x14ac:dyDescent="0.25">
      <c r="C11" s="9">
        <v>0.4</v>
      </c>
    </row>
    <row r="12" spans="1:3" x14ac:dyDescent="0.25">
      <c r="C12" s="9">
        <v>0.4</v>
      </c>
    </row>
    <row r="13" spans="1:3" x14ac:dyDescent="0.25">
      <c r="C13" s="9">
        <v>0.4</v>
      </c>
    </row>
    <row r="14" spans="1:3" x14ac:dyDescent="0.25">
      <c r="C14" s="9">
        <v>0.5</v>
      </c>
    </row>
    <row r="15" spans="1:3" x14ac:dyDescent="0.25">
      <c r="C15" s="9">
        <v>0.5</v>
      </c>
    </row>
    <row r="16" spans="1:3" x14ac:dyDescent="0.25">
      <c r="C16" s="9">
        <v>0.6</v>
      </c>
    </row>
    <row r="17" spans="3:3" x14ac:dyDescent="0.25">
      <c r="C17" s="9">
        <v>0.6</v>
      </c>
    </row>
    <row r="18" spans="3:3" x14ac:dyDescent="0.25">
      <c r="C18" s="9">
        <v>0.6</v>
      </c>
    </row>
    <row r="19" spans="3:3" x14ac:dyDescent="0.25">
      <c r="C19" s="9">
        <v>0.6</v>
      </c>
    </row>
    <row r="20" spans="3:3" x14ac:dyDescent="0.25">
      <c r="C20" s="9">
        <v>0.7</v>
      </c>
    </row>
    <row r="21" spans="3:3" x14ac:dyDescent="0.25">
      <c r="C21" s="9">
        <v>0.7</v>
      </c>
    </row>
    <row r="22" spans="3:3" x14ac:dyDescent="0.25">
      <c r="C22" s="9">
        <v>0.7</v>
      </c>
    </row>
    <row r="23" spans="3:3" x14ac:dyDescent="0.25">
      <c r="C23" s="9">
        <v>0.8</v>
      </c>
    </row>
    <row r="24" spans="3:3" x14ac:dyDescent="0.25">
      <c r="C24" s="9">
        <v>0.8</v>
      </c>
    </row>
    <row r="25" spans="3:3" x14ac:dyDescent="0.25">
      <c r="C25" s="9">
        <v>0.8</v>
      </c>
    </row>
    <row r="26" spans="3:3" x14ac:dyDescent="0.25">
      <c r="C26" s="9">
        <v>0.8</v>
      </c>
    </row>
    <row r="27" spans="3:3" x14ac:dyDescent="0.25">
      <c r="C27" s="9">
        <v>0.9</v>
      </c>
    </row>
    <row r="28" spans="3:3" x14ac:dyDescent="0.25">
      <c r="C28" s="9">
        <v>0.9</v>
      </c>
    </row>
    <row r="29" spans="3:3" x14ac:dyDescent="0.25">
      <c r="C29" s="9">
        <v>1</v>
      </c>
    </row>
    <row r="30" spans="3:3" x14ac:dyDescent="0.25">
      <c r="C30" s="9">
        <v>1</v>
      </c>
    </row>
    <row r="31" spans="3:3" x14ac:dyDescent="0.25">
      <c r="C31" s="9">
        <v>1.1000000000000001</v>
      </c>
    </row>
    <row r="32" spans="3:3" x14ac:dyDescent="0.25">
      <c r="C32" s="9">
        <v>1.1000000000000001</v>
      </c>
    </row>
    <row r="33" spans="3:3" x14ac:dyDescent="0.25">
      <c r="C33" s="9">
        <v>1.1000000000000001</v>
      </c>
    </row>
    <row r="34" spans="3:3" x14ac:dyDescent="0.25">
      <c r="C34" s="9">
        <v>1.1000000000000001</v>
      </c>
    </row>
    <row r="35" spans="3:3" x14ac:dyDescent="0.25">
      <c r="C35" s="9">
        <v>1.1000000000000001</v>
      </c>
    </row>
    <row r="36" spans="3:3" x14ac:dyDescent="0.25">
      <c r="C36" s="9">
        <v>1.1000000000000001</v>
      </c>
    </row>
    <row r="37" spans="3:3" x14ac:dyDescent="0.25">
      <c r="C37" s="9">
        <v>1.1000000000000001</v>
      </c>
    </row>
    <row r="38" spans="3:3" x14ac:dyDescent="0.25">
      <c r="C38" s="9">
        <v>1.2</v>
      </c>
    </row>
    <row r="39" spans="3:3" x14ac:dyDescent="0.25">
      <c r="C39" s="9">
        <v>1.2</v>
      </c>
    </row>
    <row r="40" spans="3:3" x14ac:dyDescent="0.25">
      <c r="C40" s="9">
        <v>1.2</v>
      </c>
    </row>
    <row r="41" spans="3:3" x14ac:dyDescent="0.25">
      <c r="C41" s="9">
        <v>1.3</v>
      </c>
    </row>
    <row r="42" spans="3:3" x14ac:dyDescent="0.25">
      <c r="C42" s="9">
        <v>1.3</v>
      </c>
    </row>
    <row r="43" spans="3:3" x14ac:dyDescent="0.25">
      <c r="C43" s="9">
        <v>1.3</v>
      </c>
    </row>
    <row r="44" spans="3:3" x14ac:dyDescent="0.25">
      <c r="C44" s="9">
        <v>1.4</v>
      </c>
    </row>
    <row r="45" spans="3:3" x14ac:dyDescent="0.25">
      <c r="C45" s="9">
        <v>1.4</v>
      </c>
    </row>
    <row r="46" spans="3:3" x14ac:dyDescent="0.25">
      <c r="C46" s="9">
        <v>1.6</v>
      </c>
    </row>
    <row r="47" spans="3:3" x14ac:dyDescent="0.25">
      <c r="C47" s="9">
        <v>1.6</v>
      </c>
    </row>
    <row r="48" spans="3:3" x14ac:dyDescent="0.25">
      <c r="C48" s="9">
        <v>1.7</v>
      </c>
    </row>
    <row r="49" spans="3:3" x14ac:dyDescent="0.25">
      <c r="C49" s="9">
        <v>1.7</v>
      </c>
    </row>
    <row r="50" spans="3:3" x14ac:dyDescent="0.25">
      <c r="C50" s="9">
        <v>1.8</v>
      </c>
    </row>
    <row r="51" spans="3:3" x14ac:dyDescent="0.25">
      <c r="C51" s="9">
        <v>1.8</v>
      </c>
    </row>
    <row r="52" spans="3:3" x14ac:dyDescent="0.25">
      <c r="C52" s="9">
        <v>1.8</v>
      </c>
    </row>
    <row r="53" spans="3:3" x14ac:dyDescent="0.25">
      <c r="C53" s="9">
        <v>1.8</v>
      </c>
    </row>
    <row r="54" spans="3:3" x14ac:dyDescent="0.25">
      <c r="C54" s="9">
        <v>1.9</v>
      </c>
    </row>
    <row r="55" spans="3:3" x14ac:dyDescent="0.25">
      <c r="C55" s="9">
        <v>1.9</v>
      </c>
    </row>
    <row r="56" spans="3:3" x14ac:dyDescent="0.25">
      <c r="C56" s="9">
        <v>2.1</v>
      </c>
    </row>
    <row r="57" spans="3:3" x14ac:dyDescent="0.25">
      <c r="C57" s="9">
        <v>2.2000000000000002</v>
      </c>
    </row>
    <row r="58" spans="3:3" x14ac:dyDescent="0.25">
      <c r="C58" s="9">
        <v>2.2999999999999998</v>
      </c>
    </row>
    <row r="59" spans="3:3" x14ac:dyDescent="0.25">
      <c r="C59" s="9">
        <v>2.5</v>
      </c>
    </row>
    <row r="60" spans="3:3" x14ac:dyDescent="0.25">
      <c r="C60" s="9">
        <v>2.8</v>
      </c>
    </row>
    <row r="61" spans="3:3" x14ac:dyDescent="0.25">
      <c r="C61" s="9">
        <v>3.1</v>
      </c>
    </row>
    <row r="62" spans="3:3" x14ac:dyDescent="0.25">
      <c r="C62" s="9">
        <v>3.1</v>
      </c>
    </row>
    <row r="63" spans="3:3" x14ac:dyDescent="0.25">
      <c r="C63" s="9">
        <v>3.6</v>
      </c>
    </row>
    <row r="64" spans="3:3" x14ac:dyDescent="0.25">
      <c r="C64" s="9">
        <v>4.5</v>
      </c>
    </row>
    <row r="65" spans="1:9" x14ac:dyDescent="0.25">
      <c r="C65" s="9">
        <v>5.2</v>
      </c>
    </row>
    <row r="67" spans="1:9" s="3" customFormat="1" x14ac:dyDescent="0.25">
      <c r="A67" s="2" t="s">
        <v>118</v>
      </c>
    </row>
    <row r="69" spans="1:9" x14ac:dyDescent="0.25">
      <c r="A69" t="s">
        <v>195</v>
      </c>
    </row>
    <row r="72" spans="1:9" s="3" customFormat="1" x14ac:dyDescent="0.25">
      <c r="A72" s="2" t="s">
        <v>119</v>
      </c>
    </row>
    <row r="74" spans="1:9" x14ac:dyDescent="0.25">
      <c r="A74" s="78" t="s">
        <v>62</v>
      </c>
      <c r="B74" s="78"/>
      <c r="C74" s="78"/>
    </row>
    <row r="75" spans="1:9" x14ac:dyDescent="0.25">
      <c r="A75" s="40"/>
      <c r="B75" s="41"/>
      <c r="C75" s="40"/>
      <c r="D75" s="41"/>
    </row>
    <row r="76" spans="1:9" x14ac:dyDescent="0.25">
      <c r="A76" s="78" t="s">
        <v>141</v>
      </c>
      <c r="B76" s="78"/>
      <c r="C76" s="78"/>
      <c r="D76" s="78"/>
      <c r="E76" s="78"/>
      <c r="F76" s="78"/>
      <c r="H76" s="40" t="s">
        <v>123</v>
      </c>
      <c r="I76" s="9">
        <f>MIN(C6:C65)</f>
        <v>0.2</v>
      </c>
    </row>
    <row r="77" spans="1:9" x14ac:dyDescent="0.25">
      <c r="A77" s="78" t="s">
        <v>21</v>
      </c>
      <c r="B77" s="78"/>
      <c r="C77" s="78"/>
      <c r="D77" s="78"/>
      <c r="E77" s="78"/>
      <c r="F77" s="78"/>
      <c r="H77" t="s">
        <v>122</v>
      </c>
      <c r="I77" s="45">
        <f>MAX(C6:C65)</f>
        <v>5.2</v>
      </c>
    </row>
    <row r="78" spans="1:9" x14ac:dyDescent="0.25">
      <c r="A78" s="40"/>
      <c r="B78" s="41"/>
      <c r="C78" s="40"/>
      <c r="D78" s="41"/>
      <c r="H78" s="40"/>
      <c r="I78" s="41"/>
    </row>
    <row r="79" spans="1:9" x14ac:dyDescent="0.25">
      <c r="A79" s="78" t="s">
        <v>124</v>
      </c>
      <c r="B79" s="78"/>
      <c r="C79" s="78"/>
      <c r="D79" s="78"/>
      <c r="E79" s="78"/>
      <c r="F79" s="78"/>
      <c r="H79" s="40"/>
      <c r="I79" s="41"/>
    </row>
    <row r="80" spans="1:9" x14ac:dyDescent="0.25">
      <c r="A80" s="78" t="s">
        <v>127</v>
      </c>
      <c r="B80" s="78"/>
      <c r="C80" s="78"/>
      <c r="D80" s="78"/>
      <c r="E80" s="78"/>
      <c r="F80" s="78"/>
      <c r="H80" s="40"/>
      <c r="I80" s="41"/>
    </row>
    <row r="81" spans="1:10" x14ac:dyDescent="0.25">
      <c r="A81" s="78" t="s">
        <v>125</v>
      </c>
      <c r="B81" s="78"/>
      <c r="C81" s="78"/>
      <c r="D81" s="78"/>
      <c r="E81" s="78"/>
      <c r="F81" s="78"/>
      <c r="H81" s="40"/>
      <c r="I81" s="41"/>
    </row>
    <row r="82" spans="1:10" x14ac:dyDescent="0.25">
      <c r="C82" s="40"/>
      <c r="D82" s="41"/>
      <c r="H82" s="40"/>
      <c r="I82" s="41"/>
    </row>
    <row r="83" spans="1:10" x14ac:dyDescent="0.25">
      <c r="C83" s="8" t="s">
        <v>142</v>
      </c>
      <c r="D83" s="8" t="s">
        <v>126</v>
      </c>
      <c r="F83" s="78" t="s">
        <v>129</v>
      </c>
      <c r="G83" s="78"/>
      <c r="H83" s="78"/>
      <c r="I83" s="78"/>
    </row>
    <row r="84" spans="1:10" x14ac:dyDescent="0.25">
      <c r="A84" s="84" t="s">
        <v>197</v>
      </c>
      <c r="B84" s="84"/>
      <c r="C84" s="51">
        <v>0</v>
      </c>
      <c r="D84" s="9">
        <f t="array" ref="D84:D91">FREQUENCY(C6:C65,C84:C90)</f>
        <v>0</v>
      </c>
      <c r="F84" s="86" t="s">
        <v>196</v>
      </c>
      <c r="G84" s="86"/>
      <c r="H84" s="86"/>
      <c r="I84" s="86"/>
    </row>
    <row r="85" spans="1:10" x14ac:dyDescent="0.25">
      <c r="A85" s="84" t="s">
        <v>198</v>
      </c>
      <c r="B85" s="84"/>
      <c r="C85" s="51">
        <v>1</v>
      </c>
      <c r="D85" s="9">
        <v>25</v>
      </c>
      <c r="F85" s="86" t="s">
        <v>131</v>
      </c>
      <c r="G85" s="86"/>
      <c r="H85" s="86"/>
      <c r="I85" s="86"/>
    </row>
    <row r="86" spans="1:10" x14ac:dyDescent="0.25">
      <c r="A86" s="84" t="s">
        <v>199</v>
      </c>
      <c r="B86" s="84"/>
      <c r="C86" s="51">
        <v>2</v>
      </c>
      <c r="D86" s="9">
        <v>25</v>
      </c>
      <c r="F86" s="86" t="s">
        <v>130</v>
      </c>
      <c r="G86" s="86"/>
      <c r="H86" s="86"/>
      <c r="I86" s="86"/>
    </row>
    <row r="87" spans="1:10" x14ac:dyDescent="0.25">
      <c r="A87" s="84" t="s">
        <v>200</v>
      </c>
      <c r="B87" s="84"/>
      <c r="C87" s="51">
        <v>3</v>
      </c>
      <c r="D87" s="9">
        <v>5</v>
      </c>
      <c r="H87" s="40"/>
      <c r="I87" s="41"/>
    </row>
    <row r="88" spans="1:10" x14ac:dyDescent="0.25">
      <c r="A88" s="84" t="s">
        <v>201</v>
      </c>
      <c r="B88" s="84"/>
      <c r="C88" s="51">
        <v>4</v>
      </c>
      <c r="D88" s="9">
        <v>3</v>
      </c>
      <c r="F88" s="43"/>
      <c r="G88" s="43"/>
      <c r="H88" s="43"/>
      <c r="I88" s="43"/>
      <c r="J88" s="43"/>
    </row>
    <row r="89" spans="1:10" x14ac:dyDescent="0.25">
      <c r="A89" s="84" t="s">
        <v>202</v>
      </c>
      <c r="B89" s="84"/>
      <c r="C89" s="51">
        <v>5</v>
      </c>
      <c r="D89" s="9">
        <v>1</v>
      </c>
      <c r="F89" s="43"/>
      <c r="G89" s="43"/>
      <c r="H89" s="43"/>
      <c r="I89" s="43"/>
      <c r="J89" s="43"/>
    </row>
    <row r="90" spans="1:10" x14ac:dyDescent="0.25">
      <c r="A90" s="84" t="s">
        <v>203</v>
      </c>
      <c r="B90" s="84"/>
      <c r="C90" s="51">
        <v>6</v>
      </c>
      <c r="D90" s="9">
        <v>1</v>
      </c>
      <c r="H90" s="40"/>
      <c r="I90" s="41"/>
    </row>
    <row r="91" spans="1:10" x14ac:dyDescent="0.25">
      <c r="A91" s="84" t="s">
        <v>204</v>
      </c>
      <c r="B91" s="84"/>
      <c r="D91" s="9">
        <v>0</v>
      </c>
      <c r="H91" s="40"/>
      <c r="I91" s="41"/>
    </row>
    <row r="92" spans="1:10" x14ac:dyDescent="0.25">
      <c r="C92" t="s">
        <v>128</v>
      </c>
      <c r="D92">
        <f>SUM(D84:D90)</f>
        <v>60</v>
      </c>
      <c r="H92" s="40"/>
      <c r="I92" s="41"/>
    </row>
    <row r="93" spans="1:10" x14ac:dyDescent="0.25">
      <c r="H93" s="40"/>
      <c r="I93" s="41"/>
    </row>
    <row r="94" spans="1:10" x14ac:dyDescent="0.25">
      <c r="A94" s="78" t="s">
        <v>73</v>
      </c>
      <c r="B94" s="78"/>
      <c r="C94" s="78"/>
      <c r="H94" s="40"/>
      <c r="I94" s="41"/>
    </row>
    <row r="95" spans="1:10" x14ac:dyDescent="0.25">
      <c r="H95" s="40"/>
      <c r="I95" s="41"/>
    </row>
    <row r="96" spans="1:10" x14ac:dyDescent="0.25">
      <c r="C96" s="8" t="s">
        <v>132</v>
      </c>
      <c r="D96" s="87" t="s">
        <v>143</v>
      </c>
      <c r="E96" s="87"/>
      <c r="H96" s="40"/>
      <c r="I96" s="41"/>
    </row>
    <row r="97" spans="1:19" x14ac:dyDescent="0.25">
      <c r="C97" s="35" t="s">
        <v>133</v>
      </c>
      <c r="D97" s="85">
        <f>D85/$D$92</f>
        <v>0.41666666666666669</v>
      </c>
      <c r="E97" s="85"/>
      <c r="H97" s="40"/>
      <c r="I97" s="41"/>
    </row>
    <row r="98" spans="1:19" x14ac:dyDescent="0.25">
      <c r="C98" s="35" t="s">
        <v>134</v>
      </c>
      <c r="D98" s="85">
        <f t="shared" ref="D98:D102" si="0">D86/$D$92</f>
        <v>0.41666666666666669</v>
      </c>
      <c r="E98" s="85"/>
      <c r="F98" s="78" t="s">
        <v>139</v>
      </c>
      <c r="G98" s="78"/>
      <c r="H98" s="78"/>
      <c r="I98" s="78"/>
    </row>
    <row r="99" spans="1:19" x14ac:dyDescent="0.25">
      <c r="C99" s="35" t="s">
        <v>135</v>
      </c>
      <c r="D99" s="85">
        <f t="shared" si="0"/>
        <v>8.3333333333333329E-2</v>
      </c>
      <c r="E99" s="85"/>
      <c r="H99" s="40"/>
      <c r="I99" s="41"/>
    </row>
    <row r="100" spans="1:19" x14ac:dyDescent="0.25">
      <c r="C100" s="35" t="s">
        <v>136</v>
      </c>
      <c r="D100" s="85">
        <f t="shared" si="0"/>
        <v>0.05</v>
      </c>
      <c r="E100" s="85"/>
      <c r="H100" s="40"/>
      <c r="I100" s="41"/>
    </row>
    <row r="101" spans="1:19" x14ac:dyDescent="0.25">
      <c r="C101" s="35" t="s">
        <v>137</v>
      </c>
      <c r="D101" s="85">
        <f t="shared" si="0"/>
        <v>1.6666666666666666E-2</v>
      </c>
      <c r="E101" s="85"/>
      <c r="H101" s="40"/>
      <c r="I101" s="41"/>
    </row>
    <row r="102" spans="1:19" x14ac:dyDescent="0.25">
      <c r="C102" s="35" t="s">
        <v>138</v>
      </c>
      <c r="D102" s="85">
        <f t="shared" si="0"/>
        <v>1.6666666666666666E-2</v>
      </c>
      <c r="E102" s="85"/>
      <c r="H102" s="40"/>
      <c r="I102" s="41"/>
    </row>
    <row r="103" spans="1:19" x14ac:dyDescent="0.25">
      <c r="H103" s="40"/>
      <c r="I103" s="41"/>
    </row>
    <row r="104" spans="1:19" x14ac:dyDescent="0.25">
      <c r="C104" s="1" t="s">
        <v>128</v>
      </c>
      <c r="D104" s="1">
        <f>SUM(D97:D102)</f>
        <v>1.0000000000000002</v>
      </c>
    </row>
    <row r="106" spans="1:19" s="3" customFormat="1" x14ac:dyDescent="0.25">
      <c r="A106" s="2" t="s">
        <v>140</v>
      </c>
    </row>
    <row r="108" spans="1:19" x14ac:dyDescent="0.25">
      <c r="A108" s="46" t="s">
        <v>144</v>
      </c>
      <c r="B108" s="46"/>
      <c r="C108" s="46"/>
      <c r="D108" s="46"/>
      <c r="E108" s="46"/>
      <c r="F108" s="46"/>
      <c r="G108" s="46"/>
    </row>
    <row r="109" spans="1:19" x14ac:dyDescent="0.25">
      <c r="A109" s="56" t="s">
        <v>206</v>
      </c>
      <c r="B109" s="56"/>
      <c r="C109" s="56"/>
      <c r="D109" s="56"/>
      <c r="E109" s="56"/>
      <c r="F109" s="56"/>
      <c r="G109" s="56"/>
      <c r="N109" s="77" t="s">
        <v>435</v>
      </c>
      <c r="O109" s="77"/>
      <c r="P109" s="77"/>
      <c r="Q109" s="77"/>
      <c r="R109" s="77"/>
      <c r="S109" s="77"/>
    </row>
    <row r="110" spans="1:19" x14ac:dyDescent="0.25">
      <c r="A110" s="46" t="s">
        <v>145</v>
      </c>
      <c r="B110" s="46"/>
      <c r="C110" s="46"/>
      <c r="D110" s="46"/>
      <c r="E110" s="46"/>
      <c r="F110" s="46"/>
      <c r="G110" s="46"/>
      <c r="I110" t="s">
        <v>207</v>
      </c>
      <c r="N110" s="77"/>
      <c r="O110" s="77"/>
      <c r="P110" s="77"/>
      <c r="Q110" s="77"/>
      <c r="R110" s="77"/>
      <c r="S110" s="77"/>
    </row>
    <row r="111" spans="1:19" x14ac:dyDescent="0.25">
      <c r="A111" s="46" t="s">
        <v>146</v>
      </c>
      <c r="B111" s="19"/>
      <c r="C111" s="47"/>
      <c r="D111" s="5"/>
      <c r="E111" s="5"/>
      <c r="F111" s="5"/>
      <c r="G111" s="5"/>
      <c r="I111" t="s">
        <v>208</v>
      </c>
    </row>
    <row r="112" spans="1:19" x14ac:dyDescent="0.25">
      <c r="A112" s="78" t="s">
        <v>205</v>
      </c>
      <c r="B112" s="78"/>
      <c r="C112" s="78"/>
      <c r="D112" s="78"/>
      <c r="E112" s="78"/>
      <c r="F112" s="78"/>
      <c r="G112" s="78"/>
    </row>
    <row r="113" spans="1:3" x14ac:dyDescent="0.25">
      <c r="B113" s="35"/>
      <c r="C113" s="10"/>
    </row>
    <row r="114" spans="1:3" x14ac:dyDescent="0.25">
      <c r="B114" s="35"/>
      <c r="C114" s="10"/>
    </row>
    <row r="115" spans="1:3" x14ac:dyDescent="0.25">
      <c r="B115" s="35"/>
      <c r="C115" s="10"/>
    </row>
    <row r="116" spans="1:3" x14ac:dyDescent="0.25">
      <c r="B116" s="58"/>
      <c r="C116" s="57"/>
    </row>
    <row r="117" spans="1:3" x14ac:dyDescent="0.25">
      <c r="B117" s="58"/>
      <c r="C117" s="57"/>
    </row>
    <row r="126" spans="1:3" s="3" customFormat="1" x14ac:dyDescent="0.25">
      <c r="A126" s="2" t="s">
        <v>147</v>
      </c>
    </row>
    <row r="128" spans="1:3" x14ac:dyDescent="0.25">
      <c r="B128" s="12" t="s">
        <v>37</v>
      </c>
      <c r="C128" s="9">
        <f>SUM(C6:C65)</f>
        <v>81.999999999999986</v>
      </c>
    </row>
    <row r="129" spans="1:18" x14ac:dyDescent="0.25">
      <c r="B129" s="12" t="s">
        <v>9</v>
      </c>
      <c r="C129" s="9">
        <f>COUNT(C6:C65)</f>
        <v>60</v>
      </c>
    </row>
    <row r="130" spans="1:18" x14ac:dyDescent="0.25">
      <c r="B130" s="12" t="s">
        <v>148</v>
      </c>
      <c r="C130" s="9">
        <f>C128/C129</f>
        <v>1.3666666666666665</v>
      </c>
    </row>
    <row r="132" spans="1:18" s="3" customFormat="1" x14ac:dyDescent="0.25">
      <c r="A132" s="2" t="s">
        <v>149</v>
      </c>
    </row>
    <row r="133" spans="1:18" s="32" customFormat="1" x14ac:dyDescent="0.25">
      <c r="A133" s="34"/>
    </row>
    <row r="134" spans="1:18" s="32" customFormat="1" x14ac:dyDescent="0.25">
      <c r="A134" s="78" t="s">
        <v>151</v>
      </c>
      <c r="B134" s="78"/>
      <c r="C134" s="78"/>
      <c r="E134" s="38" t="s">
        <v>152</v>
      </c>
      <c r="F134" s="9">
        <f>PERCENTILE(C6:C65,0.5)</f>
        <v>1.1000000000000001</v>
      </c>
    </row>
    <row r="135" spans="1:18" s="32" customFormat="1" x14ac:dyDescent="0.25">
      <c r="A135" s="34"/>
    </row>
    <row r="136" spans="1:18" s="3" customFormat="1" x14ac:dyDescent="0.25">
      <c r="A136" s="2" t="s">
        <v>150</v>
      </c>
    </row>
    <row r="138" spans="1:18" x14ac:dyDescent="0.25">
      <c r="B138" s="12" t="s">
        <v>20</v>
      </c>
      <c r="C138" s="9">
        <f>MIN(C6:C65)</f>
        <v>0.2</v>
      </c>
    </row>
    <row r="139" spans="1:18" x14ac:dyDescent="0.25">
      <c r="B139" s="12" t="s">
        <v>153</v>
      </c>
      <c r="C139" s="9">
        <f>PERCENTILE(C6:C65,0.4)</f>
        <v>1</v>
      </c>
    </row>
    <row r="142" spans="1:18" s="3" customFormat="1" x14ac:dyDescent="0.25">
      <c r="A142" s="2" t="s">
        <v>154</v>
      </c>
    </row>
    <row r="143" spans="1:18" s="32" customFormat="1" x14ac:dyDescent="0.25">
      <c r="A143" s="34"/>
    </row>
    <row r="144" spans="1:18" s="49" customFormat="1" x14ac:dyDescent="0.25">
      <c r="A144" s="48" t="s">
        <v>157</v>
      </c>
      <c r="M144" s="77" t="s">
        <v>436</v>
      </c>
      <c r="N144" s="77"/>
      <c r="O144" s="77"/>
      <c r="P144" s="77"/>
      <c r="Q144" s="77"/>
      <c r="R144" s="77"/>
    </row>
    <row r="145" spans="1:18" s="49" customFormat="1" x14ac:dyDescent="0.25">
      <c r="A145" s="50" t="s">
        <v>158</v>
      </c>
      <c r="M145" s="77"/>
      <c r="N145" s="77"/>
      <c r="O145" s="77"/>
      <c r="P145" s="77"/>
      <c r="Q145" s="77"/>
      <c r="R145" s="77"/>
    </row>
    <row r="146" spans="1:18" s="32" customFormat="1" x14ac:dyDescent="0.25">
      <c r="A146" s="66"/>
      <c r="H146" s="67"/>
    </row>
    <row r="147" spans="1:18" s="32" customFormat="1" x14ac:dyDescent="0.25">
      <c r="A147" s="83" t="s">
        <v>209</v>
      </c>
      <c r="B147" s="83"/>
      <c r="C147" s="32" t="s">
        <v>155</v>
      </c>
      <c r="D147" s="9">
        <f>MEDIAN(C6:C65)</f>
        <v>1.1000000000000001</v>
      </c>
      <c r="H147" s="67"/>
    </row>
    <row r="148" spans="1:18" s="32" customFormat="1" x14ac:dyDescent="0.25">
      <c r="A148" s="83"/>
      <c r="B148" s="83"/>
      <c r="C148" s="32" t="s">
        <v>210</v>
      </c>
      <c r="D148" s="9">
        <f>PERCENTILE(C6:C65,0.25)</f>
        <v>0.7</v>
      </c>
      <c r="H148" s="67"/>
    </row>
    <row r="149" spans="1:18" s="32" customFormat="1" ht="15" customHeight="1" x14ac:dyDescent="0.25">
      <c r="A149" s="83"/>
      <c r="B149" s="83"/>
      <c r="C149" s="32" t="s">
        <v>211</v>
      </c>
      <c r="D149" s="9">
        <f>PERCENTILE(C6:C65,0.75)</f>
        <v>1.8</v>
      </c>
      <c r="F149" s="88" t="s">
        <v>221</v>
      </c>
      <c r="G149" s="88"/>
      <c r="H149" s="88"/>
    </row>
    <row r="150" spans="1:18" s="32" customFormat="1" x14ac:dyDescent="0.25">
      <c r="A150" s="34"/>
      <c r="F150" s="88"/>
      <c r="G150" s="88"/>
      <c r="H150" s="88"/>
    </row>
    <row r="151" spans="1:18" s="32" customFormat="1" x14ac:dyDescent="0.25">
      <c r="A151" s="83" t="s">
        <v>212</v>
      </c>
      <c r="B151" s="83"/>
      <c r="C151" s="32" t="s">
        <v>213</v>
      </c>
      <c r="D151" s="9">
        <f>D149-D148</f>
        <v>1.1000000000000001</v>
      </c>
      <c r="F151" s="88"/>
      <c r="G151" s="88"/>
      <c r="H151" s="88"/>
    </row>
    <row r="152" spans="1:18" s="32" customFormat="1" x14ac:dyDescent="0.25">
      <c r="A152" s="83"/>
      <c r="B152" s="83"/>
      <c r="C152" s="32" t="s">
        <v>214</v>
      </c>
      <c r="D152" s="9">
        <f>D151*1.5</f>
        <v>1.6500000000000001</v>
      </c>
      <c r="F152" s="88"/>
      <c r="G152" s="88"/>
      <c r="H152" s="88"/>
    </row>
    <row r="153" spans="1:18" s="32" customFormat="1" x14ac:dyDescent="0.25">
      <c r="A153" s="83"/>
      <c r="B153" s="83"/>
      <c r="F153" s="88"/>
      <c r="G153" s="88"/>
      <c r="H153" s="88"/>
    </row>
    <row r="154" spans="1:18" s="32" customFormat="1" x14ac:dyDescent="0.25">
      <c r="A154" s="68"/>
      <c r="B154" s="68"/>
      <c r="F154" s="88"/>
      <c r="G154" s="88"/>
      <c r="H154" s="88"/>
    </row>
    <row r="155" spans="1:18" s="32" customFormat="1" x14ac:dyDescent="0.25">
      <c r="A155" s="83" t="s">
        <v>215</v>
      </c>
      <c r="B155" s="83"/>
      <c r="C155" s="32" t="s">
        <v>216</v>
      </c>
      <c r="D155" s="9">
        <f>D149+D152</f>
        <v>3.45</v>
      </c>
      <c r="F155" s="88"/>
      <c r="G155" s="88"/>
      <c r="H155" s="88"/>
    </row>
    <row r="156" spans="1:18" s="32" customFormat="1" x14ac:dyDescent="0.25">
      <c r="A156" s="83"/>
      <c r="B156" s="83"/>
      <c r="C156" s="32" t="s">
        <v>217</v>
      </c>
      <c r="D156" s="9">
        <f>D148-D155</f>
        <v>-2.75</v>
      </c>
      <c r="F156" s="88"/>
      <c r="G156" s="88"/>
      <c r="H156" s="88"/>
    </row>
    <row r="157" spans="1:18" s="32" customFormat="1" x14ac:dyDescent="0.25">
      <c r="A157" s="83"/>
      <c r="B157" s="83"/>
      <c r="F157" s="88"/>
      <c r="G157" s="88"/>
      <c r="H157" s="88"/>
    </row>
    <row r="158" spans="1:18" s="32" customFormat="1" x14ac:dyDescent="0.25">
      <c r="A158" s="68"/>
      <c r="B158" s="68"/>
      <c r="F158" s="88"/>
      <c r="G158" s="88"/>
      <c r="H158" s="88"/>
    </row>
    <row r="159" spans="1:18" s="32" customFormat="1" x14ac:dyDescent="0.25">
      <c r="A159" s="83" t="s">
        <v>218</v>
      </c>
      <c r="B159" s="83"/>
      <c r="C159" s="32" t="s">
        <v>219</v>
      </c>
      <c r="D159" s="9">
        <v>3.1</v>
      </c>
      <c r="H159" s="67"/>
    </row>
    <row r="160" spans="1:18" s="32" customFormat="1" x14ac:dyDescent="0.25">
      <c r="A160" s="83"/>
      <c r="B160" s="83"/>
      <c r="C160" s="32" t="s">
        <v>220</v>
      </c>
      <c r="D160" s="9">
        <v>0.2</v>
      </c>
      <c r="H160" s="67"/>
    </row>
    <row r="161" spans="1:8" s="32" customFormat="1" x14ac:dyDescent="0.25">
      <c r="A161" s="83"/>
      <c r="B161" s="83"/>
      <c r="H161" s="67"/>
    </row>
    <row r="162" spans="1:8" s="32" customFormat="1" x14ac:dyDescent="0.25">
      <c r="A162" s="66"/>
      <c r="H162" s="67"/>
    </row>
    <row r="163" spans="1:8" s="32" customFormat="1" x14ac:dyDescent="0.25">
      <c r="A163" s="66"/>
      <c r="H163" s="67"/>
    </row>
    <row r="164" spans="1:8" s="32" customFormat="1" x14ac:dyDescent="0.25">
      <c r="A164" s="66"/>
      <c r="H164" s="67"/>
    </row>
    <row r="165" spans="1:8" s="32" customFormat="1" x14ac:dyDescent="0.25">
      <c r="A165" s="66"/>
      <c r="H165" s="67"/>
    </row>
    <row r="166" spans="1:8" s="32" customFormat="1" x14ac:dyDescent="0.25">
      <c r="A166" s="66"/>
      <c r="H166" s="67"/>
    </row>
    <row r="167" spans="1:8" s="32" customFormat="1" x14ac:dyDescent="0.25">
      <c r="A167" s="66"/>
      <c r="H167" s="67"/>
    </row>
    <row r="168" spans="1:8" s="32" customFormat="1" x14ac:dyDescent="0.25">
      <c r="A168" s="66"/>
      <c r="H168" s="67"/>
    </row>
    <row r="169" spans="1:8" s="32" customFormat="1" x14ac:dyDescent="0.25">
      <c r="A169" s="66"/>
      <c r="H169" s="67"/>
    </row>
    <row r="170" spans="1:8" s="32" customFormat="1" x14ac:dyDescent="0.25">
      <c r="A170" s="34"/>
    </row>
    <row r="172" spans="1:8" s="3" customFormat="1" x14ac:dyDescent="0.25">
      <c r="A172" s="2" t="s">
        <v>156</v>
      </c>
    </row>
  </sheetData>
  <sortState ref="C6:C65">
    <sortCondition ref="C6:C65"/>
  </sortState>
  <mergeCells count="36">
    <mergeCell ref="F149:H158"/>
    <mergeCell ref="A134:C134"/>
    <mergeCell ref="A155:B157"/>
    <mergeCell ref="A159:B161"/>
    <mergeCell ref="D97:E97"/>
    <mergeCell ref="D98:E98"/>
    <mergeCell ref="D99:E99"/>
    <mergeCell ref="D100:E100"/>
    <mergeCell ref="A112:G112"/>
    <mergeCell ref="A147:B149"/>
    <mergeCell ref="A151:B153"/>
    <mergeCell ref="A91:B91"/>
    <mergeCell ref="F84:I84"/>
    <mergeCell ref="F85:I85"/>
    <mergeCell ref="A84:B84"/>
    <mergeCell ref="A74:C74"/>
    <mergeCell ref="A76:F76"/>
    <mergeCell ref="A77:F77"/>
    <mergeCell ref="A79:F79"/>
    <mergeCell ref="A80:F80"/>
    <mergeCell ref="M144:R145"/>
    <mergeCell ref="A85:B85"/>
    <mergeCell ref="A86:B86"/>
    <mergeCell ref="N109:S110"/>
    <mergeCell ref="A81:F81"/>
    <mergeCell ref="F83:I83"/>
    <mergeCell ref="A94:C94"/>
    <mergeCell ref="F98:I98"/>
    <mergeCell ref="D102:E102"/>
    <mergeCell ref="F86:I86"/>
    <mergeCell ref="D96:E96"/>
    <mergeCell ref="D101:E101"/>
    <mergeCell ref="A87:B87"/>
    <mergeCell ref="A88:B88"/>
    <mergeCell ref="A89:B89"/>
    <mergeCell ref="A90:B90"/>
  </mergeCells>
  <hyperlinks>
    <hyperlink ref="A145" r:id="rId1" xr:uid="{00000000-0004-0000-0500-000000000000}"/>
  </hyperlinks>
  <pageMargins left="0.7" right="0.7" top="0.75" bottom="0.75" header="0.3" footer="0.3"/>
  <pageSetup paperSize="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86"/>
  <sheetViews>
    <sheetView workbookViewId="0">
      <selection activeCell="L38" sqref="L38:R38"/>
    </sheetView>
  </sheetViews>
  <sheetFormatPr baseColWidth="10" defaultRowHeight="15" x14ac:dyDescent="0.25"/>
  <sheetData>
    <row r="1" spans="1:5" s="7" customFormat="1" x14ac:dyDescent="0.25">
      <c r="A1" s="6" t="s">
        <v>159</v>
      </c>
    </row>
    <row r="2" spans="1:5" s="3" customFormat="1" x14ac:dyDescent="0.25">
      <c r="A2" s="2" t="s">
        <v>160</v>
      </c>
    </row>
    <row r="3" spans="1:5" s="3" customFormat="1" x14ac:dyDescent="0.25">
      <c r="A3" s="2" t="s">
        <v>161</v>
      </c>
    </row>
    <row r="4" spans="1:5" s="3" customFormat="1" x14ac:dyDescent="0.25">
      <c r="A4" s="2" t="s">
        <v>162</v>
      </c>
    </row>
    <row r="6" spans="1:5" x14ac:dyDescent="0.25">
      <c r="D6" s="14" t="s">
        <v>163</v>
      </c>
      <c r="E6" s="14" t="s">
        <v>164</v>
      </c>
    </row>
    <row r="7" spans="1:5" x14ac:dyDescent="0.25">
      <c r="D7" s="9">
        <v>84</v>
      </c>
      <c r="E7" s="9">
        <v>85</v>
      </c>
    </row>
    <row r="8" spans="1:5" x14ac:dyDescent="0.25">
      <c r="D8" s="9">
        <v>83</v>
      </c>
      <c r="E8" s="9">
        <v>51</v>
      </c>
    </row>
    <row r="9" spans="1:5" x14ac:dyDescent="0.25">
      <c r="D9" s="9">
        <v>50</v>
      </c>
      <c r="E9" s="9">
        <v>50</v>
      </c>
    </row>
    <row r="10" spans="1:5" x14ac:dyDescent="0.25">
      <c r="D10" s="9">
        <v>17</v>
      </c>
      <c r="E10" s="9">
        <v>50</v>
      </c>
    </row>
    <row r="11" spans="1:5" x14ac:dyDescent="0.25">
      <c r="D11" s="9">
        <v>15</v>
      </c>
      <c r="E11" s="9">
        <v>15</v>
      </c>
    </row>
    <row r="12" spans="1:5" x14ac:dyDescent="0.25">
      <c r="D12" s="9">
        <v>85</v>
      </c>
      <c r="E12" s="9">
        <v>49</v>
      </c>
    </row>
    <row r="13" spans="1:5" x14ac:dyDescent="0.25">
      <c r="D13" s="9">
        <v>16</v>
      </c>
      <c r="E13" s="9">
        <v>48</v>
      </c>
    </row>
    <row r="14" spans="1:5" x14ac:dyDescent="0.25">
      <c r="D14" s="9">
        <v>50</v>
      </c>
      <c r="E14" s="9">
        <v>52</v>
      </c>
    </row>
    <row r="15" spans="1:5" s="32" customFormat="1" x14ac:dyDescent="0.25"/>
    <row r="16" spans="1:5" s="3" customFormat="1" x14ac:dyDescent="0.25">
      <c r="A16" s="2" t="s">
        <v>165</v>
      </c>
    </row>
    <row r="17" spans="1:7" s="32" customFormat="1" x14ac:dyDescent="0.25"/>
    <row r="18" spans="1:7" x14ac:dyDescent="0.25">
      <c r="A18" s="77" t="s">
        <v>6</v>
      </c>
      <c r="B18" s="77"/>
      <c r="C18" s="37"/>
    </row>
    <row r="19" spans="1:7" x14ac:dyDescent="0.25">
      <c r="A19" s="77"/>
      <c r="B19" s="77"/>
      <c r="C19" s="52" t="s">
        <v>37</v>
      </c>
      <c r="D19" s="9">
        <f>SUM(D7:D14)</f>
        <v>400</v>
      </c>
      <c r="E19" s="9">
        <f>SUM(E7:E14)</f>
        <v>400</v>
      </c>
    </row>
    <row r="20" spans="1:7" x14ac:dyDescent="0.25">
      <c r="C20" s="32"/>
    </row>
    <row r="21" spans="1:7" x14ac:dyDescent="0.25">
      <c r="A21" s="78" t="s">
        <v>38</v>
      </c>
      <c r="B21" s="78"/>
      <c r="C21" s="52" t="s">
        <v>10</v>
      </c>
      <c r="D21" s="9">
        <f>D19/COUNT(D7:D14)</f>
        <v>50</v>
      </c>
      <c r="E21" s="9">
        <f>E19/COUNT(E7:E14)</f>
        <v>50</v>
      </c>
    </row>
    <row r="23" spans="1:7" x14ac:dyDescent="0.25">
      <c r="A23" s="77" t="s">
        <v>14</v>
      </c>
      <c r="B23" s="77"/>
    </row>
    <row r="24" spans="1:7" x14ac:dyDescent="0.25">
      <c r="A24" s="77"/>
      <c r="B24" s="77"/>
    </row>
    <row r="25" spans="1:7" x14ac:dyDescent="0.25">
      <c r="A25" s="77" t="s">
        <v>15</v>
      </c>
      <c r="B25" s="77"/>
    </row>
    <row r="26" spans="1:7" x14ac:dyDescent="0.25">
      <c r="A26" s="77"/>
      <c r="B26" s="77"/>
    </row>
    <row r="27" spans="1:7" x14ac:dyDescent="0.25">
      <c r="A27" s="77"/>
      <c r="B27" s="77"/>
      <c r="C27" s="52" t="s">
        <v>16</v>
      </c>
      <c r="D27" s="9">
        <f>MEDIAN(D7:D14)</f>
        <v>50</v>
      </c>
      <c r="E27" s="9">
        <f>MEDIAN(E7:E14)</f>
        <v>50</v>
      </c>
    </row>
    <row r="29" spans="1:7" x14ac:dyDescent="0.25">
      <c r="C29" s="52" t="s">
        <v>19</v>
      </c>
      <c r="D29" s="9">
        <f>MAX(D7:D14)</f>
        <v>85</v>
      </c>
      <c r="E29" s="9">
        <f>MAX(E7:E14)</f>
        <v>85</v>
      </c>
      <c r="G29" t="s">
        <v>222</v>
      </c>
    </row>
    <row r="30" spans="1:7" x14ac:dyDescent="0.25">
      <c r="C30" s="52" t="s">
        <v>20</v>
      </c>
      <c r="D30" s="9">
        <f>MIN(D7:D14)</f>
        <v>15</v>
      </c>
      <c r="E30" s="9">
        <f>MIN(E7:E14)</f>
        <v>15</v>
      </c>
    </row>
    <row r="31" spans="1:7" x14ac:dyDescent="0.25">
      <c r="C31" s="52" t="s">
        <v>23</v>
      </c>
      <c r="D31" s="9">
        <f>D29-D30</f>
        <v>70</v>
      </c>
      <c r="E31" s="9">
        <f>E29-E30</f>
        <v>70</v>
      </c>
    </row>
    <row r="33" spans="1:18" s="3" customFormat="1" x14ac:dyDescent="0.25">
      <c r="A33" s="2" t="s">
        <v>166</v>
      </c>
    </row>
    <row r="35" spans="1:18" x14ac:dyDescent="0.25">
      <c r="C35" s="52" t="s">
        <v>41</v>
      </c>
      <c r="D35">
        <f>VAR(D7:D14)</f>
        <v>991.42857142857144</v>
      </c>
      <c r="E35">
        <f>VAR(E7:E14)</f>
        <v>351.42857142857144</v>
      </c>
    </row>
    <row r="36" spans="1:18" x14ac:dyDescent="0.25">
      <c r="C36" s="52" t="s">
        <v>42</v>
      </c>
      <c r="D36">
        <f>STDEV(D7:D14)</f>
        <v>31.486958751657351</v>
      </c>
      <c r="E36">
        <f>STDEV(E7:E14)</f>
        <v>18.746428231227714</v>
      </c>
    </row>
    <row r="38" spans="1:18" x14ac:dyDescent="0.25">
      <c r="A38" s="87" t="s">
        <v>224</v>
      </c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78" t="s">
        <v>437</v>
      </c>
      <c r="M38" s="78"/>
      <c r="N38" s="78"/>
      <c r="O38" s="78"/>
      <c r="P38" s="78"/>
      <c r="Q38" s="78"/>
      <c r="R38" s="78"/>
    </row>
    <row r="40" spans="1:18" x14ac:dyDescent="0.25">
      <c r="A40" s="87" t="s">
        <v>163</v>
      </c>
      <c r="B40" s="87"/>
      <c r="C40" s="87"/>
      <c r="D40" s="87"/>
      <c r="E40" s="87"/>
      <c r="G40" s="87" t="s">
        <v>164</v>
      </c>
      <c r="H40" s="87"/>
      <c r="I40" s="87"/>
      <c r="J40" s="87"/>
      <c r="K40" s="87"/>
    </row>
    <row r="56" spans="1:18" x14ac:dyDescent="0.25">
      <c r="A56" s="87" t="s">
        <v>225</v>
      </c>
      <c r="B56" s="87"/>
      <c r="C56" s="87"/>
      <c r="D56" s="87"/>
      <c r="E56" s="87"/>
      <c r="F56" s="87"/>
      <c r="G56" s="87"/>
      <c r="H56" s="87"/>
      <c r="I56" s="87"/>
      <c r="J56" s="87"/>
      <c r="K56" s="87"/>
    </row>
    <row r="58" spans="1:18" x14ac:dyDescent="0.25">
      <c r="A58" s="87" t="s">
        <v>163</v>
      </c>
      <c r="B58" s="87"/>
      <c r="C58" s="87"/>
      <c r="D58" s="87"/>
      <c r="E58" s="87"/>
      <c r="G58" s="87" t="s">
        <v>164</v>
      </c>
      <c r="H58" s="87"/>
      <c r="I58" s="87"/>
      <c r="J58" s="87"/>
      <c r="K58" s="87"/>
      <c r="L58" s="78" t="s">
        <v>437</v>
      </c>
      <c r="M58" s="78"/>
      <c r="N58" s="78"/>
      <c r="O58" s="78"/>
      <c r="P58" s="78"/>
      <c r="Q58" s="78"/>
      <c r="R58" s="78"/>
    </row>
    <row r="86" spans="4:4" x14ac:dyDescent="0.25">
      <c r="D86" s="1" t="s">
        <v>226</v>
      </c>
    </row>
  </sheetData>
  <sortState ref="E7:E14">
    <sortCondition ref="E7:E14"/>
  </sortState>
  <mergeCells count="12">
    <mergeCell ref="A18:B19"/>
    <mergeCell ref="A21:B21"/>
    <mergeCell ref="A23:B24"/>
    <mergeCell ref="A25:B27"/>
    <mergeCell ref="A40:E40"/>
    <mergeCell ref="L38:R38"/>
    <mergeCell ref="L58:R58"/>
    <mergeCell ref="G40:K40"/>
    <mergeCell ref="A38:K38"/>
    <mergeCell ref="A56:K56"/>
    <mergeCell ref="A58:E58"/>
    <mergeCell ref="G58:K58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55"/>
  <sheetViews>
    <sheetView topLeftCell="A43" workbookViewId="0">
      <selection activeCell="H163" sqref="H163"/>
    </sheetView>
  </sheetViews>
  <sheetFormatPr baseColWidth="10" defaultRowHeight="15" x14ac:dyDescent="0.25"/>
  <cols>
    <col min="1" max="1" width="17.5703125" bestFit="1" customWidth="1"/>
    <col min="2" max="2" width="17.85546875" customWidth="1"/>
  </cols>
  <sheetData>
    <row r="1" spans="1:3" s="7" customFormat="1" x14ac:dyDescent="0.25">
      <c r="A1" s="6" t="s">
        <v>167</v>
      </c>
    </row>
    <row r="2" spans="1:3" s="3" customFormat="1" x14ac:dyDescent="0.25">
      <c r="A2" s="2" t="s">
        <v>168</v>
      </c>
    </row>
    <row r="4" spans="1:3" x14ac:dyDescent="0.25">
      <c r="C4" s="14" t="s">
        <v>169</v>
      </c>
    </row>
    <row r="5" spans="1:3" x14ac:dyDescent="0.25">
      <c r="C5" s="9">
        <v>0</v>
      </c>
    </row>
    <row r="6" spans="1:3" x14ac:dyDescent="0.25">
      <c r="C6" s="9">
        <v>2</v>
      </c>
    </row>
    <row r="7" spans="1:3" x14ac:dyDescent="0.25">
      <c r="C7" s="9">
        <v>5</v>
      </c>
    </row>
    <row r="8" spans="1:3" x14ac:dyDescent="0.25">
      <c r="C8" s="9">
        <v>0</v>
      </c>
    </row>
    <row r="9" spans="1:3" x14ac:dyDescent="0.25">
      <c r="C9" s="9">
        <v>1</v>
      </c>
    </row>
    <row r="10" spans="1:3" x14ac:dyDescent="0.25">
      <c r="C10" s="9">
        <v>4</v>
      </c>
    </row>
    <row r="11" spans="1:3" x14ac:dyDescent="0.25">
      <c r="C11" s="9">
        <v>1</v>
      </c>
    </row>
    <row r="12" spans="1:3" x14ac:dyDescent="0.25">
      <c r="C12" s="9">
        <v>0</v>
      </c>
    </row>
    <row r="13" spans="1:3" x14ac:dyDescent="0.25">
      <c r="C13" s="9">
        <v>2</v>
      </c>
    </row>
    <row r="14" spans="1:3" x14ac:dyDescent="0.25">
      <c r="C14" s="9">
        <v>1</v>
      </c>
    </row>
    <row r="15" spans="1:3" x14ac:dyDescent="0.25">
      <c r="C15" s="9">
        <v>5</v>
      </c>
    </row>
    <row r="16" spans="1:3" x14ac:dyDescent="0.25">
      <c r="C16" s="9">
        <v>0</v>
      </c>
    </row>
    <row r="17" spans="3:3" x14ac:dyDescent="0.25">
      <c r="C17" s="9">
        <v>1</v>
      </c>
    </row>
    <row r="18" spans="3:3" x14ac:dyDescent="0.25">
      <c r="C18" s="9">
        <v>3</v>
      </c>
    </row>
    <row r="19" spans="3:3" x14ac:dyDescent="0.25">
      <c r="C19" s="9">
        <v>0</v>
      </c>
    </row>
    <row r="20" spans="3:3" x14ac:dyDescent="0.25">
      <c r="C20" s="9">
        <v>0</v>
      </c>
    </row>
    <row r="21" spans="3:3" x14ac:dyDescent="0.25">
      <c r="C21" s="9">
        <v>2</v>
      </c>
    </row>
    <row r="22" spans="3:3" x14ac:dyDescent="0.25">
      <c r="C22" s="9">
        <v>1</v>
      </c>
    </row>
    <row r="23" spans="3:3" x14ac:dyDescent="0.25">
      <c r="C23" s="9">
        <v>3</v>
      </c>
    </row>
    <row r="24" spans="3:3" x14ac:dyDescent="0.25">
      <c r="C24" s="9">
        <v>1</v>
      </c>
    </row>
    <row r="25" spans="3:3" x14ac:dyDescent="0.25">
      <c r="C25" s="9">
        <v>1</v>
      </c>
    </row>
    <row r="26" spans="3:3" x14ac:dyDescent="0.25">
      <c r="C26" s="9">
        <v>4</v>
      </c>
    </row>
    <row r="27" spans="3:3" x14ac:dyDescent="0.25">
      <c r="C27" s="9">
        <v>0</v>
      </c>
    </row>
    <row r="28" spans="3:3" x14ac:dyDescent="0.25">
      <c r="C28" s="9">
        <v>2</v>
      </c>
    </row>
    <row r="29" spans="3:3" x14ac:dyDescent="0.25">
      <c r="C29" s="9">
        <v>4</v>
      </c>
    </row>
    <row r="30" spans="3:3" x14ac:dyDescent="0.25">
      <c r="C30" s="9">
        <v>1</v>
      </c>
    </row>
    <row r="31" spans="3:3" x14ac:dyDescent="0.25">
      <c r="C31" s="9">
        <v>2</v>
      </c>
    </row>
    <row r="32" spans="3:3" x14ac:dyDescent="0.25">
      <c r="C32" s="9">
        <v>4</v>
      </c>
    </row>
    <row r="33" spans="3:3" x14ac:dyDescent="0.25">
      <c r="C33" s="9">
        <v>0</v>
      </c>
    </row>
    <row r="34" spans="3:3" x14ac:dyDescent="0.25">
      <c r="C34" s="9">
        <v>4</v>
      </c>
    </row>
    <row r="35" spans="3:3" x14ac:dyDescent="0.25">
      <c r="C35" s="9">
        <v>3</v>
      </c>
    </row>
    <row r="36" spans="3:3" x14ac:dyDescent="0.25">
      <c r="C36" s="9">
        <v>5</v>
      </c>
    </row>
    <row r="37" spans="3:3" x14ac:dyDescent="0.25">
      <c r="C37" s="9">
        <v>0</v>
      </c>
    </row>
    <row r="38" spans="3:3" x14ac:dyDescent="0.25">
      <c r="C38" s="9">
        <v>1</v>
      </c>
    </row>
    <row r="39" spans="3:3" x14ac:dyDescent="0.25">
      <c r="C39" s="9">
        <v>3</v>
      </c>
    </row>
    <row r="40" spans="3:3" x14ac:dyDescent="0.25">
      <c r="C40" s="9">
        <v>6</v>
      </c>
    </row>
    <row r="41" spans="3:3" x14ac:dyDescent="0.25">
      <c r="C41" s="9">
        <v>4</v>
      </c>
    </row>
    <row r="42" spans="3:3" x14ac:dyDescent="0.25">
      <c r="C42" s="9">
        <v>2</v>
      </c>
    </row>
    <row r="43" spans="3:3" x14ac:dyDescent="0.25">
      <c r="C43" s="9">
        <v>0</v>
      </c>
    </row>
    <row r="44" spans="3:3" x14ac:dyDescent="0.25">
      <c r="C44" s="9">
        <v>2</v>
      </c>
    </row>
    <row r="45" spans="3:3" x14ac:dyDescent="0.25">
      <c r="C45" s="9">
        <v>0</v>
      </c>
    </row>
    <row r="46" spans="3:3" x14ac:dyDescent="0.25">
      <c r="C46" s="9">
        <v>2</v>
      </c>
    </row>
    <row r="47" spans="3:3" x14ac:dyDescent="0.25">
      <c r="C47" s="9">
        <v>3</v>
      </c>
    </row>
    <row r="48" spans="3:3" x14ac:dyDescent="0.25">
      <c r="C48" s="9">
        <v>0</v>
      </c>
    </row>
    <row r="49" spans="3:3" x14ac:dyDescent="0.25">
      <c r="C49" s="9">
        <v>4</v>
      </c>
    </row>
    <row r="50" spans="3:3" x14ac:dyDescent="0.25">
      <c r="C50" s="9">
        <v>2</v>
      </c>
    </row>
    <row r="51" spans="3:3" x14ac:dyDescent="0.25">
      <c r="C51" s="9">
        <v>5</v>
      </c>
    </row>
    <row r="52" spans="3:3" x14ac:dyDescent="0.25">
      <c r="C52" s="9">
        <v>1</v>
      </c>
    </row>
    <row r="53" spans="3:3" x14ac:dyDescent="0.25">
      <c r="C53" s="9">
        <v>1</v>
      </c>
    </row>
    <row r="54" spans="3:3" x14ac:dyDescent="0.25">
      <c r="C54" s="9">
        <v>2</v>
      </c>
    </row>
    <row r="55" spans="3:3" x14ac:dyDescent="0.25">
      <c r="C55" s="9">
        <v>2</v>
      </c>
    </row>
    <row r="56" spans="3:3" x14ac:dyDescent="0.25">
      <c r="C56" s="9">
        <v>1</v>
      </c>
    </row>
    <row r="57" spans="3:3" x14ac:dyDescent="0.25">
      <c r="C57" s="9">
        <v>6</v>
      </c>
    </row>
    <row r="58" spans="3:3" x14ac:dyDescent="0.25">
      <c r="C58" s="9">
        <v>5</v>
      </c>
    </row>
    <row r="59" spans="3:3" x14ac:dyDescent="0.25">
      <c r="C59" s="9">
        <v>0</v>
      </c>
    </row>
    <row r="60" spans="3:3" x14ac:dyDescent="0.25">
      <c r="C60" s="9">
        <v>3</v>
      </c>
    </row>
    <row r="61" spans="3:3" x14ac:dyDescent="0.25">
      <c r="C61" s="9">
        <v>3</v>
      </c>
    </row>
    <row r="62" spans="3:3" x14ac:dyDescent="0.25">
      <c r="C62" s="9">
        <v>0</v>
      </c>
    </row>
    <row r="63" spans="3:3" x14ac:dyDescent="0.25">
      <c r="C63" s="9">
        <v>0</v>
      </c>
    </row>
    <row r="64" spans="3:3" x14ac:dyDescent="0.25">
      <c r="C64" s="9">
        <v>4</v>
      </c>
    </row>
    <row r="66" spans="1:2" s="3" customFormat="1" x14ac:dyDescent="0.25">
      <c r="A66" s="2" t="s">
        <v>118</v>
      </c>
    </row>
    <row r="67" spans="1:2" s="32" customFormat="1" x14ac:dyDescent="0.25">
      <c r="A67" s="34"/>
    </row>
    <row r="68" spans="1:2" s="32" customFormat="1" x14ac:dyDescent="0.25">
      <c r="A68" s="69" t="s">
        <v>227</v>
      </c>
    </row>
    <row r="70" spans="1:2" s="2" customFormat="1" x14ac:dyDescent="0.25">
      <c r="A70" s="2" t="s">
        <v>170</v>
      </c>
    </row>
    <row r="72" spans="1:2" x14ac:dyDescent="0.25">
      <c r="A72" s="60" t="s">
        <v>189</v>
      </c>
      <c r="B72" t="s">
        <v>228</v>
      </c>
    </row>
    <row r="73" spans="1:2" x14ac:dyDescent="0.25">
      <c r="A73" s="40">
        <v>0</v>
      </c>
      <c r="B73" s="41">
        <v>15</v>
      </c>
    </row>
    <row r="74" spans="1:2" x14ac:dyDescent="0.25">
      <c r="A74" s="40">
        <v>1</v>
      </c>
      <c r="B74" s="41">
        <v>12</v>
      </c>
    </row>
    <row r="75" spans="1:2" x14ac:dyDescent="0.25">
      <c r="A75" s="40">
        <v>2</v>
      </c>
      <c r="B75" s="41">
        <v>11</v>
      </c>
    </row>
    <row r="76" spans="1:2" x14ac:dyDescent="0.25">
      <c r="A76" s="40">
        <v>3</v>
      </c>
      <c r="B76" s="41">
        <v>7</v>
      </c>
    </row>
    <row r="77" spans="1:2" x14ac:dyDescent="0.25">
      <c r="A77" s="40">
        <v>4</v>
      </c>
      <c r="B77" s="41">
        <v>8</v>
      </c>
    </row>
    <row r="78" spans="1:2" x14ac:dyDescent="0.25">
      <c r="A78" s="40">
        <v>5</v>
      </c>
      <c r="B78" s="41">
        <v>5</v>
      </c>
    </row>
    <row r="79" spans="1:2" x14ac:dyDescent="0.25">
      <c r="A79" s="40">
        <v>6</v>
      </c>
      <c r="B79" s="41">
        <v>2</v>
      </c>
    </row>
    <row r="80" spans="1:2" x14ac:dyDescent="0.25">
      <c r="A80" s="40" t="s">
        <v>190</v>
      </c>
      <c r="B80" s="41">
        <v>60</v>
      </c>
    </row>
    <row r="90" spans="1:2" s="2" customFormat="1" x14ac:dyDescent="0.25">
      <c r="A90" s="2" t="s">
        <v>171</v>
      </c>
    </row>
    <row r="91" spans="1:2" x14ac:dyDescent="0.25">
      <c r="B91" s="1" t="s">
        <v>143</v>
      </c>
    </row>
    <row r="92" spans="1:2" x14ac:dyDescent="0.25">
      <c r="A92">
        <v>0</v>
      </c>
      <c r="B92">
        <f>GETPIVOTDATA("Clientes",$A72,"Clientes",0)/GETPIVOTDATA("Clientes",$A$72)</f>
        <v>0.25</v>
      </c>
    </row>
    <row r="93" spans="1:2" x14ac:dyDescent="0.25">
      <c r="A93">
        <v>1</v>
      </c>
      <c r="B93">
        <f>GETPIVOTDATA("Clientes",$A$72,"Clientes",1)/GETPIVOTDATA("Clientes",$A$72)</f>
        <v>0.2</v>
      </c>
    </row>
    <row r="94" spans="1:2" x14ac:dyDescent="0.25">
      <c r="A94">
        <v>2</v>
      </c>
      <c r="B94">
        <f>GETPIVOTDATA("Clientes",$A$72,"Clientes",2)/GETPIVOTDATA("Clientes",$A$72)</f>
        <v>0.18333333333333332</v>
      </c>
    </row>
    <row r="95" spans="1:2" x14ac:dyDescent="0.25">
      <c r="A95">
        <v>3</v>
      </c>
      <c r="B95">
        <f>GETPIVOTDATA("Clientes",$A$72,"Clientes",3)/GETPIVOTDATA("Clientes",$A$72)</f>
        <v>0.11666666666666667</v>
      </c>
    </row>
    <row r="96" spans="1:2" x14ac:dyDescent="0.25">
      <c r="A96">
        <v>4</v>
      </c>
      <c r="B96">
        <f>GETPIVOTDATA("Clientes",$A$72,"Clientes",4)/GETPIVOTDATA("Clientes",$A$72)</f>
        <v>0.13333333333333333</v>
      </c>
    </row>
    <row r="97" spans="1:17" x14ac:dyDescent="0.25">
      <c r="A97">
        <v>5</v>
      </c>
      <c r="B97">
        <f>GETPIVOTDATA("Clientes",$A$72,"Clientes",5)/GETPIVOTDATA("Clientes",$A$72)</f>
        <v>8.3333333333333329E-2</v>
      </c>
    </row>
    <row r="98" spans="1:17" x14ac:dyDescent="0.25">
      <c r="A98">
        <v>6</v>
      </c>
      <c r="B98">
        <f>GETPIVOTDATA("Clientes",$A$72,"Clientes",6)/GETPIVOTDATA("Clientes",$A$72)</f>
        <v>3.3333333333333333E-2</v>
      </c>
    </row>
    <row r="99" spans="1:17" x14ac:dyDescent="0.25">
      <c r="A99" t="s">
        <v>128</v>
      </c>
      <c r="B99">
        <f>SUM(B92:B98)</f>
        <v>1</v>
      </c>
    </row>
    <row r="101" spans="1:17" s="3" customFormat="1" x14ac:dyDescent="0.25">
      <c r="A101" s="2" t="s">
        <v>172</v>
      </c>
    </row>
    <row r="103" spans="1:17" x14ac:dyDescent="0.25">
      <c r="A103" s="77" t="s">
        <v>6</v>
      </c>
      <c r="B103" s="77"/>
      <c r="C103" s="37"/>
    </row>
    <row r="104" spans="1:17" x14ac:dyDescent="0.25">
      <c r="A104" s="77"/>
      <c r="B104" s="77"/>
      <c r="C104" s="52" t="s">
        <v>37</v>
      </c>
      <c r="D104" s="9">
        <f>SUM(C5:C64)</f>
        <v>124</v>
      </c>
    </row>
    <row r="105" spans="1:17" x14ac:dyDescent="0.25">
      <c r="C105" s="32"/>
    </row>
    <row r="106" spans="1:17" x14ac:dyDescent="0.25">
      <c r="A106" s="78" t="s">
        <v>38</v>
      </c>
      <c r="B106" s="78"/>
      <c r="C106" s="52" t="s">
        <v>10</v>
      </c>
      <c r="D106" s="9">
        <f>D104/COUNT(C5:C64)</f>
        <v>2.0666666666666669</v>
      </c>
    </row>
    <row r="108" spans="1:17" s="3" customFormat="1" x14ac:dyDescent="0.25">
      <c r="A108" s="2" t="s">
        <v>173</v>
      </c>
    </row>
    <row r="110" spans="1:17" x14ac:dyDescent="0.25">
      <c r="B110" s="55" t="s">
        <v>223</v>
      </c>
      <c r="G110" s="55" t="s">
        <v>229</v>
      </c>
      <c r="K110" s="78" t="s">
        <v>437</v>
      </c>
      <c r="L110" s="78"/>
      <c r="M110" s="78"/>
      <c r="N110" s="78"/>
      <c r="O110" s="78"/>
      <c r="P110" s="78"/>
      <c r="Q110" s="78"/>
    </row>
    <row r="111" spans="1:17" x14ac:dyDescent="0.25">
      <c r="B111" s="55"/>
    </row>
    <row r="112" spans="1:17" x14ac:dyDescent="0.25">
      <c r="B112" s="55"/>
    </row>
    <row r="113" spans="2:2" x14ac:dyDescent="0.25">
      <c r="B113" s="55"/>
    </row>
    <row r="114" spans="2:2" x14ac:dyDescent="0.25">
      <c r="B114" s="55"/>
    </row>
    <row r="115" spans="2:2" x14ac:dyDescent="0.25">
      <c r="B115" s="55"/>
    </row>
    <row r="116" spans="2:2" x14ac:dyDescent="0.25">
      <c r="B116" s="55"/>
    </row>
    <row r="117" spans="2:2" x14ac:dyDescent="0.25">
      <c r="B117" s="55"/>
    </row>
    <row r="118" spans="2:2" x14ac:dyDescent="0.25">
      <c r="B118" s="55"/>
    </row>
    <row r="119" spans="2:2" x14ac:dyDescent="0.25">
      <c r="B119" s="55"/>
    </row>
    <row r="120" spans="2:2" x14ac:dyDescent="0.25">
      <c r="B120" s="55"/>
    </row>
    <row r="121" spans="2:2" x14ac:dyDescent="0.25">
      <c r="B121" s="55"/>
    </row>
    <row r="122" spans="2:2" x14ac:dyDescent="0.25">
      <c r="B122" s="55"/>
    </row>
    <row r="123" spans="2:2" x14ac:dyDescent="0.25">
      <c r="B123" s="55"/>
    </row>
    <row r="139" spans="1:5" s="3" customFormat="1" x14ac:dyDescent="0.25">
      <c r="A139" s="2" t="s">
        <v>174</v>
      </c>
    </row>
    <row r="141" spans="1:5" x14ac:dyDescent="0.25">
      <c r="A141" s="78" t="s">
        <v>175</v>
      </c>
      <c r="B141" s="78"/>
      <c r="D141" s="44" t="s">
        <v>16</v>
      </c>
      <c r="E141" s="9">
        <f>MEDIAN(C5:C64)</f>
        <v>2</v>
      </c>
    </row>
    <row r="143" spans="1:5" x14ac:dyDescent="0.25">
      <c r="A143" s="78" t="s">
        <v>176</v>
      </c>
      <c r="B143" s="78"/>
      <c r="D143" s="44" t="s">
        <v>152</v>
      </c>
      <c r="E143" s="9">
        <f>PERCENTILE(C5:C64,0.5)</f>
        <v>2</v>
      </c>
    </row>
    <row r="146" spans="1:5" s="3" customFormat="1" x14ac:dyDescent="0.25">
      <c r="A146" s="2" t="s">
        <v>177</v>
      </c>
    </row>
    <row r="148" spans="1:5" x14ac:dyDescent="0.25">
      <c r="A148" s="78" t="s">
        <v>178</v>
      </c>
      <c r="B148" s="78"/>
      <c r="D148" s="54" t="s">
        <v>230</v>
      </c>
      <c r="E148" s="9">
        <f>PERCENTILE(C5:C64,0.9)</f>
        <v>5</v>
      </c>
    </row>
    <row r="151" spans="1:5" s="3" customFormat="1" x14ac:dyDescent="0.25">
      <c r="A151" s="2" t="s">
        <v>179</v>
      </c>
    </row>
    <row r="153" spans="1:5" x14ac:dyDescent="0.25">
      <c r="A153" s="78" t="s">
        <v>180</v>
      </c>
      <c r="B153" s="78"/>
      <c r="D153" s="44" t="s">
        <v>181</v>
      </c>
      <c r="E153" s="9">
        <f>MODE(C5:C64)</f>
        <v>0</v>
      </c>
    </row>
    <row r="155" spans="1:5" s="3" customFormat="1" x14ac:dyDescent="0.25">
      <c r="A155" s="2" t="s">
        <v>182</v>
      </c>
    </row>
  </sheetData>
  <mergeCells count="7">
    <mergeCell ref="K110:Q110"/>
    <mergeCell ref="A153:B153"/>
    <mergeCell ref="A103:B104"/>
    <mergeCell ref="A106:B106"/>
    <mergeCell ref="A141:B141"/>
    <mergeCell ref="A143:B143"/>
    <mergeCell ref="A148:B148"/>
  </mergeCell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8"/>
  <sheetViews>
    <sheetView workbookViewId="0"/>
  </sheetViews>
  <sheetFormatPr baseColWidth="10" defaultRowHeight="15" x14ac:dyDescent="0.25"/>
  <cols>
    <col min="3" max="3" width="13.140625" customWidth="1"/>
  </cols>
  <sheetData>
    <row r="1" spans="1:3" s="7" customFormat="1" x14ac:dyDescent="0.25">
      <c r="A1" s="6" t="s">
        <v>257</v>
      </c>
    </row>
    <row r="2" spans="1:3" s="3" customFormat="1" x14ac:dyDescent="0.25">
      <c r="A2" s="2" t="s">
        <v>258</v>
      </c>
    </row>
    <row r="3" spans="1:3" s="3" customFormat="1" x14ac:dyDescent="0.25">
      <c r="A3" s="2" t="s">
        <v>259</v>
      </c>
    </row>
    <row r="4" spans="1:3" s="3" customFormat="1" x14ac:dyDescent="0.25">
      <c r="A4" s="2" t="s">
        <v>260</v>
      </c>
    </row>
    <row r="5" spans="1:3" s="3" customFormat="1" x14ac:dyDescent="0.25">
      <c r="A5" s="2" t="s">
        <v>261</v>
      </c>
    </row>
    <row r="7" spans="1:3" x14ac:dyDescent="0.25">
      <c r="C7" s="55" t="s">
        <v>262</v>
      </c>
    </row>
    <row r="8" spans="1:3" x14ac:dyDescent="0.25">
      <c r="C8" s="9">
        <v>31</v>
      </c>
    </row>
    <row r="9" spans="1:3" x14ac:dyDescent="0.25">
      <c r="C9" s="9">
        <v>40</v>
      </c>
    </row>
    <row r="10" spans="1:3" x14ac:dyDescent="0.25">
      <c r="C10" s="9">
        <v>45</v>
      </c>
    </row>
    <row r="11" spans="1:3" x14ac:dyDescent="0.25">
      <c r="C11" s="9">
        <v>49</v>
      </c>
    </row>
    <row r="12" spans="1:3" x14ac:dyDescent="0.25">
      <c r="C12" s="9">
        <v>52</v>
      </c>
    </row>
    <row r="13" spans="1:3" x14ac:dyDescent="0.25">
      <c r="C13" s="9">
        <v>53</v>
      </c>
    </row>
    <row r="14" spans="1:3" x14ac:dyDescent="0.25">
      <c r="C14" s="9">
        <v>57</v>
      </c>
    </row>
    <row r="15" spans="1:3" x14ac:dyDescent="0.25">
      <c r="C15" s="9">
        <v>58</v>
      </c>
    </row>
    <row r="16" spans="1:3" x14ac:dyDescent="0.25">
      <c r="C16" s="9">
        <v>58</v>
      </c>
    </row>
    <row r="17" spans="3:3" x14ac:dyDescent="0.25">
      <c r="C17" s="9">
        <v>60</v>
      </c>
    </row>
    <row r="18" spans="3:3" x14ac:dyDescent="0.25">
      <c r="C18" s="9">
        <v>61</v>
      </c>
    </row>
    <row r="19" spans="3:3" x14ac:dyDescent="0.25">
      <c r="C19" s="9">
        <v>61</v>
      </c>
    </row>
    <row r="20" spans="3:3" x14ac:dyDescent="0.25">
      <c r="C20" s="9">
        <v>63</v>
      </c>
    </row>
    <row r="21" spans="3:3" x14ac:dyDescent="0.25">
      <c r="C21" s="9">
        <v>66</v>
      </c>
    </row>
    <row r="22" spans="3:3" x14ac:dyDescent="0.25">
      <c r="C22" s="9">
        <v>67</v>
      </c>
    </row>
    <row r="23" spans="3:3" x14ac:dyDescent="0.25">
      <c r="C23" s="9">
        <v>67</v>
      </c>
    </row>
    <row r="24" spans="3:3" x14ac:dyDescent="0.25">
      <c r="C24" s="9">
        <v>67</v>
      </c>
    </row>
    <row r="25" spans="3:3" x14ac:dyDescent="0.25">
      <c r="C25" s="9">
        <v>67</v>
      </c>
    </row>
    <row r="26" spans="3:3" x14ac:dyDescent="0.25">
      <c r="C26" s="9">
        <v>68</v>
      </c>
    </row>
    <row r="27" spans="3:3" x14ac:dyDescent="0.25">
      <c r="C27" s="9">
        <v>69</v>
      </c>
    </row>
    <row r="28" spans="3:3" x14ac:dyDescent="0.25">
      <c r="C28" s="9">
        <v>70</v>
      </c>
    </row>
    <row r="29" spans="3:3" x14ac:dyDescent="0.25">
      <c r="C29" s="9">
        <v>70</v>
      </c>
    </row>
    <row r="30" spans="3:3" x14ac:dyDescent="0.25">
      <c r="C30" s="9">
        <v>70</v>
      </c>
    </row>
    <row r="31" spans="3:3" x14ac:dyDescent="0.25">
      <c r="C31" s="9">
        <v>70</v>
      </c>
    </row>
    <row r="32" spans="3:3" x14ac:dyDescent="0.25">
      <c r="C32" s="9">
        <v>72</v>
      </c>
    </row>
    <row r="33" spans="1:3" x14ac:dyDescent="0.25">
      <c r="C33" s="9">
        <v>73</v>
      </c>
    </row>
    <row r="34" spans="1:3" x14ac:dyDescent="0.25">
      <c r="C34" s="9">
        <v>75</v>
      </c>
    </row>
    <row r="35" spans="1:3" x14ac:dyDescent="0.25">
      <c r="C35" s="9">
        <v>75</v>
      </c>
    </row>
    <row r="36" spans="1:3" x14ac:dyDescent="0.25">
      <c r="C36" s="9">
        <v>76</v>
      </c>
    </row>
    <row r="37" spans="1:3" x14ac:dyDescent="0.25">
      <c r="C37" s="9">
        <v>76</v>
      </c>
    </row>
    <row r="38" spans="1:3" x14ac:dyDescent="0.25">
      <c r="C38" s="9">
        <v>78</v>
      </c>
    </row>
    <row r="39" spans="1:3" x14ac:dyDescent="0.25">
      <c r="C39" s="9">
        <v>79</v>
      </c>
    </row>
    <row r="40" spans="1:3" x14ac:dyDescent="0.25">
      <c r="C40" s="9">
        <v>80</v>
      </c>
    </row>
    <row r="41" spans="1:3" x14ac:dyDescent="0.25">
      <c r="C41" s="9">
        <v>81</v>
      </c>
    </row>
    <row r="42" spans="1:3" x14ac:dyDescent="0.25">
      <c r="C42" s="9">
        <v>83</v>
      </c>
    </row>
    <row r="43" spans="1:3" x14ac:dyDescent="0.25">
      <c r="C43" s="9">
        <v>84</v>
      </c>
    </row>
    <row r="45" spans="1:3" s="3" customFormat="1" x14ac:dyDescent="0.25">
      <c r="A45" s="2" t="s">
        <v>263</v>
      </c>
    </row>
    <row r="47" spans="1:3" x14ac:dyDescent="0.25">
      <c r="B47" s="39" t="s">
        <v>19</v>
      </c>
      <c r="C47" s="9">
        <f>MAX($C$8:$C$43)</f>
        <v>84</v>
      </c>
    </row>
    <row r="48" spans="1:3" x14ac:dyDescent="0.25">
      <c r="B48" s="39" t="s">
        <v>20</v>
      </c>
      <c r="C48" s="9">
        <f>MIN($C$8:$C$43)</f>
        <v>31</v>
      </c>
    </row>
    <row r="50" spans="1:7" s="3" customFormat="1" x14ac:dyDescent="0.25">
      <c r="A50" s="2" t="s">
        <v>264</v>
      </c>
    </row>
    <row r="52" spans="1:7" x14ac:dyDescent="0.25">
      <c r="A52" s="78" t="s">
        <v>183</v>
      </c>
      <c r="B52" s="78"/>
      <c r="C52" s="78"/>
      <c r="D52" s="39" t="s">
        <v>10</v>
      </c>
      <c r="E52" s="9">
        <f>AVERAGE(C8:C43)</f>
        <v>65.861111111111114</v>
      </c>
    </row>
    <row r="54" spans="1:7" x14ac:dyDescent="0.25">
      <c r="A54" s="83" t="s">
        <v>265</v>
      </c>
      <c r="B54" s="83"/>
      <c r="C54" s="83"/>
      <c r="D54" s="39" t="s">
        <v>9</v>
      </c>
      <c r="E54" s="9">
        <f>COUNT(C8:C43)</f>
        <v>36</v>
      </c>
    </row>
    <row r="55" spans="1:7" x14ac:dyDescent="0.25">
      <c r="A55" s="83"/>
      <c r="B55" s="83"/>
      <c r="C55" s="83"/>
      <c r="D55" s="39" t="s">
        <v>266</v>
      </c>
      <c r="E55" s="9">
        <f>E54*0.1</f>
        <v>3.6</v>
      </c>
    </row>
    <row r="57" spans="1:7" ht="15" customHeight="1" x14ac:dyDescent="0.25">
      <c r="A57" s="83" t="s">
        <v>267</v>
      </c>
      <c r="B57" s="83"/>
      <c r="C57" s="83"/>
    </row>
    <row r="58" spans="1:7" x14ac:dyDescent="0.25">
      <c r="A58" s="83"/>
      <c r="B58" s="83"/>
      <c r="C58" s="83"/>
      <c r="D58" s="90" t="s">
        <v>268</v>
      </c>
    </row>
    <row r="59" spans="1:7" x14ac:dyDescent="0.25">
      <c r="A59" s="83"/>
      <c r="B59" s="83"/>
      <c r="C59" s="83"/>
      <c r="D59" s="90"/>
      <c r="E59" s="9">
        <f>AVERAGE(C10:C41)</f>
        <v>66.65625</v>
      </c>
      <c r="G59" t="s">
        <v>269</v>
      </c>
    </row>
    <row r="61" spans="1:7" s="3" customFormat="1" x14ac:dyDescent="0.25">
      <c r="A61" s="2" t="s">
        <v>270</v>
      </c>
    </row>
    <row r="63" spans="1:7" x14ac:dyDescent="0.25">
      <c r="A63" s="83" t="s">
        <v>271</v>
      </c>
      <c r="B63" s="83"/>
      <c r="C63" s="83"/>
      <c r="D63" s="89" t="s">
        <v>272</v>
      </c>
      <c r="E63" s="89"/>
      <c r="F63" s="9">
        <f>COUNT(C17:C31)</f>
        <v>15</v>
      </c>
    </row>
    <row r="64" spans="1:7" x14ac:dyDescent="0.25">
      <c r="A64" s="83"/>
      <c r="B64" s="83"/>
      <c r="C64" s="83"/>
      <c r="E64" s="39" t="s">
        <v>273</v>
      </c>
      <c r="F64" s="70">
        <f>F63/E54</f>
        <v>0.41666666666666669</v>
      </c>
    </row>
    <row r="66" spans="1:5" s="3" customFormat="1" x14ac:dyDescent="0.25">
      <c r="A66" s="2" t="s">
        <v>274</v>
      </c>
    </row>
    <row r="68" spans="1:5" x14ac:dyDescent="0.25">
      <c r="A68" s="78" t="s">
        <v>275</v>
      </c>
      <c r="B68" s="78"/>
      <c r="C68" s="78"/>
      <c r="D68" s="39" t="s">
        <v>42</v>
      </c>
      <c r="E68" s="9">
        <f>STDEV(C8:C43)</f>
        <v>12.158836358274659</v>
      </c>
    </row>
    <row r="70" spans="1:5" x14ac:dyDescent="0.25">
      <c r="D70" s="39" t="s">
        <v>277</v>
      </c>
      <c r="E70" s="9">
        <f>E52-E68</f>
        <v>53.702274752836459</v>
      </c>
    </row>
    <row r="71" spans="1:5" x14ac:dyDescent="0.25">
      <c r="D71" s="39" t="s">
        <v>276</v>
      </c>
      <c r="E71" s="9">
        <f>E52+E68</f>
        <v>78.01994746938577</v>
      </c>
    </row>
    <row r="72" spans="1:5" x14ac:dyDescent="0.25">
      <c r="B72" s="89" t="s">
        <v>278</v>
      </c>
      <c r="C72" s="89"/>
      <c r="D72" s="89"/>
      <c r="E72" s="9">
        <f>COUNT(C14:C38)</f>
        <v>25</v>
      </c>
    </row>
    <row r="73" spans="1:5" x14ac:dyDescent="0.25">
      <c r="B73" s="39"/>
      <c r="C73" s="39"/>
      <c r="D73" s="39" t="s">
        <v>273</v>
      </c>
      <c r="E73" s="70">
        <f>E72/E54</f>
        <v>0.69444444444444442</v>
      </c>
    </row>
    <row r="75" spans="1:5" x14ac:dyDescent="0.25">
      <c r="D75" s="39" t="s">
        <v>279</v>
      </c>
      <c r="E75" s="9">
        <f>E52-2*E68</f>
        <v>41.543438394561797</v>
      </c>
    </row>
    <row r="76" spans="1:5" x14ac:dyDescent="0.25">
      <c r="D76" s="39" t="s">
        <v>280</v>
      </c>
      <c r="E76" s="9">
        <f>E52+2*E68</f>
        <v>90.178783827660425</v>
      </c>
    </row>
    <row r="77" spans="1:5" x14ac:dyDescent="0.25">
      <c r="B77" s="89" t="s">
        <v>278</v>
      </c>
      <c r="C77" s="89"/>
      <c r="D77" s="89"/>
      <c r="E77" s="9">
        <f>COUNT(C10:C43)</f>
        <v>34</v>
      </c>
    </row>
    <row r="78" spans="1:5" x14ac:dyDescent="0.25">
      <c r="D78" s="39" t="s">
        <v>273</v>
      </c>
      <c r="E78" s="70">
        <f>E77/$E$54</f>
        <v>0.94444444444444442</v>
      </c>
    </row>
  </sheetData>
  <sortState ref="C8:C43">
    <sortCondition ref="C8:C43"/>
  </sortState>
  <mergeCells count="9">
    <mergeCell ref="A68:C68"/>
    <mergeCell ref="B72:D72"/>
    <mergeCell ref="B77:D77"/>
    <mergeCell ref="A52:C52"/>
    <mergeCell ref="A54:C55"/>
    <mergeCell ref="A57:C59"/>
    <mergeCell ref="D58:D59"/>
    <mergeCell ref="A63:C64"/>
    <mergeCell ref="D63:E6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01"/>
  <sheetViews>
    <sheetView topLeftCell="A64" workbookViewId="0">
      <selection sqref="A1:C101"/>
    </sheetView>
  </sheetViews>
  <sheetFormatPr baseColWidth="10" defaultRowHeight="15" x14ac:dyDescent="0.25"/>
  <cols>
    <col min="6" max="6" width="11.85546875" bestFit="1" customWidth="1"/>
  </cols>
  <sheetData>
    <row r="1" spans="1:18" x14ac:dyDescent="0.25">
      <c r="A1" t="s">
        <v>231</v>
      </c>
      <c r="B1" t="s">
        <v>232</v>
      </c>
      <c r="C1" t="s">
        <v>233</v>
      </c>
      <c r="D1" s="1" t="s">
        <v>244</v>
      </c>
    </row>
    <row r="2" spans="1:18" x14ac:dyDescent="0.25">
      <c r="A2">
        <v>105</v>
      </c>
      <c r="B2">
        <v>83</v>
      </c>
      <c r="C2">
        <v>72</v>
      </c>
      <c r="E2" s="87" t="s">
        <v>224</v>
      </c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</row>
    <row r="3" spans="1:18" x14ac:dyDescent="0.25">
      <c r="A3">
        <v>86</v>
      </c>
      <c r="B3">
        <v>80</v>
      </c>
      <c r="C3">
        <v>72</v>
      </c>
      <c r="E3" s="87" t="s">
        <v>234</v>
      </c>
      <c r="F3" s="87"/>
      <c r="G3" s="87"/>
      <c r="H3" s="87"/>
      <c r="J3" s="87" t="s">
        <v>235</v>
      </c>
      <c r="K3" s="87"/>
      <c r="L3" s="87"/>
      <c r="M3" s="87"/>
      <c r="O3" s="87" t="s">
        <v>236</v>
      </c>
      <c r="P3" s="87"/>
      <c r="Q3" s="87"/>
      <c r="R3" s="87"/>
    </row>
    <row r="4" spans="1:18" x14ac:dyDescent="0.25">
      <c r="A4">
        <v>109</v>
      </c>
      <c r="B4">
        <v>69</v>
      </c>
      <c r="C4">
        <v>69</v>
      </c>
    </row>
    <row r="5" spans="1:18" x14ac:dyDescent="0.25">
      <c r="A5">
        <v>87</v>
      </c>
      <c r="B5">
        <v>77</v>
      </c>
      <c r="C5">
        <v>95</v>
      </c>
    </row>
    <row r="6" spans="1:18" x14ac:dyDescent="0.25">
      <c r="A6">
        <v>90</v>
      </c>
      <c r="B6">
        <v>76</v>
      </c>
      <c r="C6">
        <v>70</v>
      </c>
    </row>
    <row r="7" spans="1:18" x14ac:dyDescent="0.25">
      <c r="A7">
        <v>104</v>
      </c>
      <c r="B7">
        <v>78</v>
      </c>
      <c r="C7">
        <v>68</v>
      </c>
    </row>
    <row r="8" spans="1:18" x14ac:dyDescent="0.25">
      <c r="A8">
        <v>68</v>
      </c>
      <c r="B8">
        <v>76</v>
      </c>
      <c r="C8">
        <v>72</v>
      </c>
    </row>
    <row r="9" spans="1:18" x14ac:dyDescent="0.25">
      <c r="A9">
        <v>104</v>
      </c>
      <c r="B9">
        <v>70</v>
      </c>
      <c r="C9">
        <v>72</v>
      </c>
    </row>
    <row r="10" spans="1:18" x14ac:dyDescent="0.25">
      <c r="A10">
        <v>110</v>
      </c>
      <c r="B10">
        <v>82</v>
      </c>
      <c r="C10">
        <v>75</v>
      </c>
    </row>
    <row r="11" spans="1:18" x14ac:dyDescent="0.25">
      <c r="A11">
        <v>112</v>
      </c>
      <c r="B11">
        <v>80</v>
      </c>
      <c r="C11">
        <v>70</v>
      </c>
    </row>
    <row r="12" spans="1:18" x14ac:dyDescent="0.25">
      <c r="A12">
        <v>90</v>
      </c>
      <c r="B12">
        <v>76</v>
      </c>
      <c r="C12">
        <v>86</v>
      </c>
    </row>
    <row r="13" spans="1:18" x14ac:dyDescent="0.25">
      <c r="A13">
        <v>88</v>
      </c>
      <c r="B13">
        <v>79</v>
      </c>
      <c r="C13">
        <v>75</v>
      </c>
    </row>
    <row r="14" spans="1:18" x14ac:dyDescent="0.25">
      <c r="A14">
        <v>99</v>
      </c>
      <c r="B14">
        <v>77</v>
      </c>
      <c r="C14">
        <v>71</v>
      </c>
    </row>
    <row r="15" spans="1:18" x14ac:dyDescent="0.25">
      <c r="A15">
        <v>108</v>
      </c>
      <c r="B15">
        <v>86</v>
      </c>
      <c r="C15">
        <v>71</v>
      </c>
    </row>
    <row r="16" spans="1:18" x14ac:dyDescent="0.25">
      <c r="A16">
        <v>95</v>
      </c>
      <c r="B16">
        <v>83</v>
      </c>
      <c r="C16">
        <v>70</v>
      </c>
    </row>
    <row r="17" spans="1:18" x14ac:dyDescent="0.25">
      <c r="A17">
        <v>104</v>
      </c>
      <c r="B17">
        <v>76</v>
      </c>
      <c r="C17">
        <v>90</v>
      </c>
    </row>
    <row r="18" spans="1:18" x14ac:dyDescent="0.25">
      <c r="A18">
        <v>108</v>
      </c>
      <c r="B18">
        <v>80</v>
      </c>
      <c r="C18">
        <v>74</v>
      </c>
    </row>
    <row r="19" spans="1:18" x14ac:dyDescent="0.25">
      <c r="A19">
        <v>81</v>
      </c>
      <c r="B19">
        <v>79</v>
      </c>
      <c r="C19">
        <v>69</v>
      </c>
      <c r="E19" s="1" t="s">
        <v>237</v>
      </c>
    </row>
    <row r="20" spans="1:18" x14ac:dyDescent="0.25">
      <c r="A20">
        <v>84</v>
      </c>
      <c r="B20">
        <v>72</v>
      </c>
      <c r="C20">
        <v>68</v>
      </c>
      <c r="E20" s="1" t="s">
        <v>238</v>
      </c>
    </row>
    <row r="21" spans="1:18" x14ac:dyDescent="0.25">
      <c r="A21">
        <v>100</v>
      </c>
      <c r="B21">
        <v>79</v>
      </c>
      <c r="C21">
        <v>79</v>
      </c>
      <c r="E21" s="1" t="s">
        <v>239</v>
      </c>
    </row>
    <row r="22" spans="1:18" x14ac:dyDescent="0.25">
      <c r="A22">
        <v>97</v>
      </c>
      <c r="B22">
        <v>80</v>
      </c>
      <c r="C22">
        <v>70</v>
      </c>
    </row>
    <row r="23" spans="1:18" x14ac:dyDescent="0.25">
      <c r="A23">
        <v>97</v>
      </c>
      <c r="B23">
        <v>80</v>
      </c>
      <c r="C23">
        <v>95</v>
      </c>
      <c r="D23" s="1" t="s">
        <v>245</v>
      </c>
      <c r="E23" s="87" t="s">
        <v>225</v>
      </c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</row>
    <row r="24" spans="1:18" x14ac:dyDescent="0.25">
      <c r="A24">
        <v>99</v>
      </c>
      <c r="B24">
        <v>79</v>
      </c>
      <c r="C24">
        <v>77</v>
      </c>
      <c r="E24" s="87" t="s">
        <v>234</v>
      </c>
      <c r="F24" s="87"/>
      <c r="G24" s="87"/>
      <c r="H24" s="87"/>
      <c r="J24" s="87" t="s">
        <v>235</v>
      </c>
      <c r="K24" s="87"/>
      <c r="L24" s="87"/>
      <c r="M24" s="87"/>
      <c r="O24" s="87" t="s">
        <v>236</v>
      </c>
      <c r="P24" s="87"/>
      <c r="Q24" s="87"/>
      <c r="R24" s="87"/>
    </row>
    <row r="25" spans="1:18" x14ac:dyDescent="0.25">
      <c r="A25">
        <v>88</v>
      </c>
      <c r="B25">
        <v>83</v>
      </c>
      <c r="C25">
        <v>72</v>
      </c>
    </row>
    <row r="26" spans="1:18" x14ac:dyDescent="0.25">
      <c r="A26">
        <v>111</v>
      </c>
      <c r="B26">
        <v>80</v>
      </c>
      <c r="C26">
        <v>79</v>
      </c>
    </row>
    <row r="27" spans="1:18" x14ac:dyDescent="0.25">
      <c r="A27">
        <v>105</v>
      </c>
      <c r="B27">
        <v>78</v>
      </c>
      <c r="C27">
        <v>71</v>
      </c>
    </row>
    <row r="28" spans="1:18" x14ac:dyDescent="0.25">
      <c r="A28">
        <v>102</v>
      </c>
      <c r="B28">
        <v>84</v>
      </c>
      <c r="C28">
        <v>73</v>
      </c>
    </row>
    <row r="29" spans="1:18" x14ac:dyDescent="0.25">
      <c r="A29">
        <v>91</v>
      </c>
      <c r="B29">
        <v>83</v>
      </c>
      <c r="C29">
        <v>69</v>
      </c>
    </row>
    <row r="30" spans="1:18" x14ac:dyDescent="0.25">
      <c r="A30">
        <v>119</v>
      </c>
      <c r="B30">
        <v>81</v>
      </c>
      <c r="C30">
        <v>86</v>
      </c>
    </row>
    <row r="31" spans="1:18" x14ac:dyDescent="0.25">
      <c r="A31">
        <v>96</v>
      </c>
      <c r="B31">
        <v>82</v>
      </c>
      <c r="C31">
        <v>73</v>
      </c>
    </row>
    <row r="32" spans="1:18" x14ac:dyDescent="0.25">
      <c r="A32">
        <v>92</v>
      </c>
      <c r="B32">
        <v>74</v>
      </c>
      <c r="C32">
        <v>89</v>
      </c>
    </row>
    <row r="33" spans="1:3" x14ac:dyDescent="0.25">
      <c r="A33">
        <v>81</v>
      </c>
      <c r="B33">
        <v>78</v>
      </c>
      <c r="C33">
        <v>103</v>
      </c>
    </row>
    <row r="34" spans="1:3" x14ac:dyDescent="0.25">
      <c r="A34">
        <v>86</v>
      </c>
      <c r="B34">
        <v>83</v>
      </c>
      <c r="C34">
        <v>74</v>
      </c>
    </row>
    <row r="35" spans="1:3" x14ac:dyDescent="0.25">
      <c r="A35">
        <v>95</v>
      </c>
      <c r="B35">
        <v>77</v>
      </c>
      <c r="C35">
        <v>84</v>
      </c>
    </row>
    <row r="36" spans="1:3" x14ac:dyDescent="0.25">
      <c r="A36">
        <v>93</v>
      </c>
      <c r="B36">
        <v>70</v>
      </c>
      <c r="C36">
        <v>78</v>
      </c>
    </row>
    <row r="37" spans="1:3" x14ac:dyDescent="0.25">
      <c r="A37">
        <v>87</v>
      </c>
      <c r="B37">
        <v>86</v>
      </c>
      <c r="C37">
        <v>71</v>
      </c>
    </row>
    <row r="38" spans="1:3" x14ac:dyDescent="0.25">
      <c r="A38">
        <v>101</v>
      </c>
      <c r="B38">
        <v>79</v>
      </c>
      <c r="C38">
        <v>74</v>
      </c>
    </row>
    <row r="39" spans="1:3" x14ac:dyDescent="0.25">
      <c r="A39">
        <v>113</v>
      </c>
      <c r="B39">
        <v>76</v>
      </c>
      <c r="C39">
        <v>90</v>
      </c>
    </row>
    <row r="40" spans="1:3" x14ac:dyDescent="0.25">
      <c r="A40">
        <v>93</v>
      </c>
      <c r="B40">
        <v>74</v>
      </c>
      <c r="C40">
        <v>81</v>
      </c>
    </row>
    <row r="41" spans="1:3" x14ac:dyDescent="0.25">
      <c r="A41">
        <v>87</v>
      </c>
      <c r="B41">
        <v>77</v>
      </c>
      <c r="C41">
        <v>72</v>
      </c>
    </row>
    <row r="42" spans="1:3" x14ac:dyDescent="0.25">
      <c r="A42">
        <v>91</v>
      </c>
      <c r="B42">
        <v>73</v>
      </c>
      <c r="C42">
        <v>72</v>
      </c>
    </row>
    <row r="43" spans="1:3" x14ac:dyDescent="0.25">
      <c r="A43">
        <v>95</v>
      </c>
      <c r="B43">
        <v>82</v>
      </c>
      <c r="C43">
        <v>78</v>
      </c>
    </row>
    <row r="44" spans="1:3" x14ac:dyDescent="0.25">
      <c r="A44">
        <v>118</v>
      </c>
      <c r="B44">
        <v>68</v>
      </c>
      <c r="C44">
        <v>76</v>
      </c>
    </row>
    <row r="45" spans="1:3" x14ac:dyDescent="0.25">
      <c r="A45">
        <v>109</v>
      </c>
      <c r="B45">
        <v>73</v>
      </c>
      <c r="C45">
        <v>68</v>
      </c>
    </row>
    <row r="46" spans="1:3" x14ac:dyDescent="0.25">
      <c r="A46">
        <v>86</v>
      </c>
      <c r="B46">
        <v>87</v>
      </c>
      <c r="C46">
        <v>71</v>
      </c>
    </row>
    <row r="47" spans="1:3" x14ac:dyDescent="0.25">
      <c r="A47">
        <v>99</v>
      </c>
      <c r="B47">
        <v>82</v>
      </c>
      <c r="C47">
        <v>68</v>
      </c>
    </row>
    <row r="48" spans="1:3" x14ac:dyDescent="0.25">
      <c r="A48">
        <v>108</v>
      </c>
      <c r="B48">
        <v>88</v>
      </c>
      <c r="C48">
        <v>83</v>
      </c>
    </row>
    <row r="49" spans="1:15" x14ac:dyDescent="0.25">
      <c r="A49">
        <v>104</v>
      </c>
      <c r="B49">
        <v>68</v>
      </c>
      <c r="C49">
        <v>68</v>
      </c>
    </row>
    <row r="50" spans="1:15" x14ac:dyDescent="0.25">
      <c r="A50">
        <v>111</v>
      </c>
      <c r="B50">
        <v>80</v>
      </c>
      <c r="C50">
        <v>68</v>
      </c>
    </row>
    <row r="51" spans="1:15" x14ac:dyDescent="0.25">
      <c r="A51">
        <v>86</v>
      </c>
      <c r="B51">
        <v>83</v>
      </c>
      <c r="C51">
        <v>85</v>
      </c>
    </row>
    <row r="52" spans="1:15" x14ac:dyDescent="0.25">
      <c r="A52">
        <v>105</v>
      </c>
      <c r="B52">
        <v>111</v>
      </c>
      <c r="C52">
        <v>121</v>
      </c>
      <c r="E52" s="1" t="s">
        <v>240</v>
      </c>
    </row>
    <row r="53" spans="1:15" x14ac:dyDescent="0.25">
      <c r="A53">
        <v>94</v>
      </c>
      <c r="B53">
        <v>102</v>
      </c>
      <c r="C53">
        <v>70</v>
      </c>
      <c r="E53" s="1" t="s">
        <v>241</v>
      </c>
    </row>
    <row r="54" spans="1:15" x14ac:dyDescent="0.25">
      <c r="A54">
        <v>115</v>
      </c>
      <c r="B54">
        <v>115</v>
      </c>
      <c r="C54">
        <v>69</v>
      </c>
      <c r="E54" s="1" t="s">
        <v>242</v>
      </c>
    </row>
    <row r="55" spans="1:15" x14ac:dyDescent="0.25">
      <c r="A55">
        <v>80</v>
      </c>
      <c r="B55">
        <v>117</v>
      </c>
      <c r="C55">
        <v>80</v>
      </c>
      <c r="E55" s="1" t="s">
        <v>243</v>
      </c>
    </row>
    <row r="56" spans="1:15" x14ac:dyDescent="0.25">
      <c r="A56">
        <v>89</v>
      </c>
      <c r="B56">
        <v>111</v>
      </c>
      <c r="C56">
        <v>82</v>
      </c>
    </row>
    <row r="57" spans="1:15" x14ac:dyDescent="0.25">
      <c r="A57">
        <v>85</v>
      </c>
      <c r="B57">
        <v>104</v>
      </c>
      <c r="C57">
        <v>70</v>
      </c>
      <c r="D57" s="1" t="s">
        <v>246</v>
      </c>
    </row>
    <row r="58" spans="1:15" x14ac:dyDescent="0.25">
      <c r="A58">
        <v>109</v>
      </c>
      <c r="B58">
        <v>108</v>
      </c>
      <c r="C58">
        <v>82</v>
      </c>
      <c r="F58" s="55" t="s">
        <v>234</v>
      </c>
      <c r="G58" s="55" t="s">
        <v>235</v>
      </c>
      <c r="H58" s="55" t="s">
        <v>236</v>
      </c>
    </row>
    <row r="59" spans="1:15" ht="15" customHeight="1" x14ac:dyDescent="0.25">
      <c r="A59">
        <v>100</v>
      </c>
      <c r="B59">
        <v>111</v>
      </c>
      <c r="C59">
        <v>70</v>
      </c>
      <c r="E59" s="39" t="s">
        <v>10</v>
      </c>
      <c r="F59">
        <f>AVERAGE(A$2:A$101)</f>
        <v>98.68</v>
      </c>
      <c r="G59">
        <f>AVERAGE(B$2:B$101)</f>
        <v>94.46</v>
      </c>
      <c r="H59">
        <f>AVERAGE(C$2:C$101)</f>
        <v>77.290000000000006</v>
      </c>
      <c r="J59" s="91" t="s">
        <v>247</v>
      </c>
      <c r="K59" s="91"/>
      <c r="L59" s="91"/>
      <c r="M59" s="91"/>
      <c r="N59" s="91"/>
      <c r="O59" s="91"/>
    </row>
    <row r="60" spans="1:15" x14ac:dyDescent="0.25">
      <c r="A60">
        <v>110</v>
      </c>
      <c r="B60">
        <v>108</v>
      </c>
      <c r="C60">
        <v>73</v>
      </c>
      <c r="E60" s="39" t="s">
        <v>16</v>
      </c>
      <c r="F60">
        <f>MEDIAN(A$2:A$101)</f>
        <v>99</v>
      </c>
      <c r="G60">
        <f>MEDIAN(B$2:B$101)</f>
        <v>94.5</v>
      </c>
      <c r="H60">
        <f>MEDIAN(C$2:C$101)</f>
        <v>73</v>
      </c>
      <c r="J60" s="91"/>
      <c r="K60" s="91"/>
      <c r="L60" s="91"/>
      <c r="M60" s="91"/>
      <c r="N60" s="91"/>
      <c r="O60" s="91"/>
    </row>
    <row r="61" spans="1:15" x14ac:dyDescent="0.25">
      <c r="A61">
        <v>96</v>
      </c>
      <c r="B61">
        <v>119</v>
      </c>
      <c r="C61">
        <v>70</v>
      </c>
      <c r="E61" s="39" t="s">
        <v>19</v>
      </c>
      <c r="F61">
        <f>MAX(A$2:A$101)</f>
        <v>121</v>
      </c>
      <c r="G61">
        <f>MAX(B$2:B$101)</f>
        <v>122</v>
      </c>
      <c r="H61">
        <f>MAX(C$2:C$101)</f>
        <v>121</v>
      </c>
      <c r="J61" s="91"/>
      <c r="K61" s="91"/>
      <c r="L61" s="91"/>
      <c r="M61" s="91"/>
      <c r="N61" s="91"/>
      <c r="O61" s="91"/>
    </row>
    <row r="62" spans="1:15" x14ac:dyDescent="0.25">
      <c r="A62">
        <v>96</v>
      </c>
      <c r="B62">
        <v>117</v>
      </c>
      <c r="C62">
        <v>68</v>
      </c>
      <c r="E62" s="39" t="s">
        <v>20</v>
      </c>
      <c r="F62">
        <f>MIN(A$2:A$101)</f>
        <v>68</v>
      </c>
      <c r="G62">
        <f>MIN(B$2:B$101)</f>
        <v>68</v>
      </c>
      <c r="H62">
        <f>MIN(C$2:C$101)</f>
        <v>68</v>
      </c>
      <c r="J62" s="91"/>
      <c r="K62" s="91"/>
      <c r="L62" s="91"/>
      <c r="M62" s="91"/>
      <c r="N62" s="91"/>
      <c r="O62" s="91"/>
    </row>
    <row r="63" spans="1:15" x14ac:dyDescent="0.25">
      <c r="A63">
        <v>102</v>
      </c>
      <c r="B63">
        <v>110</v>
      </c>
      <c r="C63">
        <v>68</v>
      </c>
      <c r="E63" s="39" t="s">
        <v>23</v>
      </c>
      <c r="F63">
        <f>F61-F62</f>
        <v>53</v>
      </c>
      <c r="G63">
        <f>G61-G62</f>
        <v>54</v>
      </c>
      <c r="H63">
        <f>H61-H62</f>
        <v>53</v>
      </c>
      <c r="J63" s="91"/>
      <c r="K63" s="91"/>
      <c r="L63" s="91"/>
      <c r="M63" s="91"/>
      <c r="N63" s="91"/>
      <c r="O63" s="91"/>
    </row>
    <row r="64" spans="1:15" x14ac:dyDescent="0.25">
      <c r="A64">
        <v>102</v>
      </c>
      <c r="B64">
        <v>111</v>
      </c>
      <c r="C64">
        <v>68</v>
      </c>
    </row>
    <row r="65" spans="1:15" x14ac:dyDescent="0.25">
      <c r="A65">
        <v>100</v>
      </c>
      <c r="B65">
        <v>110</v>
      </c>
      <c r="C65">
        <v>73</v>
      </c>
    </row>
    <row r="66" spans="1:15" x14ac:dyDescent="0.25">
      <c r="A66">
        <v>108</v>
      </c>
      <c r="B66">
        <v>114</v>
      </c>
      <c r="C66">
        <v>101</v>
      </c>
      <c r="D66" s="1" t="s">
        <v>248</v>
      </c>
      <c r="E66" s="39"/>
    </row>
    <row r="67" spans="1:15" x14ac:dyDescent="0.25">
      <c r="A67">
        <v>95</v>
      </c>
      <c r="B67">
        <v>110</v>
      </c>
      <c r="C67">
        <v>71</v>
      </c>
      <c r="F67" s="55" t="s">
        <v>234</v>
      </c>
      <c r="G67" s="55" t="s">
        <v>235</v>
      </c>
      <c r="H67" s="55" t="s">
        <v>236</v>
      </c>
    </row>
    <row r="68" spans="1:15" x14ac:dyDescent="0.25">
      <c r="A68">
        <v>96</v>
      </c>
      <c r="B68">
        <v>111</v>
      </c>
      <c r="C68">
        <v>71</v>
      </c>
      <c r="E68" s="39" t="s">
        <v>249</v>
      </c>
      <c r="F68">
        <f>PERCENTILE(A$2:A$101,0.1)</f>
        <v>86</v>
      </c>
      <c r="G68">
        <f>PERCENTILE(B$2:B$101,0.1)</f>
        <v>75.8</v>
      </c>
      <c r="H68">
        <f>PERCENTILE(C$2:C$101,0.1)</f>
        <v>68</v>
      </c>
      <c r="J68" s="91" t="s">
        <v>252</v>
      </c>
      <c r="K68" s="91"/>
      <c r="L68" s="91"/>
      <c r="M68" s="91"/>
      <c r="N68" s="91"/>
      <c r="O68" s="91"/>
    </row>
    <row r="69" spans="1:15" x14ac:dyDescent="0.25">
      <c r="A69">
        <v>99</v>
      </c>
      <c r="B69">
        <v>119</v>
      </c>
      <c r="C69">
        <v>81</v>
      </c>
      <c r="E69" s="39" t="s">
        <v>250</v>
      </c>
      <c r="F69">
        <f>PERCENTILE(A$2:A$101,0.25)</f>
        <v>90.75</v>
      </c>
      <c r="G69">
        <f>PERCENTILE(B$2:B$101,0.25)</f>
        <v>79</v>
      </c>
      <c r="H69">
        <f>PERCENTILE(C$2:C$101,0.25)</f>
        <v>70</v>
      </c>
      <c r="J69" s="91"/>
      <c r="K69" s="91"/>
      <c r="L69" s="91"/>
      <c r="M69" s="91"/>
      <c r="N69" s="91"/>
      <c r="O69" s="91"/>
    </row>
    <row r="70" spans="1:15" x14ac:dyDescent="0.25">
      <c r="A70">
        <v>95</v>
      </c>
      <c r="B70">
        <v>106</v>
      </c>
      <c r="C70">
        <v>68</v>
      </c>
      <c r="E70" s="39" t="s">
        <v>152</v>
      </c>
      <c r="F70">
        <f>PERCENTILE(A$2:A$101,0.5)</f>
        <v>99</v>
      </c>
      <c r="G70">
        <f>PERCENTILE(B$2:B$101,0.5)</f>
        <v>94.5</v>
      </c>
      <c r="H70">
        <f>PERCENTILE(C$2:C$101,0.5)</f>
        <v>73</v>
      </c>
      <c r="J70" s="91"/>
      <c r="K70" s="91"/>
      <c r="L70" s="91"/>
      <c r="M70" s="91"/>
      <c r="N70" s="91"/>
      <c r="O70" s="91"/>
    </row>
    <row r="71" spans="1:15" x14ac:dyDescent="0.25">
      <c r="A71">
        <v>95</v>
      </c>
      <c r="B71">
        <v>105</v>
      </c>
      <c r="C71">
        <v>80</v>
      </c>
      <c r="E71" s="39" t="s">
        <v>251</v>
      </c>
      <c r="F71">
        <f>PERCENTILE(A$2:A$101,0.75)</f>
        <v>105.25</v>
      </c>
      <c r="G71">
        <f>PERCENTILE(B$2:B$101,0.75)</f>
        <v>110.25</v>
      </c>
      <c r="H71">
        <f>PERCENTILE(C$2:C$101,0.75)</f>
        <v>81</v>
      </c>
      <c r="J71" s="91"/>
      <c r="K71" s="91"/>
      <c r="L71" s="91"/>
      <c r="M71" s="91"/>
      <c r="N71" s="91"/>
      <c r="O71" s="91"/>
    </row>
    <row r="72" spans="1:15" x14ac:dyDescent="0.25">
      <c r="A72">
        <v>102</v>
      </c>
      <c r="B72">
        <v>106</v>
      </c>
      <c r="C72">
        <v>109</v>
      </c>
      <c r="E72" s="39" t="s">
        <v>230</v>
      </c>
      <c r="F72">
        <f>PERCENTILE(A$2:A$101,0.9)</f>
        <v>111.10000000000001</v>
      </c>
      <c r="G72">
        <f>PERCENTILE(B$2:B$101,0.9)</f>
        <v>115</v>
      </c>
      <c r="H72">
        <f>PERCENTILE(C$2:C$101,0.9)</f>
        <v>90</v>
      </c>
      <c r="J72" s="91"/>
      <c r="K72" s="91"/>
      <c r="L72" s="91"/>
      <c r="M72" s="91"/>
      <c r="N72" s="91"/>
      <c r="O72" s="91"/>
    </row>
    <row r="73" spans="1:15" x14ac:dyDescent="0.25">
      <c r="A73">
        <v>90</v>
      </c>
      <c r="B73">
        <v>115</v>
      </c>
      <c r="C73">
        <v>74</v>
      </c>
    </row>
    <row r="74" spans="1:15" x14ac:dyDescent="0.25">
      <c r="A74">
        <v>92</v>
      </c>
      <c r="B74">
        <v>118</v>
      </c>
      <c r="C74">
        <v>79</v>
      </c>
    </row>
    <row r="75" spans="1:15" x14ac:dyDescent="0.25">
      <c r="A75">
        <v>111</v>
      </c>
      <c r="B75">
        <v>109</v>
      </c>
      <c r="C75">
        <v>94</v>
      </c>
      <c r="D75" s="1" t="s">
        <v>253</v>
      </c>
    </row>
    <row r="76" spans="1:15" x14ac:dyDescent="0.25">
      <c r="A76">
        <v>88</v>
      </c>
      <c r="B76">
        <v>106</v>
      </c>
      <c r="C76">
        <v>69</v>
      </c>
      <c r="E76" t="s">
        <v>254</v>
      </c>
    </row>
    <row r="77" spans="1:15" x14ac:dyDescent="0.25">
      <c r="A77">
        <v>119</v>
      </c>
      <c r="B77">
        <v>113</v>
      </c>
      <c r="C77">
        <v>75</v>
      </c>
      <c r="E77" t="s">
        <v>255</v>
      </c>
    </row>
    <row r="78" spans="1:15" x14ac:dyDescent="0.25">
      <c r="A78">
        <v>99</v>
      </c>
      <c r="B78">
        <v>115</v>
      </c>
      <c r="C78">
        <v>73</v>
      </c>
      <c r="E78" t="s">
        <v>256</v>
      </c>
    </row>
    <row r="79" spans="1:15" x14ac:dyDescent="0.25">
      <c r="A79">
        <v>102</v>
      </c>
      <c r="B79">
        <v>114</v>
      </c>
      <c r="C79">
        <v>69</v>
      </c>
    </row>
    <row r="80" spans="1:15" x14ac:dyDescent="0.25">
      <c r="A80">
        <v>106</v>
      </c>
      <c r="B80">
        <v>112</v>
      </c>
      <c r="C80">
        <v>85</v>
      </c>
    </row>
    <row r="81" spans="1:3" x14ac:dyDescent="0.25">
      <c r="A81">
        <v>121</v>
      </c>
      <c r="B81">
        <v>111</v>
      </c>
      <c r="C81">
        <v>68</v>
      </c>
    </row>
    <row r="82" spans="1:3" x14ac:dyDescent="0.25">
      <c r="A82">
        <v>105</v>
      </c>
      <c r="B82">
        <v>101</v>
      </c>
      <c r="C82">
        <v>84</v>
      </c>
    </row>
    <row r="83" spans="1:3" x14ac:dyDescent="0.25">
      <c r="A83">
        <v>89</v>
      </c>
      <c r="B83">
        <v>112</v>
      </c>
      <c r="C83">
        <v>68</v>
      </c>
    </row>
    <row r="84" spans="1:3" x14ac:dyDescent="0.25">
      <c r="A84">
        <v>114</v>
      </c>
      <c r="B84">
        <v>106</v>
      </c>
      <c r="C84">
        <v>80</v>
      </c>
    </row>
    <row r="85" spans="1:3" x14ac:dyDescent="0.25">
      <c r="A85">
        <v>86</v>
      </c>
      <c r="B85">
        <v>104</v>
      </c>
      <c r="C85">
        <v>69</v>
      </c>
    </row>
    <row r="86" spans="1:3" x14ac:dyDescent="0.25">
      <c r="A86">
        <v>86</v>
      </c>
      <c r="B86">
        <v>101</v>
      </c>
      <c r="C86">
        <v>90</v>
      </c>
    </row>
    <row r="87" spans="1:3" x14ac:dyDescent="0.25">
      <c r="A87">
        <v>116</v>
      </c>
      <c r="B87">
        <v>115</v>
      </c>
      <c r="C87">
        <v>87</v>
      </c>
    </row>
    <row r="88" spans="1:3" x14ac:dyDescent="0.25">
      <c r="A88">
        <v>110</v>
      </c>
      <c r="B88">
        <v>112</v>
      </c>
      <c r="C88">
        <v>81</v>
      </c>
    </row>
    <row r="89" spans="1:3" x14ac:dyDescent="0.25">
      <c r="A89">
        <v>97</v>
      </c>
      <c r="B89">
        <v>109</v>
      </c>
      <c r="C89">
        <v>70</v>
      </c>
    </row>
    <row r="90" spans="1:3" x14ac:dyDescent="0.25">
      <c r="A90">
        <v>102</v>
      </c>
      <c r="B90">
        <v>115</v>
      </c>
      <c r="C90">
        <v>73</v>
      </c>
    </row>
    <row r="91" spans="1:3" x14ac:dyDescent="0.25">
      <c r="A91">
        <v>101</v>
      </c>
      <c r="B91">
        <v>107</v>
      </c>
      <c r="C91">
        <v>75</v>
      </c>
    </row>
    <row r="92" spans="1:3" x14ac:dyDescent="0.25">
      <c r="A92">
        <v>98</v>
      </c>
      <c r="B92">
        <v>109</v>
      </c>
      <c r="C92">
        <v>70</v>
      </c>
    </row>
    <row r="93" spans="1:3" x14ac:dyDescent="0.25">
      <c r="A93">
        <v>87</v>
      </c>
      <c r="B93">
        <v>109</v>
      </c>
      <c r="C93">
        <v>82</v>
      </c>
    </row>
    <row r="94" spans="1:3" x14ac:dyDescent="0.25">
      <c r="A94">
        <v>88</v>
      </c>
      <c r="B94">
        <v>106</v>
      </c>
      <c r="C94">
        <v>72</v>
      </c>
    </row>
    <row r="95" spans="1:3" x14ac:dyDescent="0.25">
      <c r="A95">
        <v>98</v>
      </c>
      <c r="B95">
        <v>105</v>
      </c>
      <c r="C95">
        <v>79</v>
      </c>
    </row>
    <row r="96" spans="1:3" x14ac:dyDescent="0.25">
      <c r="A96">
        <v>106</v>
      </c>
      <c r="B96">
        <v>106</v>
      </c>
      <c r="C96">
        <v>73</v>
      </c>
    </row>
    <row r="97" spans="1:3" x14ac:dyDescent="0.25">
      <c r="A97">
        <v>100</v>
      </c>
      <c r="B97">
        <v>112</v>
      </c>
      <c r="C97">
        <v>107</v>
      </c>
    </row>
    <row r="98" spans="1:3" x14ac:dyDescent="0.25">
      <c r="A98">
        <v>116</v>
      </c>
      <c r="B98">
        <v>104</v>
      </c>
      <c r="C98">
        <v>69</v>
      </c>
    </row>
    <row r="99" spans="1:3" x14ac:dyDescent="0.25">
      <c r="A99">
        <v>99</v>
      </c>
      <c r="B99">
        <v>122</v>
      </c>
      <c r="C99">
        <v>73</v>
      </c>
    </row>
    <row r="100" spans="1:3" x14ac:dyDescent="0.25">
      <c r="A100">
        <v>97</v>
      </c>
      <c r="B100">
        <v>109</v>
      </c>
      <c r="C100">
        <v>80</v>
      </c>
    </row>
    <row r="101" spans="1:3" x14ac:dyDescent="0.25">
      <c r="A101">
        <v>100</v>
      </c>
      <c r="B101">
        <v>118</v>
      </c>
      <c r="C101">
        <v>110</v>
      </c>
    </row>
  </sheetData>
  <mergeCells count="10">
    <mergeCell ref="E2:R2"/>
    <mergeCell ref="E23:R23"/>
    <mergeCell ref="E24:H24"/>
    <mergeCell ref="J24:M24"/>
    <mergeCell ref="O24:R24"/>
    <mergeCell ref="J59:O63"/>
    <mergeCell ref="J68:O72"/>
    <mergeCell ref="E3:H3"/>
    <mergeCell ref="J3:M3"/>
    <mergeCell ref="O3:R3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72"/>
  <sheetViews>
    <sheetView workbookViewId="0"/>
  </sheetViews>
  <sheetFormatPr baseColWidth="10" defaultRowHeight="15" x14ac:dyDescent="0.25"/>
  <cols>
    <col min="1" max="1" width="13.5703125" bestFit="1" customWidth="1"/>
    <col min="6" max="6" width="17.7109375" bestFit="1" customWidth="1"/>
  </cols>
  <sheetData>
    <row r="1" spans="1:7" x14ac:dyDescent="0.25">
      <c r="A1" s="71" t="s">
        <v>354</v>
      </c>
      <c r="B1" s="71" t="s">
        <v>355</v>
      </c>
      <c r="C1" s="71" t="s">
        <v>356</v>
      </c>
      <c r="E1" s="72" t="s">
        <v>244</v>
      </c>
    </row>
    <row r="2" spans="1:7" x14ac:dyDescent="0.25">
      <c r="A2" s="71" t="s">
        <v>358</v>
      </c>
      <c r="B2" s="71">
        <v>0.32</v>
      </c>
      <c r="C2" s="71">
        <v>896</v>
      </c>
    </row>
    <row r="3" spans="1:7" x14ac:dyDescent="0.25">
      <c r="A3" s="71" t="s">
        <v>358</v>
      </c>
      <c r="B3" s="71">
        <v>0.35</v>
      </c>
      <c r="C3" s="71">
        <v>1354</v>
      </c>
      <c r="F3" s="34" t="s">
        <v>155</v>
      </c>
      <c r="G3" s="32">
        <f>MEDIAN(C2:C34)</f>
        <v>3733</v>
      </c>
    </row>
    <row r="4" spans="1:7" x14ac:dyDescent="0.25">
      <c r="A4" s="71" t="s">
        <v>358</v>
      </c>
      <c r="B4" s="71">
        <v>0.4</v>
      </c>
      <c r="C4" s="71">
        <v>1133</v>
      </c>
      <c r="F4" s="34" t="s">
        <v>210</v>
      </c>
      <c r="G4" s="32">
        <f>PERCENTILE(C2:C34,0.25)</f>
        <v>1558</v>
      </c>
    </row>
    <row r="5" spans="1:7" x14ac:dyDescent="0.25">
      <c r="A5" s="71" t="s">
        <v>357</v>
      </c>
      <c r="B5" s="71">
        <v>0.44</v>
      </c>
      <c r="C5" s="71">
        <v>1319</v>
      </c>
      <c r="F5" s="34" t="s">
        <v>211</v>
      </c>
      <c r="G5" s="32">
        <f>PERCENTILE(C2:C34,0.75)</f>
        <v>5339</v>
      </c>
    </row>
    <row r="6" spans="1:7" x14ac:dyDescent="0.25">
      <c r="A6" s="71" t="s">
        <v>360</v>
      </c>
      <c r="B6" s="71">
        <v>0.44</v>
      </c>
      <c r="C6" s="71">
        <v>1319</v>
      </c>
      <c r="F6" s="34"/>
      <c r="G6" s="32"/>
    </row>
    <row r="7" spans="1:7" x14ac:dyDescent="0.25">
      <c r="A7" s="71" t="s">
        <v>358</v>
      </c>
      <c r="B7" s="71">
        <v>0.45</v>
      </c>
      <c r="C7" s="71">
        <v>1191</v>
      </c>
      <c r="F7" s="34" t="s">
        <v>213</v>
      </c>
      <c r="G7" s="32">
        <f>G5-G4</f>
        <v>3781</v>
      </c>
    </row>
    <row r="8" spans="1:7" x14ac:dyDescent="0.25">
      <c r="A8" s="71" t="s">
        <v>357</v>
      </c>
      <c r="B8" s="71">
        <v>0.51</v>
      </c>
      <c r="C8" s="71">
        <v>1337</v>
      </c>
      <c r="F8" s="34" t="s">
        <v>214</v>
      </c>
      <c r="G8" s="32">
        <f>G7*1.5</f>
        <v>5671.5</v>
      </c>
    </row>
    <row r="9" spans="1:7" x14ac:dyDescent="0.25">
      <c r="A9" s="71" t="s">
        <v>358</v>
      </c>
      <c r="B9" s="71">
        <v>0.51</v>
      </c>
      <c r="C9" s="71">
        <v>1558</v>
      </c>
      <c r="F9" s="34"/>
      <c r="G9" s="32"/>
    </row>
    <row r="10" spans="1:7" x14ac:dyDescent="0.25">
      <c r="A10" s="71" t="s">
        <v>358</v>
      </c>
      <c r="B10" s="71">
        <v>0.52</v>
      </c>
      <c r="C10" s="71">
        <v>2555</v>
      </c>
      <c r="F10" s="34"/>
      <c r="G10" s="32"/>
    </row>
    <row r="11" spans="1:7" x14ac:dyDescent="0.25">
      <c r="A11" s="71" t="s">
        <v>358</v>
      </c>
      <c r="B11" s="71">
        <v>0.62</v>
      </c>
      <c r="C11" s="71">
        <v>1397</v>
      </c>
      <c r="F11" s="34" t="s">
        <v>216</v>
      </c>
      <c r="G11" s="32">
        <f>G5+G8</f>
        <v>11010.5</v>
      </c>
    </row>
    <row r="12" spans="1:7" x14ac:dyDescent="0.25">
      <c r="A12" s="71" t="s">
        <v>358</v>
      </c>
      <c r="B12" s="71">
        <v>0.66</v>
      </c>
      <c r="C12" s="71">
        <v>1885</v>
      </c>
      <c r="F12" s="34" t="s">
        <v>217</v>
      </c>
      <c r="G12" s="32">
        <f>G4-G11</f>
        <v>-9452.5</v>
      </c>
    </row>
    <row r="13" spans="1:7" x14ac:dyDescent="0.25">
      <c r="A13" s="71" t="s">
        <v>358</v>
      </c>
      <c r="B13" s="71">
        <v>0.7</v>
      </c>
      <c r="C13" s="71">
        <v>1915</v>
      </c>
      <c r="F13" s="34"/>
      <c r="G13" s="32"/>
    </row>
    <row r="14" spans="1:7" x14ac:dyDescent="0.25">
      <c r="A14" s="71" t="s">
        <v>357</v>
      </c>
      <c r="B14" s="71">
        <v>0.71</v>
      </c>
      <c r="C14" s="71">
        <v>2327</v>
      </c>
      <c r="F14" s="34"/>
      <c r="G14" s="32"/>
    </row>
    <row r="15" spans="1:7" x14ac:dyDescent="0.25">
      <c r="A15" s="71" t="s">
        <v>360</v>
      </c>
      <c r="B15" s="71">
        <v>0.71</v>
      </c>
      <c r="C15" s="71">
        <v>2732</v>
      </c>
      <c r="F15" s="34" t="s">
        <v>219</v>
      </c>
      <c r="G15" s="32">
        <v>8775</v>
      </c>
    </row>
    <row r="16" spans="1:7" x14ac:dyDescent="0.25">
      <c r="A16" s="71" t="s">
        <v>361</v>
      </c>
      <c r="B16" s="71">
        <v>0.76</v>
      </c>
      <c r="C16" s="71">
        <v>3808</v>
      </c>
      <c r="F16" s="34" t="s">
        <v>220</v>
      </c>
      <c r="G16" s="32">
        <v>896</v>
      </c>
    </row>
    <row r="17" spans="1:7" x14ac:dyDescent="0.25">
      <c r="A17" s="71" t="s">
        <v>358</v>
      </c>
      <c r="B17" s="71">
        <v>0.77</v>
      </c>
      <c r="C17" s="71">
        <v>2828</v>
      </c>
    </row>
    <row r="18" spans="1:7" x14ac:dyDescent="0.25">
      <c r="A18" s="71" t="s">
        <v>358</v>
      </c>
      <c r="B18" s="71">
        <v>0.84</v>
      </c>
      <c r="C18" s="71">
        <v>2621</v>
      </c>
    </row>
    <row r="19" spans="1:7" x14ac:dyDescent="0.25">
      <c r="A19" s="71" t="s">
        <v>358</v>
      </c>
      <c r="B19" s="71">
        <v>0.9</v>
      </c>
      <c r="C19" s="71">
        <v>3733</v>
      </c>
    </row>
    <row r="20" spans="1:7" x14ac:dyDescent="0.25">
      <c r="A20" s="71" t="s">
        <v>358</v>
      </c>
      <c r="B20" s="71">
        <v>0.9</v>
      </c>
      <c r="C20" s="71">
        <v>3921</v>
      </c>
    </row>
    <row r="21" spans="1:7" x14ac:dyDescent="0.25">
      <c r="A21" s="71" t="s">
        <v>358</v>
      </c>
      <c r="B21" s="71">
        <v>0.91</v>
      </c>
      <c r="C21" s="71">
        <v>5106</v>
      </c>
    </row>
    <row r="22" spans="1:7" x14ac:dyDescent="0.25">
      <c r="A22" s="71" t="s">
        <v>357</v>
      </c>
      <c r="B22" s="71">
        <v>1</v>
      </c>
      <c r="C22" s="71">
        <v>4868</v>
      </c>
    </row>
    <row r="23" spans="1:7" x14ac:dyDescent="0.25">
      <c r="A23" s="71" t="s">
        <v>360</v>
      </c>
      <c r="B23" s="71">
        <v>1.01</v>
      </c>
      <c r="C23" s="71">
        <v>7038</v>
      </c>
    </row>
    <row r="24" spans="1:7" x14ac:dyDescent="0.25">
      <c r="A24" s="71" t="s">
        <v>358</v>
      </c>
      <c r="B24" s="71">
        <v>1.02</v>
      </c>
      <c r="C24" s="71">
        <v>4282</v>
      </c>
    </row>
    <row r="25" spans="1:7" x14ac:dyDescent="0.25">
      <c r="A25" s="71" t="s">
        <v>358</v>
      </c>
      <c r="B25" s="71">
        <v>1.02</v>
      </c>
      <c r="C25" s="71">
        <v>6943</v>
      </c>
    </row>
    <row r="26" spans="1:7" x14ac:dyDescent="0.25">
      <c r="A26" s="71" t="s">
        <v>358</v>
      </c>
      <c r="B26" s="71">
        <v>1.08</v>
      </c>
      <c r="C26" s="71">
        <v>8775</v>
      </c>
    </row>
    <row r="27" spans="1:7" x14ac:dyDescent="0.25">
      <c r="A27" s="71" t="s">
        <v>359</v>
      </c>
      <c r="B27" s="71">
        <v>1.1599999999999999</v>
      </c>
      <c r="C27" s="71">
        <v>5161</v>
      </c>
    </row>
    <row r="28" spans="1:7" x14ac:dyDescent="0.25">
      <c r="A28" s="71" t="s">
        <v>358</v>
      </c>
      <c r="B28" s="71">
        <v>1.19</v>
      </c>
      <c r="C28" s="71">
        <v>5339</v>
      </c>
      <c r="E28" s="72" t="s">
        <v>245</v>
      </c>
    </row>
    <row r="29" spans="1:7" x14ac:dyDescent="0.25">
      <c r="A29" s="71" t="s">
        <v>358</v>
      </c>
      <c r="B29" s="71">
        <v>1.21</v>
      </c>
      <c r="C29" s="71">
        <v>5154</v>
      </c>
    </row>
    <row r="30" spans="1:7" x14ac:dyDescent="0.25">
      <c r="A30" s="71" t="s">
        <v>358</v>
      </c>
      <c r="B30" s="71">
        <v>1.21</v>
      </c>
      <c r="C30" s="71">
        <v>7382</v>
      </c>
      <c r="F30" s="34" t="s">
        <v>155</v>
      </c>
      <c r="G30" s="32">
        <f>MEDIAN(B2:B34)</f>
        <v>0.84</v>
      </c>
    </row>
    <row r="31" spans="1:7" x14ac:dyDescent="0.25">
      <c r="A31" s="71" t="s">
        <v>358</v>
      </c>
      <c r="B31" s="71">
        <v>1.56</v>
      </c>
      <c r="C31" s="71">
        <v>13925</v>
      </c>
      <c r="F31" s="34" t="s">
        <v>210</v>
      </c>
      <c r="G31" s="32">
        <f>PERCENTILE(B2:B34,0.25)</f>
        <v>0.52</v>
      </c>
    </row>
    <row r="32" spans="1:7" x14ac:dyDescent="0.25">
      <c r="A32" s="71" t="s">
        <v>358</v>
      </c>
      <c r="B32" s="71">
        <v>2.0299999999999998</v>
      </c>
      <c r="C32" s="71">
        <v>13080</v>
      </c>
      <c r="F32" s="34" t="s">
        <v>211</v>
      </c>
      <c r="G32" s="32">
        <f>PERCENTILE(B2:B34,0.75)</f>
        <v>1.08</v>
      </c>
    </row>
    <row r="33" spans="1:7" x14ac:dyDescent="0.25">
      <c r="A33" s="71" t="s">
        <v>358</v>
      </c>
      <c r="B33" s="71">
        <v>2.35</v>
      </c>
      <c r="C33" s="71">
        <v>20413</v>
      </c>
      <c r="F33" s="34"/>
      <c r="G33" s="32"/>
    </row>
    <row r="34" spans="1:7" x14ac:dyDescent="0.25">
      <c r="A34" s="71" t="s">
        <v>357</v>
      </c>
      <c r="B34" s="71">
        <v>5.03</v>
      </c>
      <c r="C34" s="71">
        <v>44312</v>
      </c>
      <c r="F34" s="34" t="s">
        <v>213</v>
      </c>
      <c r="G34" s="32">
        <f>G32-G31</f>
        <v>0.56000000000000005</v>
      </c>
    </row>
    <row r="35" spans="1:7" x14ac:dyDescent="0.25">
      <c r="F35" s="34" t="s">
        <v>214</v>
      </c>
      <c r="G35" s="32">
        <f>G34*1.5</f>
        <v>0.84000000000000008</v>
      </c>
    </row>
    <row r="36" spans="1:7" x14ac:dyDescent="0.25">
      <c r="F36" s="34"/>
      <c r="G36" s="32"/>
    </row>
    <row r="37" spans="1:7" x14ac:dyDescent="0.25">
      <c r="F37" s="34"/>
      <c r="G37" s="32"/>
    </row>
    <row r="38" spans="1:7" x14ac:dyDescent="0.25">
      <c r="F38" s="34" t="s">
        <v>216</v>
      </c>
      <c r="G38" s="32">
        <f>G32+G35</f>
        <v>1.9200000000000002</v>
      </c>
    </row>
    <row r="39" spans="1:7" x14ac:dyDescent="0.25">
      <c r="F39" s="34" t="s">
        <v>217</v>
      </c>
      <c r="G39" s="32">
        <f>G31-G38</f>
        <v>-1.4000000000000001</v>
      </c>
    </row>
    <row r="40" spans="1:7" x14ac:dyDescent="0.25">
      <c r="F40" s="34"/>
      <c r="G40" s="32"/>
    </row>
    <row r="41" spans="1:7" x14ac:dyDescent="0.25">
      <c r="F41" s="34"/>
      <c r="G41" s="32"/>
    </row>
    <row r="42" spans="1:7" x14ac:dyDescent="0.25">
      <c r="F42" s="34" t="s">
        <v>219</v>
      </c>
      <c r="G42" s="32">
        <v>1.56</v>
      </c>
    </row>
    <row r="43" spans="1:7" x14ac:dyDescent="0.25">
      <c r="F43" s="34" t="s">
        <v>220</v>
      </c>
      <c r="G43" s="32">
        <v>0.32</v>
      </c>
    </row>
    <row r="56" spans="5:5" x14ac:dyDescent="0.25">
      <c r="E56" s="1" t="s">
        <v>246</v>
      </c>
    </row>
    <row r="72" spans="6:8" x14ac:dyDescent="0.25">
      <c r="F72" s="87" t="s">
        <v>91</v>
      </c>
      <c r="G72" s="87"/>
      <c r="H72">
        <f>CORREL(B2:B34,C2:C34)</f>
        <v>0.9848740963547129</v>
      </c>
    </row>
  </sheetData>
  <sortState ref="A2:C34">
    <sortCondition ref="B2:B34"/>
  </sortState>
  <mergeCells count="1">
    <mergeCell ref="F72:G72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39"/>
  <sheetViews>
    <sheetView workbookViewId="0"/>
  </sheetViews>
  <sheetFormatPr baseColWidth="10" defaultRowHeight="15" x14ac:dyDescent="0.25"/>
  <sheetData>
    <row r="1" spans="1:5" x14ac:dyDescent="0.25">
      <c r="A1" s="73" t="s">
        <v>362</v>
      </c>
      <c r="B1" s="73" t="s">
        <v>363</v>
      </c>
      <c r="C1" s="73" t="s">
        <v>364</v>
      </c>
      <c r="E1" s="73" t="s">
        <v>244</v>
      </c>
    </row>
    <row r="2" spans="1:5" x14ac:dyDescent="0.25">
      <c r="A2" t="s">
        <v>365</v>
      </c>
      <c r="B2">
        <v>250</v>
      </c>
      <c r="C2">
        <v>15</v>
      </c>
    </row>
    <row r="3" spans="1:5" x14ac:dyDescent="0.25">
      <c r="A3" t="s">
        <v>366</v>
      </c>
      <c r="B3">
        <v>31</v>
      </c>
      <c r="C3">
        <v>6</v>
      </c>
    </row>
    <row r="4" spans="1:5" x14ac:dyDescent="0.25">
      <c r="A4" t="s">
        <v>367</v>
      </c>
      <c r="B4">
        <v>278</v>
      </c>
      <c r="C4">
        <v>15</v>
      </c>
    </row>
    <row r="5" spans="1:5" x14ac:dyDescent="0.25">
      <c r="A5" t="s">
        <v>368</v>
      </c>
      <c r="B5">
        <v>365</v>
      </c>
      <c r="C5">
        <v>12</v>
      </c>
    </row>
    <row r="6" spans="1:5" x14ac:dyDescent="0.25">
      <c r="A6" t="s">
        <v>369</v>
      </c>
      <c r="B6">
        <v>330</v>
      </c>
      <c r="C6">
        <v>20</v>
      </c>
    </row>
    <row r="7" spans="1:5" x14ac:dyDescent="0.25">
      <c r="A7" t="s">
        <v>370</v>
      </c>
      <c r="B7">
        <v>151</v>
      </c>
      <c r="C7">
        <v>8</v>
      </c>
    </row>
    <row r="8" spans="1:5" x14ac:dyDescent="0.25">
      <c r="A8" t="s">
        <v>371</v>
      </c>
      <c r="B8">
        <v>406</v>
      </c>
      <c r="C8">
        <v>12</v>
      </c>
    </row>
    <row r="9" spans="1:5" x14ac:dyDescent="0.25">
      <c r="A9" t="s">
        <v>372</v>
      </c>
      <c r="B9">
        <v>42</v>
      </c>
      <c r="C9">
        <v>7</v>
      </c>
    </row>
    <row r="10" spans="1:5" x14ac:dyDescent="0.25">
      <c r="A10" t="s">
        <v>373</v>
      </c>
      <c r="B10">
        <v>122</v>
      </c>
      <c r="C10">
        <v>5</v>
      </c>
    </row>
    <row r="11" spans="1:5" x14ac:dyDescent="0.25">
      <c r="A11" t="s">
        <v>374</v>
      </c>
      <c r="B11">
        <v>365</v>
      </c>
      <c r="C11">
        <v>15</v>
      </c>
    </row>
    <row r="12" spans="1:5" x14ac:dyDescent="0.25">
      <c r="A12" t="s">
        <v>375</v>
      </c>
      <c r="B12">
        <v>112</v>
      </c>
      <c r="C12">
        <v>10</v>
      </c>
    </row>
    <row r="13" spans="1:5" x14ac:dyDescent="0.25">
      <c r="A13" t="s">
        <v>376</v>
      </c>
      <c r="B13">
        <v>231</v>
      </c>
      <c r="C13">
        <v>12</v>
      </c>
    </row>
    <row r="14" spans="1:5" x14ac:dyDescent="0.25">
      <c r="A14" t="s">
        <v>377</v>
      </c>
      <c r="B14">
        <v>201</v>
      </c>
      <c r="C14">
        <v>8</v>
      </c>
    </row>
    <row r="15" spans="1:5" x14ac:dyDescent="0.25">
      <c r="A15" t="s">
        <v>378</v>
      </c>
      <c r="B15">
        <v>68</v>
      </c>
      <c r="C15">
        <v>4</v>
      </c>
    </row>
    <row r="16" spans="1:5" x14ac:dyDescent="0.25">
      <c r="A16" t="s">
        <v>379</v>
      </c>
      <c r="B16">
        <v>31</v>
      </c>
      <c r="C16">
        <v>5</v>
      </c>
    </row>
    <row r="17" spans="1:8" x14ac:dyDescent="0.25">
      <c r="A17" t="s">
        <v>380</v>
      </c>
      <c r="B17">
        <v>645</v>
      </c>
      <c r="C17">
        <v>40</v>
      </c>
    </row>
    <row r="18" spans="1:8" x14ac:dyDescent="0.25">
      <c r="A18" t="s">
        <v>381</v>
      </c>
      <c r="B18">
        <v>63</v>
      </c>
      <c r="C18">
        <v>20</v>
      </c>
      <c r="E18" s="73" t="s">
        <v>245</v>
      </c>
    </row>
    <row r="19" spans="1:8" x14ac:dyDescent="0.25">
      <c r="A19" t="s">
        <v>382</v>
      </c>
      <c r="B19">
        <v>257</v>
      </c>
      <c r="C19">
        <v>20</v>
      </c>
    </row>
    <row r="20" spans="1:8" x14ac:dyDescent="0.25">
      <c r="A20" t="s">
        <v>383</v>
      </c>
      <c r="B20">
        <v>238</v>
      </c>
      <c r="C20">
        <v>25</v>
      </c>
    </row>
    <row r="21" spans="1:8" x14ac:dyDescent="0.25">
      <c r="A21" t="s">
        <v>384</v>
      </c>
      <c r="B21">
        <v>425</v>
      </c>
      <c r="C21">
        <v>10</v>
      </c>
      <c r="E21" s="73" t="s">
        <v>246</v>
      </c>
    </row>
    <row r="22" spans="1:8" x14ac:dyDescent="0.25">
      <c r="A22" t="s">
        <v>385</v>
      </c>
      <c r="B22">
        <v>100</v>
      </c>
      <c r="C22">
        <v>15</v>
      </c>
      <c r="E22" s="87" t="s">
        <v>91</v>
      </c>
      <c r="F22" s="87"/>
      <c r="G22" s="87"/>
      <c r="H22">
        <f>CORREL(B2:B39,C2:C39)</f>
        <v>0.63107014142740492</v>
      </c>
    </row>
    <row r="23" spans="1:8" x14ac:dyDescent="0.25">
      <c r="A23" t="s">
        <v>386</v>
      </c>
      <c r="B23">
        <v>350</v>
      </c>
      <c r="C23">
        <v>12</v>
      </c>
    </row>
    <row r="24" spans="1:8" x14ac:dyDescent="0.25">
      <c r="A24" t="s">
        <v>387</v>
      </c>
      <c r="B24">
        <v>98</v>
      </c>
      <c r="C24">
        <v>12</v>
      </c>
    </row>
    <row r="25" spans="1:8" x14ac:dyDescent="0.25">
      <c r="A25" t="s">
        <v>388</v>
      </c>
      <c r="B25">
        <v>63</v>
      </c>
      <c r="C25">
        <v>5</v>
      </c>
    </row>
    <row r="26" spans="1:8" x14ac:dyDescent="0.25">
      <c r="A26" t="s">
        <v>389</v>
      </c>
      <c r="B26">
        <v>187</v>
      </c>
      <c r="C26">
        <v>20</v>
      </c>
    </row>
    <row r="27" spans="1:8" x14ac:dyDescent="0.25">
      <c r="A27" t="s">
        <v>390</v>
      </c>
      <c r="B27">
        <v>164</v>
      </c>
      <c r="C27">
        <v>15</v>
      </c>
    </row>
    <row r="28" spans="1:8" x14ac:dyDescent="0.25">
      <c r="A28" t="s">
        <v>391</v>
      </c>
      <c r="B28">
        <v>219</v>
      </c>
      <c r="C28">
        <v>18</v>
      </c>
    </row>
    <row r="29" spans="1:8" x14ac:dyDescent="0.25">
      <c r="A29" t="s">
        <v>392</v>
      </c>
      <c r="B29">
        <v>225</v>
      </c>
      <c r="C29">
        <v>25</v>
      </c>
    </row>
    <row r="30" spans="1:8" x14ac:dyDescent="0.25">
      <c r="A30" t="s">
        <v>393</v>
      </c>
      <c r="B30">
        <v>240</v>
      </c>
      <c r="C30">
        <v>20</v>
      </c>
    </row>
    <row r="31" spans="1:8" x14ac:dyDescent="0.25">
      <c r="A31" t="s">
        <v>394</v>
      </c>
      <c r="B31">
        <v>154</v>
      </c>
      <c r="C31">
        <v>12</v>
      </c>
    </row>
    <row r="32" spans="1:8" x14ac:dyDescent="0.25">
      <c r="A32" t="s">
        <v>395</v>
      </c>
      <c r="B32">
        <v>61</v>
      </c>
      <c r="C32">
        <v>12</v>
      </c>
    </row>
    <row r="33" spans="1:3" x14ac:dyDescent="0.25">
      <c r="A33" t="s">
        <v>396</v>
      </c>
      <c r="B33">
        <v>90</v>
      </c>
      <c r="C33">
        <v>12</v>
      </c>
    </row>
    <row r="34" spans="1:3" x14ac:dyDescent="0.25">
      <c r="A34" t="s">
        <v>397</v>
      </c>
      <c r="B34">
        <v>21</v>
      </c>
      <c r="C34">
        <v>3</v>
      </c>
    </row>
    <row r="35" spans="1:3" x14ac:dyDescent="0.25">
      <c r="A35" t="s">
        <v>398</v>
      </c>
      <c r="B35">
        <v>450</v>
      </c>
      <c r="C35">
        <v>15</v>
      </c>
    </row>
    <row r="36" spans="1:3" x14ac:dyDescent="0.25">
      <c r="A36" t="s">
        <v>399</v>
      </c>
      <c r="B36">
        <v>105</v>
      </c>
      <c r="C36">
        <v>16</v>
      </c>
    </row>
    <row r="37" spans="1:3" x14ac:dyDescent="0.25">
      <c r="A37" t="s">
        <v>400</v>
      </c>
      <c r="B37">
        <v>284</v>
      </c>
      <c r="C37">
        <v>15</v>
      </c>
    </row>
    <row r="38" spans="1:3" x14ac:dyDescent="0.25">
      <c r="A38" t="s">
        <v>401</v>
      </c>
      <c r="B38">
        <v>15</v>
      </c>
      <c r="C38">
        <v>1</v>
      </c>
    </row>
    <row r="39" spans="1:3" x14ac:dyDescent="0.25">
      <c r="A39" t="s">
        <v>402</v>
      </c>
      <c r="B39">
        <v>52</v>
      </c>
      <c r="C39">
        <v>7</v>
      </c>
    </row>
  </sheetData>
  <mergeCells count="1">
    <mergeCell ref="E22:G22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36"/>
  <sheetViews>
    <sheetView workbookViewId="0"/>
  </sheetViews>
  <sheetFormatPr baseColWidth="10" defaultRowHeight="15" x14ac:dyDescent="0.25"/>
  <cols>
    <col min="1" max="1" width="18.7109375" style="74" customWidth="1"/>
    <col min="2" max="2" width="22.42578125" style="74" customWidth="1"/>
    <col min="3" max="3" width="6.28515625" style="74" customWidth="1"/>
    <col min="4" max="4" width="12.5703125" style="74" customWidth="1"/>
    <col min="5" max="5" width="12" style="74" bestFit="1" customWidth="1"/>
    <col min="13" max="14" width="11.42578125" style="9"/>
  </cols>
  <sheetData>
    <row r="1" spans="1:14" x14ac:dyDescent="0.25">
      <c r="A1" s="1" t="s">
        <v>246</v>
      </c>
      <c r="F1" s="74" t="s">
        <v>403</v>
      </c>
      <c r="G1" s="74" t="s">
        <v>404</v>
      </c>
      <c r="H1" s="74" t="s">
        <v>405</v>
      </c>
      <c r="I1" s="74" t="s">
        <v>406</v>
      </c>
      <c r="J1" s="74" t="s">
        <v>407</v>
      </c>
      <c r="K1" s="74" t="s">
        <v>408</v>
      </c>
      <c r="L1" s="74" t="s">
        <v>409</v>
      </c>
      <c r="M1" s="9" t="s">
        <v>300</v>
      </c>
      <c r="N1" s="9" t="s">
        <v>410</v>
      </c>
    </row>
    <row r="2" spans="1:14" x14ac:dyDescent="0.25">
      <c r="F2" s="74">
        <v>2</v>
      </c>
      <c r="G2" s="74">
        <v>3</v>
      </c>
      <c r="H2" s="74">
        <v>10</v>
      </c>
      <c r="I2" s="74">
        <v>5</v>
      </c>
      <c r="J2" s="74">
        <v>165.45988818697035</v>
      </c>
      <c r="K2" s="74">
        <v>66.964079868774206</v>
      </c>
      <c r="L2" s="74">
        <v>780</v>
      </c>
      <c r="M2" s="9" t="str">
        <f>IF(F2=1,"Varón","Mujer")</f>
        <v>Mujer</v>
      </c>
      <c r="N2" s="9" t="str">
        <f>IF(G2=1,"CABA",IF(G2=2,"GBA","Resto"))</f>
        <v>Resto</v>
      </c>
    </row>
    <row r="3" spans="1:14" x14ac:dyDescent="0.25">
      <c r="A3" s="60" t="s">
        <v>189</v>
      </c>
      <c r="B3" t="s">
        <v>301</v>
      </c>
      <c r="C3"/>
      <c r="D3" s="64" t="s">
        <v>309</v>
      </c>
      <c r="F3" s="74">
        <v>1</v>
      </c>
      <c r="G3" s="74">
        <v>1</v>
      </c>
      <c r="H3" s="74">
        <v>2</v>
      </c>
      <c r="I3" s="74">
        <v>3</v>
      </c>
      <c r="J3" s="74">
        <v>168.40591323913114</v>
      </c>
      <c r="K3" s="74">
        <v>58.507817979487591</v>
      </c>
      <c r="L3" s="74">
        <v>532</v>
      </c>
      <c r="M3" s="9" t="str">
        <f t="shared" ref="M3:M66" si="0">IF(F3=1,"Varón","Mujer")</f>
        <v>Varón</v>
      </c>
      <c r="N3" s="9" t="str">
        <f t="shared" ref="N3:N66" si="1">IF(G3=1,"CABA",IF(G3=2,"GBA","Resto"))</f>
        <v>CABA</v>
      </c>
    </row>
    <row r="4" spans="1:14" x14ac:dyDescent="0.25">
      <c r="A4" s="40" t="s">
        <v>299</v>
      </c>
      <c r="B4" s="41">
        <v>73</v>
      </c>
      <c r="C4"/>
      <c r="D4" s="75">
        <f>GETPIVOTDATA("Sexo_Cat",$A$3,"Sexo_Cat","Mujer")/GETPIVOTDATA("Sexo_Cat",$A$3)</f>
        <v>0.54074074074074074</v>
      </c>
      <c r="F4" s="74">
        <v>2</v>
      </c>
      <c r="G4" s="74">
        <v>2</v>
      </c>
      <c r="H4" s="74">
        <v>3</v>
      </c>
      <c r="I4" s="74">
        <v>0</v>
      </c>
      <c r="J4" s="74">
        <v>159.69807080922556</v>
      </c>
      <c r="K4" s="74">
        <v>64.727816555638199</v>
      </c>
      <c r="L4" s="74">
        <v>514</v>
      </c>
      <c r="M4" s="9" t="str">
        <f t="shared" si="0"/>
        <v>Mujer</v>
      </c>
      <c r="N4" s="9" t="str">
        <f t="shared" si="1"/>
        <v>GBA</v>
      </c>
    </row>
    <row r="5" spans="1:14" x14ac:dyDescent="0.25">
      <c r="A5" s="40" t="s">
        <v>298</v>
      </c>
      <c r="B5" s="41">
        <v>62</v>
      </c>
      <c r="C5"/>
      <c r="D5" s="75">
        <f>GETPIVOTDATA("Sexo_Cat",$A$3,"Sexo_Cat","Varón")/GETPIVOTDATA("Sexo_Cat",$A$3)</f>
        <v>0.45925925925925926</v>
      </c>
      <c r="F5" s="74">
        <v>2</v>
      </c>
      <c r="G5" s="74">
        <v>2</v>
      </c>
      <c r="H5" s="74">
        <v>1</v>
      </c>
      <c r="I5" s="74">
        <v>0</v>
      </c>
      <c r="J5" s="74">
        <v>179.22854510781221</v>
      </c>
      <c r="K5" s="74">
        <v>87.888176099682966</v>
      </c>
      <c r="L5" s="74">
        <v>990</v>
      </c>
      <c r="M5" s="9" t="str">
        <f t="shared" si="0"/>
        <v>Mujer</v>
      </c>
      <c r="N5" s="9" t="str">
        <f t="shared" si="1"/>
        <v>GBA</v>
      </c>
    </row>
    <row r="6" spans="1:14" x14ac:dyDescent="0.25">
      <c r="A6" s="40" t="s">
        <v>190</v>
      </c>
      <c r="B6" s="41">
        <v>135</v>
      </c>
      <c r="C6"/>
      <c r="F6" s="74">
        <v>2</v>
      </c>
      <c r="G6" s="74">
        <v>1</v>
      </c>
      <c r="H6" s="74">
        <v>9</v>
      </c>
      <c r="I6" s="74">
        <v>2</v>
      </c>
      <c r="J6" s="74">
        <v>166.5083657011169</v>
      </c>
      <c r="K6" s="74">
        <v>76.54882397758945</v>
      </c>
      <c r="L6" s="74">
        <v>72</v>
      </c>
      <c r="M6" s="9" t="str">
        <f t="shared" si="0"/>
        <v>Mujer</v>
      </c>
      <c r="N6" s="9" t="str">
        <f t="shared" si="1"/>
        <v>CABA</v>
      </c>
    </row>
    <row r="7" spans="1:14" x14ac:dyDescent="0.25">
      <c r="A7"/>
      <c r="B7"/>
      <c r="C7"/>
      <c r="F7" s="74">
        <v>2</v>
      </c>
      <c r="G7" s="74">
        <v>1</v>
      </c>
      <c r="H7" s="74">
        <v>1</v>
      </c>
      <c r="I7" s="74">
        <v>1</v>
      </c>
      <c r="J7" s="74">
        <v>169.01816682227224</v>
      </c>
      <c r="K7" s="74">
        <v>72.017761744938809</v>
      </c>
      <c r="L7" s="74">
        <v>250</v>
      </c>
      <c r="M7" s="9" t="str">
        <f t="shared" si="0"/>
        <v>Mujer</v>
      </c>
      <c r="N7" s="9" t="str">
        <f t="shared" si="1"/>
        <v>CABA</v>
      </c>
    </row>
    <row r="8" spans="1:14" x14ac:dyDescent="0.25">
      <c r="A8"/>
      <c r="B8"/>
      <c r="C8"/>
      <c r="F8" s="74">
        <v>1</v>
      </c>
      <c r="G8" s="74">
        <v>2</v>
      </c>
      <c r="H8" s="74">
        <v>4</v>
      </c>
      <c r="I8" s="74">
        <v>5</v>
      </c>
      <c r="J8" s="74">
        <v>154.011919467589</v>
      </c>
      <c r="K8" s="74">
        <v>71.087855000259069</v>
      </c>
      <c r="L8" s="74">
        <v>58</v>
      </c>
      <c r="M8" s="9" t="str">
        <f t="shared" si="0"/>
        <v>Varón</v>
      </c>
      <c r="N8" s="9" t="str">
        <f t="shared" si="1"/>
        <v>GBA</v>
      </c>
    </row>
    <row r="9" spans="1:14" x14ac:dyDescent="0.25">
      <c r="A9"/>
      <c r="B9"/>
      <c r="C9"/>
      <c r="F9" s="74">
        <v>1</v>
      </c>
      <c r="G9" s="74">
        <v>3</v>
      </c>
      <c r="H9" s="74">
        <v>3</v>
      </c>
      <c r="I9" s="74">
        <v>5</v>
      </c>
      <c r="J9" s="74">
        <v>177.32722206988376</v>
      </c>
      <c r="K9" s="74">
        <v>86.788044576180368</v>
      </c>
      <c r="L9" s="74">
        <v>65</v>
      </c>
      <c r="M9" s="9" t="str">
        <f t="shared" si="0"/>
        <v>Varón</v>
      </c>
      <c r="N9" s="9" t="str">
        <f t="shared" si="1"/>
        <v>Resto</v>
      </c>
    </row>
    <row r="10" spans="1:14" x14ac:dyDescent="0.25">
      <c r="A10"/>
      <c r="B10"/>
      <c r="C10"/>
      <c r="F10" s="74">
        <v>1</v>
      </c>
      <c r="G10" s="74">
        <v>1</v>
      </c>
      <c r="H10" s="74">
        <v>2</v>
      </c>
      <c r="I10" s="74">
        <v>0</v>
      </c>
      <c r="J10" s="74">
        <v>181.12257956819275</v>
      </c>
      <c r="K10" s="74">
        <v>96.316621603225002</v>
      </c>
      <c r="L10" s="74">
        <v>885</v>
      </c>
      <c r="M10" s="9" t="str">
        <f t="shared" si="0"/>
        <v>Varón</v>
      </c>
      <c r="N10" s="9" t="str">
        <f t="shared" si="1"/>
        <v>CABA</v>
      </c>
    </row>
    <row r="11" spans="1:14" x14ac:dyDescent="0.25">
      <c r="A11"/>
      <c r="B11"/>
      <c r="C11"/>
      <c r="F11" s="74">
        <v>1</v>
      </c>
      <c r="G11" s="74">
        <v>2</v>
      </c>
      <c r="H11" s="74">
        <v>1</v>
      </c>
      <c r="I11" s="74">
        <v>1</v>
      </c>
      <c r="J11" s="74">
        <v>181.28463292547963</v>
      </c>
      <c r="K11" s="74">
        <v>77.132085262671055</v>
      </c>
      <c r="L11" s="74">
        <v>734</v>
      </c>
      <c r="M11" s="9" t="str">
        <f t="shared" si="0"/>
        <v>Varón</v>
      </c>
      <c r="N11" s="9" t="str">
        <f t="shared" si="1"/>
        <v>GBA</v>
      </c>
    </row>
    <row r="12" spans="1:14" x14ac:dyDescent="0.25">
      <c r="A12"/>
      <c r="B12"/>
      <c r="C12"/>
      <c r="F12" s="74">
        <v>2</v>
      </c>
      <c r="G12" s="74">
        <v>1</v>
      </c>
      <c r="H12" s="74">
        <v>6</v>
      </c>
      <c r="I12" s="74">
        <v>3</v>
      </c>
      <c r="J12" s="74">
        <v>165.58473445219539</v>
      </c>
      <c r="K12" s="74">
        <v>54.425334002954074</v>
      </c>
      <c r="L12" s="74">
        <v>985</v>
      </c>
      <c r="M12" s="9" t="str">
        <f t="shared" si="0"/>
        <v>Mujer</v>
      </c>
      <c r="N12" s="9" t="str">
        <f t="shared" si="1"/>
        <v>CABA</v>
      </c>
    </row>
    <row r="13" spans="1:14" x14ac:dyDescent="0.25">
      <c r="A13"/>
      <c r="B13"/>
      <c r="C13"/>
      <c r="F13" s="74">
        <v>1</v>
      </c>
      <c r="G13" s="74">
        <v>2</v>
      </c>
      <c r="H13" s="74">
        <v>7</v>
      </c>
      <c r="I13" s="74">
        <v>0</v>
      </c>
      <c r="J13" s="74">
        <v>173.28838923206143</v>
      </c>
      <c r="K13" s="74">
        <v>83.119900652434225</v>
      </c>
      <c r="L13" s="74">
        <v>339</v>
      </c>
      <c r="M13" s="9" t="str">
        <f t="shared" si="0"/>
        <v>Varón</v>
      </c>
      <c r="N13" s="9" t="str">
        <f t="shared" si="1"/>
        <v>GBA</v>
      </c>
    </row>
    <row r="14" spans="1:14" x14ac:dyDescent="0.25">
      <c r="A14"/>
      <c r="B14"/>
      <c r="C14"/>
      <c r="F14" s="74">
        <v>1</v>
      </c>
      <c r="G14" s="74">
        <v>1</v>
      </c>
      <c r="H14" s="74">
        <v>8</v>
      </c>
      <c r="I14" s="74">
        <v>3</v>
      </c>
      <c r="J14" s="74">
        <v>191.37233455195855</v>
      </c>
      <c r="K14" s="74">
        <v>102.32569698663568</v>
      </c>
      <c r="L14" s="74">
        <v>478</v>
      </c>
      <c r="M14" s="9" t="str">
        <f t="shared" si="0"/>
        <v>Varón</v>
      </c>
      <c r="N14" s="9" t="str">
        <f t="shared" si="1"/>
        <v>CABA</v>
      </c>
    </row>
    <row r="15" spans="1:14" x14ac:dyDescent="0.25">
      <c r="A15"/>
      <c r="B15"/>
      <c r="C15"/>
      <c r="F15" s="74">
        <v>2</v>
      </c>
      <c r="G15" s="74">
        <v>3</v>
      </c>
      <c r="H15" s="74">
        <v>8</v>
      </c>
      <c r="I15" s="74">
        <v>5</v>
      </c>
      <c r="J15" s="74">
        <v>162.75698714154134</v>
      </c>
      <c r="K15" s="74">
        <v>57.403476482970149</v>
      </c>
      <c r="L15" s="74">
        <v>27</v>
      </c>
      <c r="M15" s="9" t="str">
        <f t="shared" si="0"/>
        <v>Mujer</v>
      </c>
      <c r="N15" s="9" t="str">
        <f t="shared" si="1"/>
        <v>Resto</v>
      </c>
    </row>
    <row r="16" spans="1:14" x14ac:dyDescent="0.25">
      <c r="A16"/>
      <c r="B16"/>
      <c r="C16"/>
      <c r="F16" s="74">
        <v>1</v>
      </c>
      <c r="G16" s="74">
        <v>3</v>
      </c>
      <c r="H16" s="74">
        <v>4</v>
      </c>
      <c r="I16" s="74">
        <v>3</v>
      </c>
      <c r="J16" s="74">
        <v>162.43510292915701</v>
      </c>
      <c r="K16" s="74">
        <v>78.100081484273261</v>
      </c>
      <c r="L16" s="74">
        <v>548</v>
      </c>
      <c r="M16" s="9" t="str">
        <f t="shared" si="0"/>
        <v>Varón</v>
      </c>
      <c r="N16" s="9" t="str">
        <f t="shared" si="1"/>
        <v>Resto</v>
      </c>
    </row>
    <row r="17" spans="1:14" x14ac:dyDescent="0.25">
      <c r="A17"/>
      <c r="B17"/>
      <c r="C17"/>
      <c r="F17" s="74">
        <v>2</v>
      </c>
      <c r="G17" s="74">
        <v>3</v>
      </c>
      <c r="H17" s="74">
        <v>1</v>
      </c>
      <c r="I17" s="74">
        <v>1</v>
      </c>
      <c r="J17" s="74">
        <v>150.90856922436001</v>
      </c>
      <c r="K17" s="74">
        <v>50.147018576286293</v>
      </c>
      <c r="L17" s="74">
        <v>86</v>
      </c>
      <c r="M17" s="9" t="str">
        <f t="shared" si="0"/>
        <v>Mujer</v>
      </c>
      <c r="N17" s="9" t="str">
        <f t="shared" si="1"/>
        <v>Resto</v>
      </c>
    </row>
    <row r="18" spans="1:14" x14ac:dyDescent="0.25">
      <c r="A18"/>
      <c r="B18"/>
      <c r="C18"/>
      <c r="F18" s="74">
        <v>2</v>
      </c>
      <c r="G18" s="74">
        <v>3</v>
      </c>
      <c r="H18" s="74">
        <v>2</v>
      </c>
      <c r="I18" s="74">
        <v>3</v>
      </c>
      <c r="J18" s="74">
        <v>169.58732149450412</v>
      </c>
      <c r="K18" s="74">
        <v>86.250818975429226</v>
      </c>
      <c r="L18" s="74">
        <v>399</v>
      </c>
      <c r="M18" s="9" t="str">
        <f t="shared" si="0"/>
        <v>Mujer</v>
      </c>
      <c r="N18" s="9" t="str">
        <f t="shared" si="1"/>
        <v>Resto</v>
      </c>
    </row>
    <row r="19" spans="1:14" x14ac:dyDescent="0.25">
      <c r="A19"/>
      <c r="B19"/>
      <c r="C19"/>
      <c r="F19" s="74">
        <v>2</v>
      </c>
      <c r="G19" s="74">
        <v>2</v>
      </c>
      <c r="H19" s="74">
        <v>1</v>
      </c>
      <c r="I19" s="74">
        <v>0</v>
      </c>
      <c r="J19" s="74">
        <v>167.73345897278719</v>
      </c>
      <c r="K19" s="74">
        <v>58.660460144964304</v>
      </c>
      <c r="L19" s="74">
        <v>801</v>
      </c>
      <c r="M19" s="9" t="str">
        <f t="shared" si="0"/>
        <v>Mujer</v>
      </c>
      <c r="N19" s="9" t="str">
        <f t="shared" si="1"/>
        <v>GBA</v>
      </c>
    </row>
    <row r="20" spans="1:14" x14ac:dyDescent="0.25">
      <c r="A20"/>
      <c r="B20"/>
      <c r="C20"/>
      <c r="F20" s="74">
        <v>2</v>
      </c>
      <c r="G20" s="74">
        <v>1</v>
      </c>
      <c r="H20" s="74">
        <v>5</v>
      </c>
      <c r="I20" s="74">
        <v>0</v>
      </c>
      <c r="J20" s="74">
        <v>161.74148356143212</v>
      </c>
      <c r="K20" s="74">
        <v>58.206684197852958</v>
      </c>
      <c r="L20" s="74">
        <v>740</v>
      </c>
      <c r="M20" s="9" t="str">
        <f t="shared" si="0"/>
        <v>Mujer</v>
      </c>
      <c r="N20" s="9" t="str">
        <f t="shared" si="1"/>
        <v>CABA</v>
      </c>
    </row>
    <row r="21" spans="1:14" x14ac:dyDescent="0.25">
      <c r="F21" s="74">
        <v>2</v>
      </c>
      <c r="G21" s="74">
        <v>1</v>
      </c>
      <c r="H21" s="74">
        <v>9</v>
      </c>
      <c r="I21" s="74">
        <v>2</v>
      </c>
      <c r="J21" s="74">
        <v>159.23724782781738</v>
      </c>
      <c r="K21" s="74">
        <v>63.086974726294997</v>
      </c>
      <c r="L21" s="74">
        <v>363</v>
      </c>
      <c r="M21" s="9" t="str">
        <f t="shared" si="0"/>
        <v>Mujer</v>
      </c>
      <c r="N21" s="9" t="str">
        <f t="shared" si="1"/>
        <v>CABA</v>
      </c>
    </row>
    <row r="22" spans="1:14" x14ac:dyDescent="0.25">
      <c r="F22" s="74">
        <v>2</v>
      </c>
      <c r="G22" s="74">
        <v>1</v>
      </c>
      <c r="H22" s="74">
        <v>9</v>
      </c>
      <c r="I22" s="74">
        <v>5</v>
      </c>
      <c r="J22" s="74">
        <v>181.39565304519235</v>
      </c>
      <c r="K22" s="74">
        <v>82.06353106156736</v>
      </c>
      <c r="L22" s="74">
        <v>142</v>
      </c>
      <c r="M22" s="9" t="str">
        <f t="shared" si="0"/>
        <v>Mujer</v>
      </c>
      <c r="N22" s="9" t="str">
        <f t="shared" si="1"/>
        <v>CABA</v>
      </c>
    </row>
    <row r="23" spans="1:14" x14ac:dyDescent="0.25">
      <c r="F23" s="74">
        <v>1</v>
      </c>
      <c r="G23" s="74">
        <v>1</v>
      </c>
      <c r="H23" s="74">
        <v>4</v>
      </c>
      <c r="I23" s="74">
        <v>2</v>
      </c>
      <c r="J23" s="74">
        <v>167.14570861824782</v>
      </c>
      <c r="K23" s="74">
        <v>78.784279904779297</v>
      </c>
      <c r="L23" s="74">
        <v>602</v>
      </c>
      <c r="M23" s="9" t="str">
        <f t="shared" si="0"/>
        <v>Varón</v>
      </c>
      <c r="N23" s="9" t="str">
        <f t="shared" si="1"/>
        <v>CABA</v>
      </c>
    </row>
    <row r="24" spans="1:14" x14ac:dyDescent="0.25">
      <c r="A24" s="1" t="s">
        <v>248</v>
      </c>
      <c r="F24" s="74">
        <v>2</v>
      </c>
      <c r="G24" s="74">
        <v>2</v>
      </c>
      <c r="H24" s="74">
        <v>9</v>
      </c>
      <c r="I24" s="74">
        <v>3</v>
      </c>
      <c r="J24" s="74">
        <v>164.11821916159954</v>
      </c>
      <c r="K24" s="74">
        <v>57.963667780387404</v>
      </c>
      <c r="L24" s="74">
        <v>233</v>
      </c>
      <c r="M24" s="9" t="str">
        <f t="shared" si="0"/>
        <v>Mujer</v>
      </c>
      <c r="N24" s="9" t="str">
        <f t="shared" si="1"/>
        <v>GBA</v>
      </c>
    </row>
    <row r="25" spans="1:14" x14ac:dyDescent="0.25">
      <c r="B25" s="64" t="s">
        <v>412</v>
      </c>
      <c r="C25" s="64" t="s">
        <v>413</v>
      </c>
      <c r="D25" s="64" t="s">
        <v>414</v>
      </c>
      <c r="E25" s="64" t="s">
        <v>415</v>
      </c>
      <c r="F25" s="74">
        <v>2</v>
      </c>
      <c r="G25" s="74">
        <v>1</v>
      </c>
      <c r="H25" s="74">
        <v>8</v>
      </c>
      <c r="I25" s="74">
        <v>3</v>
      </c>
      <c r="J25" s="74">
        <v>154.67472675985826</v>
      </c>
      <c r="K25" s="74">
        <v>57.968508871027801</v>
      </c>
      <c r="L25" s="74">
        <v>326</v>
      </c>
      <c r="M25" s="9" t="str">
        <f t="shared" si="0"/>
        <v>Mujer</v>
      </c>
      <c r="N25" s="9" t="str">
        <f t="shared" si="1"/>
        <v>CABA</v>
      </c>
    </row>
    <row r="26" spans="1:14" x14ac:dyDescent="0.25">
      <c r="A26" s="60" t="s">
        <v>189</v>
      </c>
      <c r="B26" t="s">
        <v>411</v>
      </c>
      <c r="C26"/>
      <c r="F26" s="74">
        <v>1</v>
      </c>
      <c r="G26" s="74">
        <v>2</v>
      </c>
      <c r="H26" s="74">
        <v>3</v>
      </c>
      <c r="I26" s="74">
        <v>5</v>
      </c>
      <c r="J26" s="74">
        <v>167.99890260064555</v>
      </c>
      <c r="K26" s="74">
        <v>53.17332132213992</v>
      </c>
      <c r="L26" s="74">
        <v>247</v>
      </c>
      <c r="M26" s="9" t="str">
        <f t="shared" si="0"/>
        <v>Varón</v>
      </c>
      <c r="N26" s="9" t="str">
        <f t="shared" si="1"/>
        <v>GBA</v>
      </c>
    </row>
    <row r="27" spans="1:14" x14ac:dyDescent="0.25">
      <c r="A27" s="40">
        <v>1</v>
      </c>
      <c r="B27" s="41">
        <v>12</v>
      </c>
      <c r="C27">
        <f>GETPIVOTDATA("Nota",$A$26,"Nota",1)/GETPIVOTDATA("Nota",$A$26)</f>
        <v>8.8888888888888892E-2</v>
      </c>
      <c r="D27" s="74">
        <f>GETPIVOTDATA("Nota",$A$26,"Nota",1)</f>
        <v>12</v>
      </c>
      <c r="E27" s="74">
        <f>C27</f>
        <v>8.8888888888888892E-2</v>
      </c>
      <c r="F27" s="74">
        <v>1</v>
      </c>
      <c r="G27" s="74">
        <v>1</v>
      </c>
      <c r="H27" s="74">
        <v>6</v>
      </c>
      <c r="I27" s="74">
        <v>3</v>
      </c>
      <c r="J27" s="74">
        <v>170.84969352218928</v>
      </c>
      <c r="K27" s="74">
        <v>87.364526005441633</v>
      </c>
      <c r="L27" s="74">
        <v>110</v>
      </c>
      <c r="M27" s="9" t="str">
        <f t="shared" si="0"/>
        <v>Varón</v>
      </c>
      <c r="N27" s="9" t="str">
        <f t="shared" si="1"/>
        <v>CABA</v>
      </c>
    </row>
    <row r="28" spans="1:14" x14ac:dyDescent="0.25">
      <c r="A28" s="40">
        <v>2</v>
      </c>
      <c r="B28" s="41">
        <v>14</v>
      </c>
      <c r="C28">
        <f>GETPIVOTDATA("Nota",$A$26,"Nota",2)/GETPIVOTDATA("Nota",$A$26)</f>
        <v>0.1037037037037037</v>
      </c>
      <c r="D28" s="74">
        <f>D27+GETPIVOTDATA("Nota",$A$26,"Nota",2)</f>
        <v>26</v>
      </c>
      <c r="E28" s="74">
        <f>C28+E27</f>
        <v>0.19259259259259259</v>
      </c>
      <c r="F28" s="74">
        <v>2</v>
      </c>
      <c r="G28" s="74">
        <v>1</v>
      </c>
      <c r="H28" s="74">
        <v>5</v>
      </c>
      <c r="I28" s="74">
        <v>0</v>
      </c>
      <c r="J28" s="74">
        <v>179.98253248008658</v>
      </c>
      <c r="K28" s="74">
        <v>84.936312858612879</v>
      </c>
      <c r="L28" s="74">
        <v>590</v>
      </c>
      <c r="M28" s="9" t="str">
        <f t="shared" si="0"/>
        <v>Mujer</v>
      </c>
      <c r="N28" s="9" t="str">
        <f t="shared" si="1"/>
        <v>CABA</v>
      </c>
    </row>
    <row r="29" spans="1:14" x14ac:dyDescent="0.25">
      <c r="A29" s="40">
        <v>3</v>
      </c>
      <c r="B29" s="41">
        <v>15</v>
      </c>
      <c r="C29">
        <f>GETPIVOTDATA("Nota",$A$26,"Nota",3)/GETPIVOTDATA("Nota",$A$26)</f>
        <v>0.1111111111111111</v>
      </c>
      <c r="D29" s="74">
        <f>D28+GETPIVOTDATA("Nota",$A$26,"Nota",3)</f>
        <v>41</v>
      </c>
      <c r="E29" s="74">
        <f t="shared" ref="E29:E36" si="2">C29+E28</f>
        <v>0.3037037037037037</v>
      </c>
      <c r="F29" s="74">
        <v>2</v>
      </c>
      <c r="G29" s="74">
        <v>1</v>
      </c>
      <c r="H29" s="74">
        <v>3</v>
      </c>
      <c r="I29" s="74">
        <v>4</v>
      </c>
      <c r="J29" s="74">
        <v>156.59340898718216</v>
      </c>
      <c r="K29" s="74">
        <v>61.47538981573485</v>
      </c>
      <c r="L29" s="74">
        <v>770</v>
      </c>
      <c r="M29" s="9" t="str">
        <f t="shared" si="0"/>
        <v>Mujer</v>
      </c>
      <c r="N29" s="9" t="str">
        <f t="shared" si="1"/>
        <v>CABA</v>
      </c>
    </row>
    <row r="30" spans="1:14" x14ac:dyDescent="0.25">
      <c r="A30" s="40">
        <v>4</v>
      </c>
      <c r="B30" s="41">
        <v>16</v>
      </c>
      <c r="C30">
        <f>GETPIVOTDATA("Nota",$A$26,"Nota",4)/GETPIVOTDATA("Nota",$A$26)</f>
        <v>0.11851851851851852</v>
      </c>
      <c r="D30" s="74">
        <f>D29+GETPIVOTDATA("Nota",$A$26,"Nota",4)</f>
        <v>57</v>
      </c>
      <c r="E30" s="74">
        <f t="shared" si="2"/>
        <v>0.42222222222222222</v>
      </c>
      <c r="F30" s="74">
        <v>1</v>
      </c>
      <c r="G30" s="74">
        <v>1</v>
      </c>
      <c r="H30" s="74">
        <v>10</v>
      </c>
      <c r="I30" s="74">
        <v>1</v>
      </c>
      <c r="J30" s="74">
        <v>163.26548453397425</v>
      </c>
      <c r="K30" s="74">
        <v>61.601134215102029</v>
      </c>
      <c r="L30" s="74">
        <v>293</v>
      </c>
      <c r="M30" s="9" t="str">
        <f t="shared" si="0"/>
        <v>Varón</v>
      </c>
      <c r="N30" s="9" t="str">
        <f t="shared" si="1"/>
        <v>CABA</v>
      </c>
    </row>
    <row r="31" spans="1:14" x14ac:dyDescent="0.25">
      <c r="A31" s="40">
        <v>5</v>
      </c>
      <c r="B31" s="41">
        <v>9</v>
      </c>
      <c r="C31">
        <f>GETPIVOTDATA("Nota",$A$26,"Nota",5)/GETPIVOTDATA("Nota",$A$26)</f>
        <v>6.6666666666666666E-2</v>
      </c>
      <c r="D31" s="74">
        <f>D30+GETPIVOTDATA("Nota",$A$26,"Nota",5)</f>
        <v>66</v>
      </c>
      <c r="E31" s="74">
        <f t="shared" si="2"/>
        <v>0.48888888888888887</v>
      </c>
      <c r="F31" s="74">
        <v>2</v>
      </c>
      <c r="G31" s="74">
        <v>3</v>
      </c>
      <c r="H31" s="74">
        <v>3</v>
      </c>
      <c r="I31" s="74">
        <v>1</v>
      </c>
      <c r="J31" s="74">
        <v>168.01319846782826</v>
      </c>
      <c r="K31" s="74">
        <v>75.73689072774296</v>
      </c>
      <c r="L31" s="74">
        <v>165</v>
      </c>
      <c r="M31" s="9" t="str">
        <f t="shared" si="0"/>
        <v>Mujer</v>
      </c>
      <c r="N31" s="9" t="str">
        <f t="shared" si="1"/>
        <v>Resto</v>
      </c>
    </row>
    <row r="32" spans="1:14" x14ac:dyDescent="0.25">
      <c r="A32" s="40">
        <v>6</v>
      </c>
      <c r="B32" s="41">
        <v>13</v>
      </c>
      <c r="C32">
        <f>GETPIVOTDATA("Nota",$A$26,"Nota",6)/GETPIVOTDATA("Nota",$A$26)</f>
        <v>9.6296296296296297E-2</v>
      </c>
      <c r="D32" s="74">
        <f>D31+GETPIVOTDATA("Nota",$A$26,"Nota",6)</f>
        <v>79</v>
      </c>
      <c r="E32" s="74">
        <f t="shared" si="2"/>
        <v>0.58518518518518514</v>
      </c>
      <c r="F32" s="74">
        <v>2</v>
      </c>
      <c r="G32" s="74">
        <v>2</v>
      </c>
      <c r="H32" s="74">
        <v>5</v>
      </c>
      <c r="I32" s="74">
        <v>5</v>
      </c>
      <c r="J32" s="74">
        <v>168.39267661781997</v>
      </c>
      <c r="K32" s="74">
        <v>81.268564081380248</v>
      </c>
      <c r="L32" s="74">
        <v>158</v>
      </c>
      <c r="M32" s="9" t="str">
        <f t="shared" si="0"/>
        <v>Mujer</v>
      </c>
      <c r="N32" s="9" t="str">
        <f t="shared" si="1"/>
        <v>GBA</v>
      </c>
    </row>
    <row r="33" spans="1:14" x14ac:dyDescent="0.25">
      <c r="A33" s="40">
        <v>7</v>
      </c>
      <c r="B33" s="41">
        <v>13</v>
      </c>
      <c r="C33">
        <f>GETPIVOTDATA("Nota",$A$26,"Nota",7)/GETPIVOTDATA("Nota",$A$26)</f>
        <v>9.6296296296296297E-2</v>
      </c>
      <c r="D33" s="74">
        <f>D32+GETPIVOTDATA("Nota",$A$26,"Nota",7)</f>
        <v>92</v>
      </c>
      <c r="E33" s="74">
        <f t="shared" si="2"/>
        <v>0.68148148148148147</v>
      </c>
      <c r="F33" s="74">
        <v>2</v>
      </c>
      <c r="G33" s="74">
        <v>1</v>
      </c>
      <c r="H33" s="74">
        <v>9</v>
      </c>
      <c r="I33" s="74">
        <v>4</v>
      </c>
      <c r="J33" s="74">
        <v>175.90998149895805</v>
      </c>
      <c r="K33" s="74">
        <v>82.435672718327467</v>
      </c>
      <c r="L33" s="74">
        <v>871</v>
      </c>
      <c r="M33" s="9" t="str">
        <f t="shared" si="0"/>
        <v>Mujer</v>
      </c>
      <c r="N33" s="9" t="str">
        <f t="shared" si="1"/>
        <v>CABA</v>
      </c>
    </row>
    <row r="34" spans="1:14" x14ac:dyDescent="0.25">
      <c r="A34" s="40">
        <v>8</v>
      </c>
      <c r="B34" s="41">
        <v>9</v>
      </c>
      <c r="C34">
        <f>GETPIVOTDATA("Nota",$A$26,"Nota",8)/GETPIVOTDATA("Nota",$A$26)</f>
        <v>6.6666666666666666E-2</v>
      </c>
      <c r="D34" s="74">
        <f>D33+GETPIVOTDATA("Nota",$A$26,"Nota",8)</f>
        <v>101</v>
      </c>
      <c r="E34" s="74">
        <f t="shared" si="2"/>
        <v>0.74814814814814812</v>
      </c>
      <c r="F34" s="74">
        <v>2</v>
      </c>
      <c r="G34" s="74">
        <v>1</v>
      </c>
      <c r="H34" s="74">
        <v>10</v>
      </c>
      <c r="I34" s="74">
        <v>0</v>
      </c>
      <c r="J34" s="74">
        <v>164.65359320678999</v>
      </c>
      <c r="K34" s="74">
        <v>78.784001526665975</v>
      </c>
      <c r="L34" s="74">
        <v>851</v>
      </c>
      <c r="M34" s="9" t="str">
        <f t="shared" si="0"/>
        <v>Mujer</v>
      </c>
      <c r="N34" s="9" t="str">
        <f t="shared" si="1"/>
        <v>CABA</v>
      </c>
    </row>
    <row r="35" spans="1:14" x14ac:dyDescent="0.25">
      <c r="A35" s="40">
        <v>9</v>
      </c>
      <c r="B35" s="41">
        <v>20</v>
      </c>
      <c r="C35">
        <f>GETPIVOTDATA("Nota",$A$26,"Nota",9)/GETPIVOTDATA("Nota",$A$26)</f>
        <v>0.14814814814814814</v>
      </c>
      <c r="D35" s="74">
        <f>D34+GETPIVOTDATA("Nota",$A$26,"Nota",9)</f>
        <v>121</v>
      </c>
      <c r="E35" s="74">
        <f t="shared" si="2"/>
        <v>0.89629629629629626</v>
      </c>
      <c r="F35" s="74">
        <v>2</v>
      </c>
      <c r="G35" s="74">
        <v>3</v>
      </c>
      <c r="H35" s="74">
        <v>9</v>
      </c>
      <c r="I35" s="74">
        <v>5</v>
      </c>
      <c r="J35" s="74">
        <v>174.81582250495731</v>
      </c>
      <c r="K35" s="74">
        <v>86.119691327002798</v>
      </c>
      <c r="L35" s="74">
        <v>100</v>
      </c>
      <c r="M35" s="9" t="str">
        <f t="shared" si="0"/>
        <v>Mujer</v>
      </c>
      <c r="N35" s="9" t="str">
        <f t="shared" si="1"/>
        <v>Resto</v>
      </c>
    </row>
    <row r="36" spans="1:14" x14ac:dyDescent="0.25">
      <c r="A36" s="40">
        <v>10</v>
      </c>
      <c r="B36" s="41">
        <v>14</v>
      </c>
      <c r="C36">
        <f>GETPIVOTDATA("Nota",$A$26,"Nota",10)/GETPIVOTDATA("Nota",$A$26)</f>
        <v>0.1037037037037037</v>
      </c>
      <c r="D36" s="74">
        <f>D35+GETPIVOTDATA("Nota",$A$26,"Nota",10)</f>
        <v>135</v>
      </c>
      <c r="E36" s="74">
        <f t="shared" si="2"/>
        <v>1</v>
      </c>
      <c r="F36" s="74">
        <v>1</v>
      </c>
      <c r="G36" s="74">
        <v>2</v>
      </c>
      <c r="H36" s="74">
        <v>7</v>
      </c>
      <c r="I36" s="74">
        <v>4</v>
      </c>
      <c r="J36" s="74">
        <v>171.48108455290867</v>
      </c>
      <c r="K36" s="74">
        <v>69.368193405923236</v>
      </c>
      <c r="L36" s="74">
        <v>942</v>
      </c>
      <c r="M36" s="9" t="str">
        <f t="shared" si="0"/>
        <v>Varón</v>
      </c>
      <c r="N36" s="9" t="str">
        <f t="shared" si="1"/>
        <v>GBA</v>
      </c>
    </row>
    <row r="37" spans="1:14" x14ac:dyDescent="0.25">
      <c r="A37" s="40" t="s">
        <v>190</v>
      </c>
      <c r="B37" s="41">
        <v>135</v>
      </c>
      <c r="C37">
        <f>SUM(C27:C36)</f>
        <v>1</v>
      </c>
      <c r="F37" s="74">
        <v>2</v>
      </c>
      <c r="G37" s="74">
        <v>3</v>
      </c>
      <c r="H37" s="74">
        <v>6</v>
      </c>
      <c r="I37" s="74">
        <v>2</v>
      </c>
      <c r="J37" s="74">
        <v>168.49767186596156</v>
      </c>
      <c r="K37" s="74">
        <v>58.344461446832227</v>
      </c>
      <c r="L37" s="74">
        <v>643</v>
      </c>
      <c r="M37" s="9" t="str">
        <f t="shared" si="0"/>
        <v>Mujer</v>
      </c>
      <c r="N37" s="9" t="str">
        <f t="shared" si="1"/>
        <v>Resto</v>
      </c>
    </row>
    <row r="38" spans="1:14" x14ac:dyDescent="0.25">
      <c r="A38"/>
      <c r="B38"/>
      <c r="C38"/>
      <c r="F38" s="74">
        <v>1</v>
      </c>
      <c r="G38" s="74">
        <v>2</v>
      </c>
      <c r="H38" s="74">
        <v>9</v>
      </c>
      <c r="I38" s="74">
        <v>1</v>
      </c>
      <c r="J38" s="74">
        <v>175.3265615078796</v>
      </c>
      <c r="K38" s="74">
        <v>79.430617791735528</v>
      </c>
      <c r="L38" s="74">
        <v>525</v>
      </c>
      <c r="M38" s="9" t="str">
        <f t="shared" si="0"/>
        <v>Varón</v>
      </c>
      <c r="N38" s="9" t="str">
        <f t="shared" si="1"/>
        <v>GBA</v>
      </c>
    </row>
    <row r="39" spans="1:14" x14ac:dyDescent="0.25">
      <c r="A39" s="1" t="s">
        <v>253</v>
      </c>
      <c r="B39"/>
      <c r="C39"/>
      <c r="F39" s="74">
        <v>1</v>
      </c>
      <c r="G39" s="74">
        <v>3</v>
      </c>
      <c r="H39" s="74">
        <v>4</v>
      </c>
      <c r="I39" s="74">
        <v>3</v>
      </c>
      <c r="J39" s="74">
        <v>187.60074450278194</v>
      </c>
      <c r="K39" s="74">
        <v>100.51417634932247</v>
      </c>
      <c r="L39" s="74">
        <v>257</v>
      </c>
      <c r="M39" s="9" t="str">
        <f t="shared" si="0"/>
        <v>Varón</v>
      </c>
      <c r="N39" s="9" t="str">
        <f t="shared" si="1"/>
        <v>Resto</v>
      </c>
    </row>
    <row r="40" spans="1:14" x14ac:dyDescent="0.25">
      <c r="A40"/>
      <c r="B40" s="64" t="s">
        <v>132</v>
      </c>
      <c r="C40" s="64" t="s">
        <v>412</v>
      </c>
      <c r="D40" s="64" t="s">
        <v>413</v>
      </c>
      <c r="F40" s="74">
        <v>2</v>
      </c>
      <c r="G40" s="74">
        <v>1</v>
      </c>
      <c r="H40" s="74">
        <v>4</v>
      </c>
      <c r="I40" s="74">
        <v>4</v>
      </c>
      <c r="J40" s="74">
        <v>157.49446430872834</v>
      </c>
      <c r="K40" s="74">
        <v>51.866222647984905</v>
      </c>
      <c r="L40" s="74">
        <v>972</v>
      </c>
      <c r="M40" s="9" t="str">
        <f t="shared" si="0"/>
        <v>Mujer</v>
      </c>
      <c r="N40" s="9" t="str">
        <f t="shared" si="1"/>
        <v>CABA</v>
      </c>
    </row>
    <row r="41" spans="1:14" x14ac:dyDescent="0.25">
      <c r="A41">
        <v>155</v>
      </c>
      <c r="B41" s="63" t="s">
        <v>416</v>
      </c>
      <c r="C41">
        <f t="array" ref="C41:C51">FREQUENCY(J2:J136,A41:A50)</f>
        <v>13</v>
      </c>
      <c r="D41" s="74">
        <f>C41/135</f>
        <v>9.6296296296296297E-2</v>
      </c>
      <c r="F41" s="74">
        <v>2</v>
      </c>
      <c r="G41" s="74">
        <v>1</v>
      </c>
      <c r="H41" s="74">
        <v>8</v>
      </c>
      <c r="I41" s="74">
        <v>4</v>
      </c>
      <c r="J41" s="74">
        <v>167.05329143490744</v>
      </c>
      <c r="K41" s="74">
        <v>57.515919291405638</v>
      </c>
      <c r="L41" s="74">
        <v>970</v>
      </c>
      <c r="M41" s="9" t="str">
        <f t="shared" si="0"/>
        <v>Mujer</v>
      </c>
      <c r="N41" s="9" t="str">
        <f t="shared" si="1"/>
        <v>CABA</v>
      </c>
    </row>
    <row r="42" spans="1:14" x14ac:dyDescent="0.25">
      <c r="A42">
        <v>160</v>
      </c>
      <c r="B42" s="63" t="s">
        <v>417</v>
      </c>
      <c r="C42">
        <v>14</v>
      </c>
      <c r="D42" s="74">
        <f t="shared" ref="D42:D51" si="3">C42/135</f>
        <v>0.1037037037037037</v>
      </c>
      <c r="F42" s="74">
        <v>1</v>
      </c>
      <c r="G42" s="74">
        <v>2</v>
      </c>
      <c r="H42" s="74">
        <v>4</v>
      </c>
      <c r="I42" s="74">
        <v>3</v>
      </c>
      <c r="J42" s="74">
        <v>172.99003348612581</v>
      </c>
      <c r="K42" s="74">
        <v>73.497154939663957</v>
      </c>
      <c r="L42" s="74">
        <v>732</v>
      </c>
      <c r="M42" s="9" t="str">
        <f t="shared" si="0"/>
        <v>Varón</v>
      </c>
      <c r="N42" s="9" t="str">
        <f t="shared" si="1"/>
        <v>GBA</v>
      </c>
    </row>
    <row r="43" spans="1:14" x14ac:dyDescent="0.25">
      <c r="A43" s="74">
        <v>165</v>
      </c>
      <c r="B43" s="63" t="s">
        <v>418</v>
      </c>
      <c r="C43">
        <v>14</v>
      </c>
      <c r="D43" s="74">
        <f t="shared" si="3"/>
        <v>0.1037037037037037</v>
      </c>
      <c r="F43" s="74">
        <v>1</v>
      </c>
      <c r="G43" s="74">
        <v>2</v>
      </c>
      <c r="H43" s="74">
        <v>6</v>
      </c>
      <c r="I43" s="74">
        <v>4</v>
      </c>
      <c r="J43" s="74">
        <v>171.30014657538737</v>
      </c>
      <c r="K43" s="74">
        <v>65.641946864867961</v>
      </c>
      <c r="L43" s="74">
        <v>538</v>
      </c>
      <c r="M43" s="9" t="str">
        <f t="shared" si="0"/>
        <v>Varón</v>
      </c>
      <c r="N43" s="9" t="str">
        <f t="shared" si="1"/>
        <v>GBA</v>
      </c>
    </row>
    <row r="44" spans="1:14" x14ac:dyDescent="0.25">
      <c r="A44" s="74">
        <v>170</v>
      </c>
      <c r="B44" s="63" t="s">
        <v>419</v>
      </c>
      <c r="C44" s="74">
        <v>31</v>
      </c>
      <c r="D44" s="74">
        <f t="shared" si="3"/>
        <v>0.22962962962962963</v>
      </c>
      <c r="F44" s="74">
        <v>1</v>
      </c>
      <c r="G44" s="74">
        <v>3</v>
      </c>
      <c r="H44" s="74">
        <v>2</v>
      </c>
      <c r="I44" s="74">
        <v>5</v>
      </c>
      <c r="J44" s="74">
        <v>178.09500520704017</v>
      </c>
      <c r="K44" s="74">
        <v>64.862964148977625</v>
      </c>
      <c r="L44" s="74">
        <v>374</v>
      </c>
      <c r="M44" s="9" t="str">
        <f t="shared" si="0"/>
        <v>Varón</v>
      </c>
      <c r="N44" s="9" t="str">
        <f t="shared" si="1"/>
        <v>Resto</v>
      </c>
    </row>
    <row r="45" spans="1:14" x14ac:dyDescent="0.25">
      <c r="A45" s="74">
        <v>175</v>
      </c>
      <c r="B45" s="63" t="s">
        <v>420</v>
      </c>
      <c r="C45" s="74">
        <v>20</v>
      </c>
      <c r="D45" s="74">
        <f t="shared" si="3"/>
        <v>0.14814814814814814</v>
      </c>
      <c r="F45" s="74">
        <v>1</v>
      </c>
      <c r="G45" s="74">
        <v>2</v>
      </c>
      <c r="H45" s="74">
        <v>3</v>
      </c>
      <c r="I45" s="74">
        <v>3</v>
      </c>
      <c r="J45" s="74">
        <v>174.34568321029772</v>
      </c>
      <c r="K45" s="74">
        <v>80.185748716224751</v>
      </c>
      <c r="L45" s="74">
        <v>956</v>
      </c>
      <c r="M45" s="9" t="str">
        <f t="shared" si="0"/>
        <v>Varón</v>
      </c>
      <c r="N45" s="9" t="str">
        <f t="shared" si="1"/>
        <v>GBA</v>
      </c>
    </row>
    <row r="46" spans="1:14" x14ac:dyDescent="0.25">
      <c r="A46" s="74">
        <v>180</v>
      </c>
      <c r="B46" s="63" t="s">
        <v>421</v>
      </c>
      <c r="C46" s="74">
        <v>23</v>
      </c>
      <c r="D46" s="74">
        <f t="shared" si="3"/>
        <v>0.17037037037037037</v>
      </c>
      <c r="F46" s="74">
        <v>1</v>
      </c>
      <c r="G46" s="74">
        <v>2</v>
      </c>
      <c r="H46" s="74">
        <v>2</v>
      </c>
      <c r="I46" s="74">
        <v>5</v>
      </c>
      <c r="J46" s="74">
        <v>175.94575698713444</v>
      </c>
      <c r="K46" s="74">
        <v>61.047025340301808</v>
      </c>
      <c r="L46" s="74">
        <v>490</v>
      </c>
      <c r="M46" s="9" t="str">
        <f t="shared" si="0"/>
        <v>Varón</v>
      </c>
      <c r="N46" s="9" t="str">
        <f t="shared" si="1"/>
        <v>GBA</v>
      </c>
    </row>
    <row r="47" spans="1:14" x14ac:dyDescent="0.25">
      <c r="A47" s="74">
        <v>185</v>
      </c>
      <c r="B47" s="63" t="s">
        <v>422</v>
      </c>
      <c r="C47" s="74">
        <v>12</v>
      </c>
      <c r="D47" s="74">
        <f t="shared" si="3"/>
        <v>8.8888888888888892E-2</v>
      </c>
      <c r="F47" s="74">
        <v>1</v>
      </c>
      <c r="G47" s="74">
        <v>3</v>
      </c>
      <c r="H47" s="74">
        <v>10</v>
      </c>
      <c r="I47" s="74">
        <v>3</v>
      </c>
      <c r="J47" s="74">
        <v>177.22244730110211</v>
      </c>
      <c r="K47" s="74">
        <v>61.182386271759448</v>
      </c>
      <c r="L47" s="74">
        <v>611</v>
      </c>
      <c r="M47" s="9" t="str">
        <f t="shared" si="0"/>
        <v>Varón</v>
      </c>
      <c r="N47" s="9" t="str">
        <f t="shared" si="1"/>
        <v>Resto</v>
      </c>
    </row>
    <row r="48" spans="1:14" x14ac:dyDescent="0.25">
      <c r="A48" s="74">
        <v>190</v>
      </c>
      <c r="B48" s="63" t="s">
        <v>423</v>
      </c>
      <c r="C48" s="74">
        <v>3</v>
      </c>
      <c r="D48" s="74">
        <f t="shared" si="3"/>
        <v>2.2222222222222223E-2</v>
      </c>
      <c r="F48" s="74">
        <v>2</v>
      </c>
      <c r="G48" s="74">
        <v>3</v>
      </c>
      <c r="H48" s="74">
        <v>6</v>
      </c>
      <c r="I48" s="74">
        <v>4</v>
      </c>
      <c r="J48" s="74">
        <v>168.70091269008157</v>
      </c>
      <c r="K48" s="74">
        <v>55.952355954889185</v>
      </c>
      <c r="L48" s="74">
        <v>34</v>
      </c>
      <c r="M48" s="9" t="str">
        <f t="shared" si="0"/>
        <v>Mujer</v>
      </c>
      <c r="N48" s="9" t="str">
        <f t="shared" si="1"/>
        <v>Resto</v>
      </c>
    </row>
    <row r="49" spans="1:14" x14ac:dyDescent="0.25">
      <c r="A49" s="74">
        <v>195</v>
      </c>
      <c r="B49" s="63" t="s">
        <v>424</v>
      </c>
      <c r="C49" s="74">
        <v>3</v>
      </c>
      <c r="D49" s="74">
        <f t="shared" si="3"/>
        <v>2.2222222222222223E-2</v>
      </c>
      <c r="F49" s="74">
        <v>2</v>
      </c>
      <c r="G49" s="74">
        <v>1</v>
      </c>
      <c r="H49" s="74">
        <v>5</v>
      </c>
      <c r="I49" s="74">
        <v>0</v>
      </c>
      <c r="J49" s="74">
        <v>163.83747672615854</v>
      </c>
      <c r="K49" s="74">
        <v>60.852443474247636</v>
      </c>
      <c r="L49" s="74">
        <v>213</v>
      </c>
      <c r="M49" s="9" t="str">
        <f t="shared" si="0"/>
        <v>Mujer</v>
      </c>
      <c r="N49" s="9" t="str">
        <f t="shared" si="1"/>
        <v>CABA</v>
      </c>
    </row>
    <row r="50" spans="1:14" x14ac:dyDescent="0.25">
      <c r="A50" s="74">
        <v>200</v>
      </c>
      <c r="B50" s="63" t="s">
        <v>425</v>
      </c>
      <c r="C50" s="74">
        <v>2</v>
      </c>
      <c r="D50" s="74">
        <f t="shared" si="3"/>
        <v>1.4814814814814815E-2</v>
      </c>
      <c r="F50" s="74">
        <v>2</v>
      </c>
      <c r="G50" s="74">
        <v>1</v>
      </c>
      <c r="H50" s="74">
        <v>3</v>
      </c>
      <c r="I50" s="74">
        <v>2</v>
      </c>
      <c r="J50" s="74">
        <v>166.7950801645357</v>
      </c>
      <c r="K50" s="74">
        <v>59.591722559115119</v>
      </c>
      <c r="L50" s="74">
        <v>167</v>
      </c>
      <c r="M50" s="9" t="str">
        <f t="shared" si="0"/>
        <v>Mujer</v>
      </c>
      <c r="N50" s="9" t="str">
        <f t="shared" si="1"/>
        <v>CABA</v>
      </c>
    </row>
    <row r="51" spans="1:14" x14ac:dyDescent="0.25">
      <c r="B51" s="63" t="s">
        <v>426</v>
      </c>
      <c r="C51" s="74">
        <v>0</v>
      </c>
      <c r="D51" s="74">
        <f t="shared" si="3"/>
        <v>0</v>
      </c>
      <c r="F51" s="74">
        <v>2</v>
      </c>
      <c r="G51" s="74">
        <v>3</v>
      </c>
      <c r="H51" s="74">
        <v>7</v>
      </c>
      <c r="I51" s="74">
        <v>5</v>
      </c>
      <c r="J51" s="74">
        <v>158.94278897488641</v>
      </c>
      <c r="K51" s="74">
        <v>72.883207332127569</v>
      </c>
      <c r="L51" s="74">
        <v>945</v>
      </c>
      <c r="M51" s="9" t="str">
        <f t="shared" si="0"/>
        <v>Mujer</v>
      </c>
      <c r="N51" s="9" t="str">
        <f t="shared" si="1"/>
        <v>Resto</v>
      </c>
    </row>
    <row r="52" spans="1:14" x14ac:dyDescent="0.25">
      <c r="F52" s="74">
        <v>2</v>
      </c>
      <c r="G52" s="74">
        <v>2</v>
      </c>
      <c r="H52" s="74">
        <v>10</v>
      </c>
      <c r="I52" s="74">
        <v>5</v>
      </c>
      <c r="J52" s="74">
        <v>165.89089422764513</v>
      </c>
      <c r="K52" s="74">
        <v>55.672532717411393</v>
      </c>
      <c r="L52" s="74">
        <v>795</v>
      </c>
      <c r="M52" s="9" t="str">
        <f t="shared" si="0"/>
        <v>Mujer</v>
      </c>
      <c r="N52" s="9" t="str">
        <f t="shared" si="1"/>
        <v>GBA</v>
      </c>
    </row>
    <row r="53" spans="1:14" x14ac:dyDescent="0.25">
      <c r="F53" s="74">
        <v>1</v>
      </c>
      <c r="G53" s="74">
        <v>3</v>
      </c>
      <c r="H53" s="74">
        <v>5</v>
      </c>
      <c r="I53" s="74">
        <v>4</v>
      </c>
      <c r="J53" s="74">
        <v>171.61227475129255</v>
      </c>
      <c r="K53" s="74">
        <v>80.695117596157942</v>
      </c>
      <c r="L53" s="74">
        <v>226</v>
      </c>
      <c r="M53" s="9" t="str">
        <f t="shared" si="0"/>
        <v>Varón</v>
      </c>
      <c r="N53" s="9" t="str">
        <f t="shared" si="1"/>
        <v>Resto</v>
      </c>
    </row>
    <row r="54" spans="1:14" x14ac:dyDescent="0.25">
      <c r="F54" s="74">
        <v>1</v>
      </c>
      <c r="G54" s="74">
        <v>3</v>
      </c>
      <c r="H54" s="74">
        <v>9</v>
      </c>
      <c r="I54" s="74">
        <v>4</v>
      </c>
      <c r="J54" s="74">
        <v>173.29773130857714</v>
      </c>
      <c r="K54" s="74">
        <v>67.121751717424061</v>
      </c>
      <c r="L54" s="74">
        <v>799</v>
      </c>
      <c r="M54" s="9" t="str">
        <f t="shared" si="0"/>
        <v>Varón</v>
      </c>
      <c r="N54" s="9" t="str">
        <f t="shared" si="1"/>
        <v>Resto</v>
      </c>
    </row>
    <row r="55" spans="1:14" x14ac:dyDescent="0.25">
      <c r="F55" s="74">
        <v>1</v>
      </c>
      <c r="G55" s="74">
        <v>2</v>
      </c>
      <c r="H55" s="74">
        <v>8</v>
      </c>
      <c r="I55" s="74">
        <v>0</v>
      </c>
      <c r="J55" s="74">
        <v>181.11840524004535</v>
      </c>
      <c r="K55" s="74">
        <v>96.771436314256988</v>
      </c>
      <c r="L55" s="74">
        <v>869</v>
      </c>
      <c r="M55" s="9" t="str">
        <f t="shared" si="0"/>
        <v>Varón</v>
      </c>
      <c r="N55" s="9" t="str">
        <f t="shared" si="1"/>
        <v>GBA</v>
      </c>
    </row>
    <row r="56" spans="1:14" x14ac:dyDescent="0.25">
      <c r="F56" s="74">
        <v>2</v>
      </c>
      <c r="G56" s="74">
        <v>2</v>
      </c>
      <c r="H56" s="74">
        <v>8</v>
      </c>
      <c r="I56" s="74">
        <v>4</v>
      </c>
      <c r="J56" s="74">
        <v>177.18216787581849</v>
      </c>
      <c r="K56" s="74">
        <v>92.171376520281001</v>
      </c>
      <c r="L56" s="74">
        <v>925</v>
      </c>
      <c r="M56" s="9" t="str">
        <f t="shared" si="0"/>
        <v>Mujer</v>
      </c>
      <c r="N56" s="9" t="str">
        <f t="shared" si="1"/>
        <v>GBA</v>
      </c>
    </row>
    <row r="57" spans="1:14" x14ac:dyDescent="0.25">
      <c r="F57" s="74">
        <v>2</v>
      </c>
      <c r="G57" s="74">
        <v>3</v>
      </c>
      <c r="H57" s="74">
        <v>10</v>
      </c>
      <c r="I57" s="74">
        <v>0</v>
      </c>
      <c r="J57" s="74">
        <v>167.93386481947857</v>
      </c>
      <c r="K57" s="74">
        <v>64.638486528750235</v>
      </c>
      <c r="L57" s="74">
        <v>190</v>
      </c>
      <c r="M57" s="9" t="str">
        <f t="shared" si="0"/>
        <v>Mujer</v>
      </c>
      <c r="N57" s="9" t="str">
        <f t="shared" si="1"/>
        <v>Resto</v>
      </c>
    </row>
    <row r="58" spans="1:14" x14ac:dyDescent="0.25">
      <c r="F58" s="74">
        <v>1</v>
      </c>
      <c r="G58" s="74">
        <v>2</v>
      </c>
      <c r="H58" s="74">
        <v>7</v>
      </c>
      <c r="I58" s="74">
        <v>2</v>
      </c>
      <c r="J58" s="74">
        <v>175.80352732823738</v>
      </c>
      <c r="K58" s="74">
        <v>82.954066513299026</v>
      </c>
      <c r="L58" s="74">
        <v>920</v>
      </c>
      <c r="M58" s="9" t="str">
        <f t="shared" si="0"/>
        <v>Varón</v>
      </c>
      <c r="N58" s="9" t="str">
        <f t="shared" si="1"/>
        <v>GBA</v>
      </c>
    </row>
    <row r="59" spans="1:14" x14ac:dyDescent="0.25">
      <c r="F59" s="74">
        <v>2</v>
      </c>
      <c r="G59" s="74">
        <v>3</v>
      </c>
      <c r="H59" s="74">
        <v>10</v>
      </c>
      <c r="I59" s="74">
        <v>5</v>
      </c>
      <c r="J59" s="74">
        <v>183.36811963286442</v>
      </c>
      <c r="K59" s="74">
        <v>68.8280563583765</v>
      </c>
      <c r="L59" s="74">
        <v>315</v>
      </c>
      <c r="M59" s="9" t="str">
        <f t="shared" si="0"/>
        <v>Mujer</v>
      </c>
      <c r="N59" s="9" t="str">
        <f t="shared" si="1"/>
        <v>Resto</v>
      </c>
    </row>
    <row r="60" spans="1:14" x14ac:dyDescent="0.25">
      <c r="F60" s="74">
        <v>1</v>
      </c>
      <c r="G60" s="74">
        <v>2</v>
      </c>
      <c r="H60" s="74">
        <v>7</v>
      </c>
      <c r="I60" s="74">
        <v>1</v>
      </c>
      <c r="J60" s="74">
        <v>184.34867521952347</v>
      </c>
      <c r="K60" s="74">
        <v>98.01110781517761</v>
      </c>
      <c r="L60" s="74">
        <v>127</v>
      </c>
      <c r="M60" s="9" t="str">
        <f t="shared" si="0"/>
        <v>Varón</v>
      </c>
      <c r="N60" s="9" t="str">
        <f t="shared" si="1"/>
        <v>GBA</v>
      </c>
    </row>
    <row r="61" spans="1:14" x14ac:dyDescent="0.25">
      <c r="F61" s="74">
        <v>2</v>
      </c>
      <c r="G61" s="74">
        <v>2</v>
      </c>
      <c r="H61" s="74">
        <v>4</v>
      </c>
      <c r="I61" s="74">
        <v>4</v>
      </c>
      <c r="J61" s="74">
        <v>150.22951113596699</v>
      </c>
      <c r="K61" s="74">
        <v>63.012385597095346</v>
      </c>
      <c r="L61" s="74">
        <v>252</v>
      </c>
      <c r="M61" s="9" t="str">
        <f t="shared" si="0"/>
        <v>Mujer</v>
      </c>
      <c r="N61" s="9" t="str">
        <f t="shared" si="1"/>
        <v>GBA</v>
      </c>
    </row>
    <row r="62" spans="1:14" x14ac:dyDescent="0.25">
      <c r="F62" s="74">
        <v>1</v>
      </c>
      <c r="G62" s="74">
        <v>3</v>
      </c>
      <c r="H62" s="74">
        <v>2</v>
      </c>
      <c r="I62" s="74">
        <v>2</v>
      </c>
      <c r="J62" s="74">
        <v>160.08836753634901</v>
      </c>
      <c r="K62" s="74">
        <v>70.093360624939407</v>
      </c>
      <c r="L62" s="74">
        <v>438</v>
      </c>
      <c r="M62" s="9" t="str">
        <f t="shared" si="0"/>
        <v>Varón</v>
      </c>
      <c r="N62" s="9" t="str">
        <f t="shared" si="1"/>
        <v>Resto</v>
      </c>
    </row>
    <row r="63" spans="1:14" x14ac:dyDescent="0.25">
      <c r="F63" s="74">
        <v>1</v>
      </c>
      <c r="G63" s="74">
        <v>2</v>
      </c>
      <c r="H63" s="74">
        <v>9</v>
      </c>
      <c r="I63" s="74">
        <v>2</v>
      </c>
      <c r="J63" s="74">
        <v>176.4284905295236</v>
      </c>
      <c r="K63" s="74">
        <v>76.354561099600758</v>
      </c>
      <c r="L63" s="74">
        <v>695</v>
      </c>
      <c r="M63" s="9" t="str">
        <f t="shared" si="0"/>
        <v>Varón</v>
      </c>
      <c r="N63" s="9" t="str">
        <f t="shared" si="1"/>
        <v>GBA</v>
      </c>
    </row>
    <row r="64" spans="1:14" x14ac:dyDescent="0.25">
      <c r="F64" s="74">
        <v>2</v>
      </c>
      <c r="G64" s="74">
        <v>3</v>
      </c>
      <c r="H64" s="74">
        <v>1</v>
      </c>
      <c r="I64" s="74">
        <v>3</v>
      </c>
      <c r="J64" s="74">
        <v>150.21855185061423</v>
      </c>
      <c r="K64" s="74">
        <v>47.523181652121494</v>
      </c>
      <c r="L64" s="74">
        <v>40</v>
      </c>
      <c r="M64" s="9" t="str">
        <f t="shared" si="0"/>
        <v>Mujer</v>
      </c>
      <c r="N64" s="9" t="str">
        <f t="shared" si="1"/>
        <v>Resto</v>
      </c>
    </row>
    <row r="65" spans="6:14" x14ac:dyDescent="0.25">
      <c r="F65" s="74">
        <v>1</v>
      </c>
      <c r="G65" s="74">
        <v>2</v>
      </c>
      <c r="H65" s="74">
        <v>6</v>
      </c>
      <c r="I65" s="74">
        <v>0</v>
      </c>
      <c r="J65" s="74">
        <v>162.31895791445768</v>
      </c>
      <c r="K65" s="74">
        <v>47.899653370955711</v>
      </c>
      <c r="L65" s="74">
        <v>974</v>
      </c>
      <c r="M65" s="9" t="str">
        <f t="shared" si="0"/>
        <v>Varón</v>
      </c>
      <c r="N65" s="9" t="str">
        <f t="shared" si="1"/>
        <v>GBA</v>
      </c>
    </row>
    <row r="66" spans="6:14" x14ac:dyDescent="0.25">
      <c r="F66" s="74">
        <v>2</v>
      </c>
      <c r="G66" s="74">
        <v>2</v>
      </c>
      <c r="H66" s="74">
        <v>3</v>
      </c>
      <c r="I66" s="74">
        <v>4</v>
      </c>
      <c r="J66" s="74">
        <v>178.92715992699223</v>
      </c>
      <c r="K66" s="74">
        <v>59.003513335231212</v>
      </c>
      <c r="L66" s="74">
        <v>953</v>
      </c>
      <c r="M66" s="9" t="str">
        <f t="shared" si="0"/>
        <v>Mujer</v>
      </c>
      <c r="N66" s="9" t="str">
        <f t="shared" si="1"/>
        <v>GBA</v>
      </c>
    </row>
    <row r="67" spans="6:14" x14ac:dyDescent="0.25">
      <c r="F67" s="74">
        <v>1</v>
      </c>
      <c r="G67" s="74">
        <v>2</v>
      </c>
      <c r="H67" s="74">
        <v>10</v>
      </c>
      <c r="I67" s="74">
        <v>5</v>
      </c>
      <c r="J67" s="74">
        <v>151.9650253538623</v>
      </c>
      <c r="K67" s="74">
        <v>45.724870482984031</v>
      </c>
      <c r="L67" s="74">
        <v>98</v>
      </c>
      <c r="M67" s="9" t="str">
        <f t="shared" ref="M67:M130" si="4">IF(F67=1,"Varón","Mujer")</f>
        <v>Varón</v>
      </c>
      <c r="N67" s="9" t="str">
        <f t="shared" ref="N67:N130" si="5">IF(G67=1,"CABA",IF(G67=2,"GBA","Resto"))</f>
        <v>GBA</v>
      </c>
    </row>
    <row r="68" spans="6:14" x14ac:dyDescent="0.25">
      <c r="F68" s="74">
        <v>1</v>
      </c>
      <c r="G68" s="74">
        <v>1</v>
      </c>
      <c r="H68" s="74">
        <v>9</v>
      </c>
      <c r="I68" s="74">
        <v>2</v>
      </c>
      <c r="J68" s="74">
        <v>172.56531098361194</v>
      </c>
      <c r="K68" s="74">
        <v>85.346002266259418</v>
      </c>
      <c r="L68" s="74">
        <v>389</v>
      </c>
      <c r="M68" s="9" t="str">
        <f t="shared" si="4"/>
        <v>Varón</v>
      </c>
      <c r="N68" s="9" t="str">
        <f t="shared" si="5"/>
        <v>CABA</v>
      </c>
    </row>
    <row r="69" spans="6:14" x14ac:dyDescent="0.25">
      <c r="F69" s="74">
        <v>2</v>
      </c>
      <c r="G69" s="74">
        <v>1</v>
      </c>
      <c r="H69" s="74">
        <v>7</v>
      </c>
      <c r="I69" s="74">
        <v>5</v>
      </c>
      <c r="J69" s="74">
        <v>150.672799798482</v>
      </c>
      <c r="K69" s="74">
        <v>55.461700819634132</v>
      </c>
      <c r="L69" s="74">
        <v>696</v>
      </c>
      <c r="M69" s="9" t="str">
        <f t="shared" si="4"/>
        <v>Mujer</v>
      </c>
      <c r="N69" s="9" t="str">
        <f t="shared" si="5"/>
        <v>CABA</v>
      </c>
    </row>
    <row r="70" spans="6:14" x14ac:dyDescent="0.25">
      <c r="F70" s="74">
        <v>1</v>
      </c>
      <c r="G70" s="74">
        <v>2</v>
      </c>
      <c r="H70" s="74">
        <v>3</v>
      </c>
      <c r="I70" s="74">
        <v>1</v>
      </c>
      <c r="J70" s="74">
        <v>172.45754246398351</v>
      </c>
      <c r="K70" s="74">
        <v>72.450547228817825</v>
      </c>
      <c r="L70" s="74">
        <v>745</v>
      </c>
      <c r="M70" s="9" t="str">
        <f t="shared" si="4"/>
        <v>Varón</v>
      </c>
      <c r="N70" s="9" t="str">
        <f t="shared" si="5"/>
        <v>GBA</v>
      </c>
    </row>
    <row r="71" spans="6:14" x14ac:dyDescent="0.25">
      <c r="F71" s="74">
        <v>2</v>
      </c>
      <c r="G71" s="74">
        <v>3</v>
      </c>
      <c r="H71" s="74">
        <v>10</v>
      </c>
      <c r="I71" s="74">
        <v>0</v>
      </c>
      <c r="J71" s="74">
        <v>187.02080606488914</v>
      </c>
      <c r="K71" s="74">
        <v>79.257387788030542</v>
      </c>
      <c r="L71" s="74">
        <v>609</v>
      </c>
      <c r="M71" s="9" t="str">
        <f t="shared" si="4"/>
        <v>Mujer</v>
      </c>
      <c r="N71" s="9" t="str">
        <f t="shared" si="5"/>
        <v>Resto</v>
      </c>
    </row>
    <row r="72" spans="6:14" x14ac:dyDescent="0.25">
      <c r="F72" s="74">
        <v>2</v>
      </c>
      <c r="G72" s="74">
        <v>1</v>
      </c>
      <c r="H72" s="74">
        <v>4</v>
      </c>
      <c r="I72" s="74">
        <v>0</v>
      </c>
      <c r="J72" s="74">
        <v>168.39979553276149</v>
      </c>
      <c r="K72" s="74">
        <v>59.552831384499349</v>
      </c>
      <c r="L72" s="74">
        <v>387</v>
      </c>
      <c r="M72" s="9" t="str">
        <f t="shared" si="4"/>
        <v>Mujer</v>
      </c>
      <c r="N72" s="9" t="str">
        <f t="shared" si="5"/>
        <v>CABA</v>
      </c>
    </row>
    <row r="73" spans="6:14" x14ac:dyDescent="0.25">
      <c r="F73" s="74">
        <v>2</v>
      </c>
      <c r="G73" s="74">
        <v>3</v>
      </c>
      <c r="H73" s="74">
        <v>1</v>
      </c>
      <c r="I73" s="74">
        <v>0</v>
      </c>
      <c r="J73" s="74">
        <v>156.52849423529821</v>
      </c>
      <c r="K73" s="74">
        <v>53.412549526502133</v>
      </c>
      <c r="L73" s="74">
        <v>718</v>
      </c>
      <c r="M73" s="9" t="str">
        <f t="shared" si="4"/>
        <v>Mujer</v>
      </c>
      <c r="N73" s="9" t="str">
        <f t="shared" si="5"/>
        <v>Resto</v>
      </c>
    </row>
    <row r="74" spans="6:14" x14ac:dyDescent="0.25">
      <c r="F74" s="74">
        <v>2</v>
      </c>
      <c r="G74" s="74">
        <v>2</v>
      </c>
      <c r="H74" s="74">
        <v>2</v>
      </c>
      <c r="I74" s="74">
        <v>0</v>
      </c>
      <c r="J74" s="74">
        <v>164.79966788346073</v>
      </c>
      <c r="K74" s="74">
        <v>73.003205276733198</v>
      </c>
      <c r="L74" s="74">
        <v>690</v>
      </c>
      <c r="M74" s="9" t="str">
        <f t="shared" si="4"/>
        <v>Mujer</v>
      </c>
      <c r="N74" s="9" t="str">
        <f t="shared" si="5"/>
        <v>GBA</v>
      </c>
    </row>
    <row r="75" spans="6:14" x14ac:dyDescent="0.25">
      <c r="F75" s="74">
        <v>2</v>
      </c>
      <c r="G75" s="74">
        <v>3</v>
      </c>
      <c r="H75" s="74">
        <v>10</v>
      </c>
      <c r="I75" s="74">
        <v>2</v>
      </c>
      <c r="J75" s="74">
        <v>151.55023399578101</v>
      </c>
      <c r="K75" s="74">
        <v>51.745717624668487</v>
      </c>
      <c r="L75" s="74">
        <v>723</v>
      </c>
      <c r="M75" s="9" t="str">
        <f t="shared" si="4"/>
        <v>Mujer</v>
      </c>
      <c r="N75" s="9" t="str">
        <f t="shared" si="5"/>
        <v>Resto</v>
      </c>
    </row>
    <row r="76" spans="6:14" x14ac:dyDescent="0.25">
      <c r="F76" s="74">
        <v>1</v>
      </c>
      <c r="G76" s="74">
        <v>1</v>
      </c>
      <c r="H76" s="74">
        <v>8</v>
      </c>
      <c r="I76" s="74">
        <v>0</v>
      </c>
      <c r="J76" s="74">
        <v>176.40482050341475</v>
      </c>
      <c r="K76" s="74">
        <v>67.340781747966034</v>
      </c>
      <c r="L76" s="74">
        <v>327</v>
      </c>
      <c r="M76" s="9" t="str">
        <f t="shared" si="4"/>
        <v>Varón</v>
      </c>
      <c r="N76" s="9" t="str">
        <f t="shared" si="5"/>
        <v>CABA</v>
      </c>
    </row>
    <row r="77" spans="6:14" x14ac:dyDescent="0.25">
      <c r="F77" s="74">
        <v>1</v>
      </c>
      <c r="G77" s="74">
        <v>3</v>
      </c>
      <c r="H77" s="74">
        <v>9</v>
      </c>
      <c r="I77" s="74">
        <v>3</v>
      </c>
      <c r="J77" s="74">
        <v>196.587766801219</v>
      </c>
      <c r="K77" s="74">
        <v>97.660337391235203</v>
      </c>
      <c r="L77" s="74">
        <v>957</v>
      </c>
      <c r="M77" s="9" t="str">
        <f t="shared" si="4"/>
        <v>Varón</v>
      </c>
      <c r="N77" s="9" t="str">
        <f t="shared" si="5"/>
        <v>Resto</v>
      </c>
    </row>
    <row r="78" spans="6:14" x14ac:dyDescent="0.25">
      <c r="F78" s="74">
        <v>1</v>
      </c>
      <c r="G78" s="74">
        <v>1</v>
      </c>
      <c r="H78" s="74">
        <v>4</v>
      </c>
      <c r="I78" s="74">
        <v>5</v>
      </c>
      <c r="J78" s="74">
        <v>174.59927796466113</v>
      </c>
      <c r="K78" s="74">
        <v>74.352690284639863</v>
      </c>
      <c r="L78" s="74">
        <v>452</v>
      </c>
      <c r="M78" s="9" t="str">
        <f t="shared" si="4"/>
        <v>Varón</v>
      </c>
      <c r="N78" s="9" t="str">
        <f t="shared" si="5"/>
        <v>CABA</v>
      </c>
    </row>
    <row r="79" spans="6:14" x14ac:dyDescent="0.25">
      <c r="F79" s="74">
        <v>1</v>
      </c>
      <c r="G79" s="74">
        <v>2</v>
      </c>
      <c r="H79" s="74">
        <v>5</v>
      </c>
      <c r="I79" s="74">
        <v>4</v>
      </c>
      <c r="J79" s="74">
        <v>181.29452623119261</v>
      </c>
      <c r="K79" s="74">
        <v>83.286765081688799</v>
      </c>
      <c r="L79" s="74">
        <v>978</v>
      </c>
      <c r="M79" s="9" t="str">
        <f t="shared" si="4"/>
        <v>Varón</v>
      </c>
      <c r="N79" s="9" t="str">
        <f t="shared" si="5"/>
        <v>GBA</v>
      </c>
    </row>
    <row r="80" spans="6:14" x14ac:dyDescent="0.25">
      <c r="F80" s="74">
        <v>2</v>
      </c>
      <c r="G80" s="74">
        <v>3</v>
      </c>
      <c r="H80" s="74">
        <v>7</v>
      </c>
      <c r="I80" s="74">
        <v>2</v>
      </c>
      <c r="J80" s="74">
        <v>156.71525392472395</v>
      </c>
      <c r="K80" s="74">
        <v>51.477070023399719</v>
      </c>
      <c r="L80" s="74">
        <v>815</v>
      </c>
      <c r="M80" s="9" t="str">
        <f t="shared" si="4"/>
        <v>Mujer</v>
      </c>
      <c r="N80" s="9" t="str">
        <f t="shared" si="5"/>
        <v>Resto</v>
      </c>
    </row>
    <row r="81" spans="1:14" x14ac:dyDescent="0.25">
      <c r="F81" s="74">
        <v>2</v>
      </c>
      <c r="G81" s="74">
        <v>2</v>
      </c>
      <c r="H81" s="74">
        <v>7</v>
      </c>
      <c r="I81" s="74">
        <v>4</v>
      </c>
      <c r="J81" s="74">
        <v>166.62771964063691</v>
      </c>
      <c r="K81" s="74">
        <v>56.779009768146139</v>
      </c>
      <c r="L81" s="74">
        <v>295</v>
      </c>
      <c r="M81" s="9" t="str">
        <f t="shared" si="4"/>
        <v>Mujer</v>
      </c>
      <c r="N81" s="9" t="str">
        <f t="shared" si="5"/>
        <v>GBA</v>
      </c>
    </row>
    <row r="82" spans="1:14" x14ac:dyDescent="0.25">
      <c r="F82" s="74">
        <v>1</v>
      </c>
      <c r="G82" s="74">
        <v>3</v>
      </c>
      <c r="H82" s="74">
        <v>4</v>
      </c>
      <c r="I82" s="74">
        <v>5</v>
      </c>
      <c r="J82" s="74">
        <v>161.48021722926794</v>
      </c>
      <c r="K82" s="74">
        <v>58.566382809700364</v>
      </c>
      <c r="L82" s="74">
        <v>863</v>
      </c>
      <c r="M82" s="9" t="str">
        <f t="shared" si="4"/>
        <v>Varón</v>
      </c>
      <c r="N82" s="9" t="str">
        <f t="shared" si="5"/>
        <v>Resto</v>
      </c>
    </row>
    <row r="83" spans="1:14" x14ac:dyDescent="0.25">
      <c r="F83" s="74">
        <v>1</v>
      </c>
      <c r="G83" s="74">
        <v>3</v>
      </c>
      <c r="H83" s="74">
        <v>9</v>
      </c>
      <c r="I83" s="74">
        <v>4</v>
      </c>
      <c r="J83" s="74">
        <v>193.46742243498332</v>
      </c>
      <c r="K83" s="74">
        <v>106.67448409936343</v>
      </c>
      <c r="L83" s="74">
        <v>610</v>
      </c>
      <c r="M83" s="9" t="str">
        <f t="shared" si="4"/>
        <v>Varón</v>
      </c>
      <c r="N83" s="9" t="str">
        <f t="shared" si="5"/>
        <v>Resto</v>
      </c>
    </row>
    <row r="84" spans="1:14" x14ac:dyDescent="0.25">
      <c r="F84" s="74">
        <v>2</v>
      </c>
      <c r="G84" s="74">
        <v>3</v>
      </c>
      <c r="H84" s="74">
        <v>9</v>
      </c>
      <c r="I84" s="74">
        <v>4</v>
      </c>
      <c r="J84" s="74">
        <v>169.57971100387974</v>
      </c>
      <c r="K84" s="74">
        <v>55.760362786885011</v>
      </c>
      <c r="L84" s="74">
        <v>261</v>
      </c>
      <c r="M84" s="9" t="str">
        <f t="shared" si="4"/>
        <v>Mujer</v>
      </c>
      <c r="N84" s="9" t="str">
        <f t="shared" si="5"/>
        <v>Resto</v>
      </c>
    </row>
    <row r="85" spans="1:14" x14ac:dyDescent="0.25">
      <c r="F85" s="74">
        <v>2</v>
      </c>
      <c r="G85" s="74">
        <v>1</v>
      </c>
      <c r="H85" s="74">
        <v>9</v>
      </c>
      <c r="I85" s="74">
        <v>1</v>
      </c>
      <c r="J85" s="74">
        <v>177.91254582411082</v>
      </c>
      <c r="K85" s="74">
        <v>71.37723078344483</v>
      </c>
      <c r="L85" s="74">
        <v>11</v>
      </c>
      <c r="M85" s="9" t="str">
        <f t="shared" si="4"/>
        <v>Mujer</v>
      </c>
      <c r="N85" s="9" t="str">
        <f t="shared" si="5"/>
        <v>CABA</v>
      </c>
    </row>
    <row r="86" spans="1:14" x14ac:dyDescent="0.25">
      <c r="A86" s="1" t="s">
        <v>337</v>
      </c>
      <c r="F86" s="74">
        <v>2</v>
      </c>
      <c r="G86" s="74">
        <v>2</v>
      </c>
      <c r="H86" s="74">
        <v>10</v>
      </c>
      <c r="I86" s="74">
        <v>4</v>
      </c>
      <c r="J86" s="74">
        <v>157.1501300154606</v>
      </c>
      <c r="K86" s="74">
        <v>47.811772272464268</v>
      </c>
      <c r="L86" s="74">
        <v>701</v>
      </c>
      <c r="M86" s="9" t="str">
        <f t="shared" si="4"/>
        <v>Mujer</v>
      </c>
      <c r="N86" s="9" t="str">
        <f t="shared" si="5"/>
        <v>GBA</v>
      </c>
    </row>
    <row r="87" spans="1:14" x14ac:dyDescent="0.25">
      <c r="F87" s="74">
        <v>1</v>
      </c>
      <c r="G87" s="74">
        <v>3</v>
      </c>
      <c r="H87" s="74">
        <v>5</v>
      </c>
      <c r="I87" s="74">
        <v>2</v>
      </c>
      <c r="J87" s="74">
        <v>167.70999242761465</v>
      </c>
      <c r="K87" s="74">
        <v>67.785206159770055</v>
      </c>
      <c r="L87" s="74">
        <v>70</v>
      </c>
      <c r="M87" s="9" t="str">
        <f t="shared" si="4"/>
        <v>Varón</v>
      </c>
      <c r="N87" s="9" t="str">
        <f t="shared" si="5"/>
        <v>Resto</v>
      </c>
    </row>
    <row r="88" spans="1:14" x14ac:dyDescent="0.25">
      <c r="A88" s="60" t="s">
        <v>189</v>
      </c>
      <c r="B88" t="s">
        <v>427</v>
      </c>
      <c r="C88"/>
      <c r="F88" s="74">
        <v>2</v>
      </c>
      <c r="G88" s="74">
        <v>2</v>
      </c>
      <c r="H88" s="74">
        <v>1</v>
      </c>
      <c r="I88" s="74">
        <v>2</v>
      </c>
      <c r="J88" s="74">
        <v>173.6613192506592</v>
      </c>
      <c r="K88" s="74">
        <v>56.335618105646674</v>
      </c>
      <c r="L88" s="74">
        <v>773</v>
      </c>
      <c r="M88" s="9" t="str">
        <f t="shared" si="4"/>
        <v>Mujer</v>
      </c>
      <c r="N88" s="9" t="str">
        <f t="shared" si="5"/>
        <v>GBA</v>
      </c>
    </row>
    <row r="89" spans="1:14" x14ac:dyDescent="0.25">
      <c r="A89" s="40" t="s">
        <v>299</v>
      </c>
      <c r="B89" s="41">
        <v>165.81530715260473</v>
      </c>
      <c r="C89"/>
      <c r="F89" s="74">
        <v>2</v>
      </c>
      <c r="G89" s="74">
        <v>3</v>
      </c>
      <c r="H89" s="74">
        <v>10</v>
      </c>
      <c r="I89" s="74">
        <v>5</v>
      </c>
      <c r="J89" s="74">
        <v>177.94311029269605</v>
      </c>
      <c r="K89" s="74">
        <v>63.359164751777818</v>
      </c>
      <c r="L89" s="74">
        <v>707</v>
      </c>
      <c r="M89" s="9" t="str">
        <f t="shared" si="4"/>
        <v>Mujer</v>
      </c>
      <c r="N89" s="9" t="str">
        <f t="shared" si="5"/>
        <v>Resto</v>
      </c>
    </row>
    <row r="90" spans="1:14" x14ac:dyDescent="0.25">
      <c r="A90" s="40" t="s">
        <v>298</v>
      </c>
      <c r="B90" s="41">
        <v>174.47290940367421</v>
      </c>
      <c r="C90"/>
      <c r="F90" s="74">
        <v>1</v>
      </c>
      <c r="G90" s="74">
        <v>3</v>
      </c>
      <c r="H90" s="74">
        <v>3</v>
      </c>
      <c r="I90" s="74">
        <v>1</v>
      </c>
      <c r="J90" s="74">
        <v>166.75176499976916</v>
      </c>
      <c r="K90" s="74">
        <v>70.961297685133587</v>
      </c>
      <c r="L90" s="74">
        <v>43</v>
      </c>
      <c r="M90" s="9" t="str">
        <f t="shared" si="4"/>
        <v>Varón</v>
      </c>
      <c r="N90" s="9" t="str">
        <f t="shared" si="5"/>
        <v>Resto</v>
      </c>
    </row>
    <row r="91" spans="1:14" x14ac:dyDescent="0.25">
      <c r="A91" s="40" t="s">
        <v>190</v>
      </c>
      <c r="B91" s="41">
        <v>169.79139114939218</v>
      </c>
      <c r="C91"/>
      <c r="F91" s="74">
        <v>2</v>
      </c>
      <c r="G91" s="74">
        <v>1</v>
      </c>
      <c r="H91" s="74">
        <v>9</v>
      </c>
      <c r="I91" s="74">
        <v>4</v>
      </c>
      <c r="J91" s="74">
        <v>151.72589818809561</v>
      </c>
      <c r="K91" s="74">
        <v>43.255985832069605</v>
      </c>
      <c r="L91" s="74">
        <v>916</v>
      </c>
      <c r="M91" s="9" t="str">
        <f t="shared" si="4"/>
        <v>Mujer</v>
      </c>
      <c r="N91" s="9" t="str">
        <f t="shared" si="5"/>
        <v>CABA</v>
      </c>
    </row>
    <row r="92" spans="1:14" x14ac:dyDescent="0.25">
      <c r="A92"/>
      <c r="B92"/>
      <c r="C92"/>
      <c r="F92" s="74">
        <v>1</v>
      </c>
      <c r="G92" s="74">
        <v>2</v>
      </c>
      <c r="H92" s="74">
        <v>4</v>
      </c>
      <c r="I92" s="74">
        <v>5</v>
      </c>
      <c r="J92" s="74">
        <v>167.80288057473894</v>
      </c>
      <c r="K92" s="74">
        <v>68.845837452845331</v>
      </c>
      <c r="L92" s="74">
        <v>31</v>
      </c>
      <c r="M92" s="9" t="str">
        <f t="shared" si="4"/>
        <v>Varón</v>
      </c>
      <c r="N92" s="9" t="str">
        <f t="shared" si="5"/>
        <v>GBA</v>
      </c>
    </row>
    <row r="93" spans="1:14" x14ac:dyDescent="0.25">
      <c r="A93"/>
      <c r="B93"/>
      <c r="C93"/>
      <c r="F93" s="74">
        <v>1</v>
      </c>
      <c r="G93" s="74">
        <v>3</v>
      </c>
      <c r="H93" s="74">
        <v>4</v>
      </c>
      <c r="I93" s="74">
        <v>4</v>
      </c>
      <c r="J93" s="74">
        <v>177.21270679069806</v>
      </c>
      <c r="K93" s="74">
        <v>70.000281545783523</v>
      </c>
      <c r="L93" s="74">
        <v>389</v>
      </c>
      <c r="M93" s="9" t="str">
        <f t="shared" si="4"/>
        <v>Varón</v>
      </c>
      <c r="N93" s="9" t="str">
        <f t="shared" si="5"/>
        <v>Resto</v>
      </c>
    </row>
    <row r="94" spans="1:14" x14ac:dyDescent="0.25">
      <c r="A94" s="76" t="s">
        <v>428</v>
      </c>
      <c r="B94"/>
      <c r="C94"/>
      <c r="F94" s="74">
        <v>1</v>
      </c>
      <c r="G94" s="74">
        <v>2</v>
      </c>
      <c r="H94" s="74">
        <v>2</v>
      </c>
      <c r="I94" s="74">
        <v>4</v>
      </c>
      <c r="J94" s="74">
        <v>176.78004053279321</v>
      </c>
      <c r="K94" s="74">
        <v>69.065113835014984</v>
      </c>
      <c r="L94" s="74">
        <v>690</v>
      </c>
      <c r="M94" s="9" t="str">
        <f t="shared" si="4"/>
        <v>Varón</v>
      </c>
      <c r="N94" s="9" t="str">
        <f t="shared" si="5"/>
        <v>GBA</v>
      </c>
    </row>
    <row r="95" spans="1:14" x14ac:dyDescent="0.25">
      <c r="A95"/>
      <c r="B95"/>
      <c r="C95"/>
      <c r="F95" s="74">
        <v>1</v>
      </c>
      <c r="G95" s="74">
        <v>1</v>
      </c>
      <c r="H95" s="74">
        <v>9</v>
      </c>
      <c r="I95" s="74">
        <v>2</v>
      </c>
      <c r="J95" s="74">
        <v>195.95424593485251</v>
      </c>
      <c r="K95" s="74">
        <v>89.352300745259527</v>
      </c>
      <c r="L95" s="74">
        <v>543</v>
      </c>
      <c r="M95" s="9" t="str">
        <f t="shared" si="4"/>
        <v>Varón</v>
      </c>
      <c r="N95" s="9" t="str">
        <f t="shared" si="5"/>
        <v>CABA</v>
      </c>
    </row>
    <row r="96" spans="1:14" x14ac:dyDescent="0.25">
      <c r="A96" s="60" t="s">
        <v>301</v>
      </c>
      <c r="B96" s="60" t="s">
        <v>432</v>
      </c>
      <c r="C96"/>
      <c r="D96"/>
      <c r="F96" s="74">
        <v>1</v>
      </c>
      <c r="G96" s="74">
        <v>3</v>
      </c>
      <c r="H96" s="74">
        <v>6</v>
      </c>
      <c r="I96" s="74">
        <v>1</v>
      </c>
      <c r="J96" s="74">
        <v>165.78600724601515</v>
      </c>
      <c r="K96" s="74">
        <v>56.234310406286063</v>
      </c>
      <c r="L96" s="74">
        <v>459</v>
      </c>
      <c r="M96" s="9" t="str">
        <f t="shared" si="4"/>
        <v>Varón</v>
      </c>
      <c r="N96" s="9" t="str">
        <f t="shared" si="5"/>
        <v>Resto</v>
      </c>
    </row>
    <row r="97" spans="1:14" x14ac:dyDescent="0.25">
      <c r="A97" s="60" t="s">
        <v>189</v>
      </c>
      <c r="B97" s="74" t="s">
        <v>299</v>
      </c>
      <c r="C97" s="74" t="s">
        <v>298</v>
      </c>
      <c r="D97" s="74" t="s">
        <v>190</v>
      </c>
      <c r="F97" s="74">
        <v>2</v>
      </c>
      <c r="G97" s="74">
        <v>3</v>
      </c>
      <c r="H97" s="74">
        <v>4</v>
      </c>
      <c r="I97" s="74">
        <v>5</v>
      </c>
      <c r="J97" s="74">
        <v>170.34322016626999</v>
      </c>
      <c r="K97" s="74">
        <v>85.425496461072584</v>
      </c>
      <c r="L97" s="74">
        <v>487</v>
      </c>
      <c r="M97" s="9" t="str">
        <f t="shared" si="4"/>
        <v>Mujer</v>
      </c>
      <c r="N97" s="9" t="str">
        <f t="shared" si="5"/>
        <v>Resto</v>
      </c>
    </row>
    <row r="98" spans="1:14" x14ac:dyDescent="0.25">
      <c r="A98" s="40" t="s">
        <v>429</v>
      </c>
      <c r="B98" s="41">
        <v>24</v>
      </c>
      <c r="C98" s="41">
        <v>14</v>
      </c>
      <c r="D98" s="41">
        <v>38</v>
      </c>
      <c r="F98" s="74">
        <v>1</v>
      </c>
      <c r="G98" s="74">
        <v>3</v>
      </c>
      <c r="H98" s="74">
        <v>6</v>
      </c>
      <c r="I98" s="74">
        <v>3</v>
      </c>
      <c r="J98" s="74">
        <v>182.15704890895509</v>
      </c>
      <c r="K98" s="74">
        <v>83.882049501130794</v>
      </c>
      <c r="L98" s="74">
        <v>216</v>
      </c>
      <c r="M98" s="9" t="str">
        <f t="shared" si="4"/>
        <v>Varón</v>
      </c>
      <c r="N98" s="9" t="str">
        <f t="shared" si="5"/>
        <v>Resto</v>
      </c>
    </row>
    <row r="99" spans="1:14" x14ac:dyDescent="0.25">
      <c r="A99" s="40" t="s">
        <v>430</v>
      </c>
      <c r="B99" s="41">
        <v>23</v>
      </c>
      <c r="C99" s="41">
        <v>25</v>
      </c>
      <c r="D99" s="41">
        <v>48</v>
      </c>
      <c r="F99" s="74">
        <v>2</v>
      </c>
      <c r="G99" s="74">
        <v>2</v>
      </c>
      <c r="H99" s="74">
        <v>10</v>
      </c>
      <c r="I99" s="74">
        <v>3</v>
      </c>
      <c r="J99" s="74">
        <v>159.46759243069991</v>
      </c>
      <c r="K99" s="74">
        <v>47.630227115760874</v>
      </c>
      <c r="L99" s="74">
        <v>461</v>
      </c>
      <c r="M99" s="9" t="str">
        <f t="shared" si="4"/>
        <v>Mujer</v>
      </c>
      <c r="N99" s="9" t="str">
        <f t="shared" si="5"/>
        <v>GBA</v>
      </c>
    </row>
    <row r="100" spans="1:14" x14ac:dyDescent="0.25">
      <c r="A100" s="40" t="s">
        <v>431</v>
      </c>
      <c r="B100" s="41">
        <v>26</v>
      </c>
      <c r="C100" s="41">
        <v>23</v>
      </c>
      <c r="D100" s="41">
        <v>49</v>
      </c>
      <c r="F100" s="74">
        <v>2</v>
      </c>
      <c r="G100" s="74">
        <v>3</v>
      </c>
      <c r="H100" s="74">
        <v>1</v>
      </c>
      <c r="I100" s="74">
        <v>0</v>
      </c>
      <c r="J100" s="74">
        <v>181.23639136978866</v>
      </c>
      <c r="K100" s="74">
        <v>81.886647484960818</v>
      </c>
      <c r="L100" s="74">
        <v>974</v>
      </c>
      <c r="M100" s="9" t="str">
        <f t="shared" si="4"/>
        <v>Mujer</v>
      </c>
      <c r="N100" s="9" t="str">
        <f t="shared" si="5"/>
        <v>Resto</v>
      </c>
    </row>
    <row r="101" spans="1:14" x14ac:dyDescent="0.25">
      <c r="A101" s="40" t="s">
        <v>190</v>
      </c>
      <c r="B101" s="41">
        <v>73</v>
      </c>
      <c r="C101" s="41">
        <v>62</v>
      </c>
      <c r="D101" s="41">
        <v>135</v>
      </c>
      <c r="F101" s="74">
        <v>2</v>
      </c>
      <c r="G101" s="74">
        <v>3</v>
      </c>
      <c r="H101" s="74">
        <v>9</v>
      </c>
      <c r="I101" s="74">
        <v>5</v>
      </c>
      <c r="J101" s="74">
        <v>169.46212157600749</v>
      </c>
      <c r="K101" s="74">
        <v>54.677949875775099</v>
      </c>
      <c r="L101" s="74">
        <v>229</v>
      </c>
      <c r="M101" s="9" t="str">
        <f t="shared" si="4"/>
        <v>Mujer</v>
      </c>
      <c r="N101" s="9" t="str">
        <f t="shared" si="5"/>
        <v>Resto</v>
      </c>
    </row>
    <row r="102" spans="1:14" x14ac:dyDescent="0.25">
      <c r="A102"/>
      <c r="B102"/>
      <c r="C102"/>
      <c r="F102" s="74">
        <v>2</v>
      </c>
      <c r="G102" s="74">
        <v>1</v>
      </c>
      <c r="H102" s="74">
        <v>8</v>
      </c>
      <c r="I102" s="74">
        <v>5</v>
      </c>
      <c r="J102" s="74">
        <v>183.99491125429847</v>
      </c>
      <c r="K102" s="74">
        <v>81.283759809312684</v>
      </c>
      <c r="L102" s="74">
        <v>347</v>
      </c>
      <c r="M102" s="9" t="str">
        <f t="shared" si="4"/>
        <v>Mujer</v>
      </c>
      <c r="N102" s="9" t="str">
        <f t="shared" si="5"/>
        <v>CABA</v>
      </c>
    </row>
    <row r="103" spans="1:14" x14ac:dyDescent="0.25">
      <c r="A103" s="76" t="s">
        <v>433</v>
      </c>
      <c r="B103"/>
      <c r="C103"/>
      <c r="F103" s="74">
        <v>1</v>
      </c>
      <c r="G103" s="74">
        <v>1</v>
      </c>
      <c r="H103" s="74">
        <v>4</v>
      </c>
      <c r="I103" s="74">
        <v>0</v>
      </c>
      <c r="J103" s="74">
        <v>173.29925829942181</v>
      </c>
      <c r="K103" s="74">
        <v>73.549918038540667</v>
      </c>
      <c r="L103" s="74">
        <v>452</v>
      </c>
      <c r="M103" s="9" t="str">
        <f t="shared" si="4"/>
        <v>Varón</v>
      </c>
      <c r="N103" s="9" t="str">
        <f t="shared" si="5"/>
        <v>CABA</v>
      </c>
    </row>
    <row r="104" spans="1:14" x14ac:dyDescent="0.25">
      <c r="A104"/>
      <c r="B104"/>
      <c r="C104"/>
      <c r="F104" s="74">
        <v>1</v>
      </c>
      <c r="G104" s="74">
        <v>2</v>
      </c>
      <c r="H104" s="74">
        <v>2</v>
      </c>
      <c r="I104" s="74">
        <v>3</v>
      </c>
      <c r="J104" s="74">
        <v>165.79593677390409</v>
      </c>
      <c r="K104" s="74">
        <v>60.776615050778176</v>
      </c>
      <c r="L104" s="74">
        <v>925</v>
      </c>
      <c r="M104" s="9" t="str">
        <f t="shared" si="4"/>
        <v>Varón</v>
      </c>
      <c r="N104" s="9" t="str">
        <f t="shared" si="5"/>
        <v>GBA</v>
      </c>
    </row>
    <row r="105" spans="1:14" x14ac:dyDescent="0.25">
      <c r="A105"/>
      <c r="B105"/>
      <c r="C105"/>
      <c r="F105" s="74">
        <v>2</v>
      </c>
      <c r="G105" s="74">
        <v>3</v>
      </c>
      <c r="H105" s="74">
        <v>6</v>
      </c>
      <c r="I105" s="74">
        <v>1</v>
      </c>
      <c r="J105" s="74">
        <v>167.90542557547897</v>
      </c>
      <c r="K105" s="74">
        <v>70.001311901266149</v>
      </c>
      <c r="L105" s="74">
        <v>390</v>
      </c>
      <c r="M105" s="9" t="str">
        <f t="shared" si="4"/>
        <v>Mujer</v>
      </c>
      <c r="N105" s="9" t="str">
        <f t="shared" si="5"/>
        <v>Resto</v>
      </c>
    </row>
    <row r="106" spans="1:14" x14ac:dyDescent="0.25">
      <c r="A106"/>
      <c r="B106"/>
      <c r="C106"/>
      <c r="F106" s="74">
        <v>2</v>
      </c>
      <c r="G106" s="74">
        <v>1</v>
      </c>
      <c r="H106" s="74">
        <v>2</v>
      </c>
      <c r="I106" s="74">
        <v>2</v>
      </c>
      <c r="J106" s="74">
        <v>157.77976471637481</v>
      </c>
      <c r="K106" s="74">
        <v>52.65177053561397</v>
      </c>
      <c r="L106" s="74">
        <v>410</v>
      </c>
      <c r="M106" s="9" t="str">
        <f t="shared" si="4"/>
        <v>Mujer</v>
      </c>
      <c r="N106" s="9" t="str">
        <f t="shared" si="5"/>
        <v>CABA</v>
      </c>
    </row>
    <row r="107" spans="1:14" x14ac:dyDescent="0.25">
      <c r="A107"/>
      <c r="B107"/>
      <c r="C107"/>
      <c r="F107" s="74">
        <v>2</v>
      </c>
      <c r="G107" s="74">
        <v>2</v>
      </c>
      <c r="H107" s="74">
        <v>7</v>
      </c>
      <c r="I107" s="74">
        <v>1</v>
      </c>
      <c r="J107" s="74">
        <v>163.23522711888734</v>
      </c>
      <c r="K107" s="74">
        <v>49.188034881736044</v>
      </c>
      <c r="L107" s="74">
        <v>232</v>
      </c>
      <c r="M107" s="9" t="str">
        <f t="shared" si="4"/>
        <v>Mujer</v>
      </c>
      <c r="N107" s="9" t="str">
        <f t="shared" si="5"/>
        <v>GBA</v>
      </c>
    </row>
    <row r="108" spans="1:14" x14ac:dyDescent="0.25">
      <c r="A108"/>
      <c r="B108"/>
      <c r="C108"/>
      <c r="F108" s="74">
        <v>1</v>
      </c>
      <c r="G108" s="74">
        <v>3</v>
      </c>
      <c r="H108" s="74">
        <v>7</v>
      </c>
      <c r="I108" s="74">
        <v>5</v>
      </c>
      <c r="J108" s="74">
        <v>177.76903044587925</v>
      </c>
      <c r="K108" s="74">
        <v>87.726675043414218</v>
      </c>
      <c r="L108" s="74">
        <v>500</v>
      </c>
      <c r="M108" s="9" t="str">
        <f t="shared" si="4"/>
        <v>Varón</v>
      </c>
      <c r="N108" s="9" t="str">
        <f t="shared" si="5"/>
        <v>Resto</v>
      </c>
    </row>
    <row r="109" spans="1:14" x14ac:dyDescent="0.25">
      <c r="A109"/>
      <c r="B109"/>
      <c r="C109"/>
      <c r="F109" s="74">
        <v>2</v>
      </c>
      <c r="G109" s="74">
        <v>2</v>
      </c>
      <c r="H109" s="74">
        <v>7</v>
      </c>
      <c r="I109" s="74">
        <v>2</v>
      </c>
      <c r="J109" s="74">
        <v>154.04656207587351</v>
      </c>
      <c r="K109" s="74">
        <v>65.590668846362405</v>
      </c>
      <c r="L109" s="74">
        <v>622</v>
      </c>
      <c r="M109" s="9" t="str">
        <f t="shared" si="4"/>
        <v>Mujer</v>
      </c>
      <c r="N109" s="9" t="str">
        <f t="shared" si="5"/>
        <v>GBA</v>
      </c>
    </row>
    <row r="110" spans="1:14" x14ac:dyDescent="0.25">
      <c r="A110"/>
      <c r="B110"/>
      <c r="C110"/>
      <c r="F110" s="74">
        <v>1</v>
      </c>
      <c r="G110" s="74">
        <v>1</v>
      </c>
      <c r="H110" s="74">
        <v>2</v>
      </c>
      <c r="I110" s="74">
        <v>0</v>
      </c>
      <c r="J110" s="74">
        <v>179.8901601579596</v>
      </c>
      <c r="K110" s="74">
        <v>91.483047903122511</v>
      </c>
      <c r="L110" s="74">
        <v>394</v>
      </c>
      <c r="M110" s="9" t="str">
        <f t="shared" si="4"/>
        <v>Varón</v>
      </c>
      <c r="N110" s="9" t="str">
        <f t="shared" si="5"/>
        <v>CABA</v>
      </c>
    </row>
    <row r="111" spans="1:14" x14ac:dyDescent="0.25">
      <c r="A111"/>
      <c r="B111"/>
      <c r="C111"/>
      <c r="F111" s="74">
        <v>2</v>
      </c>
      <c r="G111" s="74">
        <v>1</v>
      </c>
      <c r="H111" s="74">
        <v>10</v>
      </c>
      <c r="I111" s="74">
        <v>5</v>
      </c>
      <c r="J111" s="74">
        <v>152.52515017076399</v>
      </c>
      <c r="K111" s="74">
        <v>52.576462442227886</v>
      </c>
      <c r="L111" s="74">
        <v>490</v>
      </c>
      <c r="M111" s="9" t="str">
        <f t="shared" si="4"/>
        <v>Mujer</v>
      </c>
      <c r="N111" s="9" t="str">
        <f t="shared" si="5"/>
        <v>CABA</v>
      </c>
    </row>
    <row r="112" spans="1:14" x14ac:dyDescent="0.25">
      <c r="A112"/>
      <c r="B112"/>
      <c r="C112"/>
      <c r="F112" s="74">
        <v>2</v>
      </c>
      <c r="G112" s="74">
        <v>2</v>
      </c>
      <c r="H112" s="74">
        <v>2</v>
      </c>
      <c r="I112" s="74">
        <v>5</v>
      </c>
      <c r="J112" s="74">
        <v>166.12629385880905</v>
      </c>
      <c r="K112" s="74">
        <v>77.66061866869515</v>
      </c>
      <c r="L112" s="74">
        <v>356</v>
      </c>
      <c r="M112" s="9" t="str">
        <f t="shared" si="4"/>
        <v>Mujer</v>
      </c>
      <c r="N112" s="9" t="str">
        <f t="shared" si="5"/>
        <v>GBA</v>
      </c>
    </row>
    <row r="113" spans="1:14" x14ac:dyDescent="0.25">
      <c r="A113"/>
      <c r="B113"/>
      <c r="C113"/>
      <c r="F113" s="74">
        <v>1</v>
      </c>
      <c r="G113" s="74">
        <v>3</v>
      </c>
      <c r="H113" s="74">
        <v>8</v>
      </c>
      <c r="I113" s="74">
        <v>5</v>
      </c>
      <c r="J113" s="74">
        <v>182.90029731316741</v>
      </c>
      <c r="K113" s="74">
        <v>72.458155628192756</v>
      </c>
      <c r="L113" s="74">
        <v>986</v>
      </c>
      <c r="M113" s="9" t="str">
        <f t="shared" si="4"/>
        <v>Varón</v>
      </c>
      <c r="N113" s="9" t="str">
        <f t="shared" si="5"/>
        <v>Resto</v>
      </c>
    </row>
    <row r="114" spans="1:14" x14ac:dyDescent="0.25">
      <c r="F114" s="74">
        <v>2</v>
      </c>
      <c r="G114" s="74">
        <v>2</v>
      </c>
      <c r="H114" s="74">
        <v>4</v>
      </c>
      <c r="I114" s="74">
        <v>1</v>
      </c>
      <c r="J114" s="74">
        <v>155.15331717420497</v>
      </c>
      <c r="K114" s="74">
        <v>60.662830612001798</v>
      </c>
      <c r="L114" s="74">
        <v>227</v>
      </c>
      <c r="M114" s="9" t="str">
        <f t="shared" si="4"/>
        <v>Mujer</v>
      </c>
      <c r="N114" s="9" t="str">
        <f t="shared" si="5"/>
        <v>GBA</v>
      </c>
    </row>
    <row r="115" spans="1:14" x14ac:dyDescent="0.25">
      <c r="F115" s="74">
        <v>1</v>
      </c>
      <c r="G115" s="74">
        <v>3</v>
      </c>
      <c r="H115" s="74">
        <v>3</v>
      </c>
      <c r="I115" s="74">
        <v>1</v>
      </c>
      <c r="J115" s="74">
        <v>177.13772603190321</v>
      </c>
      <c r="K115" s="74">
        <v>67.211191873200221</v>
      </c>
      <c r="L115" s="74">
        <v>6</v>
      </c>
      <c r="M115" s="9" t="str">
        <f t="shared" si="4"/>
        <v>Varón</v>
      </c>
      <c r="N115" s="9" t="str">
        <f t="shared" si="5"/>
        <v>Resto</v>
      </c>
    </row>
    <row r="116" spans="1:14" x14ac:dyDescent="0.25">
      <c r="F116" s="74">
        <v>2</v>
      </c>
      <c r="G116" s="74">
        <v>2</v>
      </c>
      <c r="H116" s="74">
        <v>6</v>
      </c>
      <c r="I116" s="74">
        <v>0</v>
      </c>
      <c r="J116" s="74">
        <v>158.41462825950848</v>
      </c>
      <c r="K116" s="74">
        <v>68.359309672533655</v>
      </c>
      <c r="L116" s="74">
        <v>580</v>
      </c>
      <c r="M116" s="9" t="str">
        <f t="shared" si="4"/>
        <v>Mujer</v>
      </c>
      <c r="N116" s="9" t="str">
        <f t="shared" si="5"/>
        <v>GBA</v>
      </c>
    </row>
    <row r="117" spans="1:14" x14ac:dyDescent="0.25">
      <c r="F117" s="74">
        <v>2</v>
      </c>
      <c r="G117" s="74">
        <v>3</v>
      </c>
      <c r="H117" s="74">
        <v>3</v>
      </c>
      <c r="I117" s="74">
        <v>0</v>
      </c>
      <c r="J117" s="74">
        <v>173.9264055291969</v>
      </c>
      <c r="K117" s="74">
        <v>67.639882192125668</v>
      </c>
      <c r="L117" s="74">
        <v>733</v>
      </c>
      <c r="M117" s="9" t="str">
        <f t="shared" si="4"/>
        <v>Mujer</v>
      </c>
      <c r="N117" s="9" t="str">
        <f t="shared" si="5"/>
        <v>Resto</v>
      </c>
    </row>
    <row r="118" spans="1:14" x14ac:dyDescent="0.25">
      <c r="F118" s="74">
        <v>2</v>
      </c>
      <c r="G118" s="74">
        <v>2</v>
      </c>
      <c r="H118" s="74">
        <v>7</v>
      </c>
      <c r="I118" s="74">
        <v>4</v>
      </c>
      <c r="J118" s="74">
        <v>152.594798298336</v>
      </c>
      <c r="K118" s="74">
        <v>54.277737022231648</v>
      </c>
      <c r="L118" s="74">
        <v>254</v>
      </c>
      <c r="M118" s="9" t="str">
        <f t="shared" si="4"/>
        <v>Mujer</v>
      </c>
      <c r="N118" s="9" t="str">
        <f t="shared" si="5"/>
        <v>GBA</v>
      </c>
    </row>
    <row r="119" spans="1:14" x14ac:dyDescent="0.25">
      <c r="F119" s="74">
        <v>2</v>
      </c>
      <c r="G119" s="74">
        <v>2</v>
      </c>
      <c r="H119" s="74">
        <v>1</v>
      </c>
      <c r="I119" s="74">
        <v>5</v>
      </c>
      <c r="J119" s="74">
        <v>179.34434391323211</v>
      </c>
      <c r="K119" s="74">
        <v>94.788468215238638</v>
      </c>
      <c r="L119" s="74">
        <v>943</v>
      </c>
      <c r="M119" s="9" t="str">
        <f t="shared" si="4"/>
        <v>Mujer</v>
      </c>
      <c r="N119" s="9" t="str">
        <f t="shared" si="5"/>
        <v>GBA</v>
      </c>
    </row>
    <row r="120" spans="1:14" x14ac:dyDescent="0.25">
      <c r="A120" s="87" t="s">
        <v>91</v>
      </c>
      <c r="B120" s="87"/>
      <c r="D120" s="74">
        <f>CORREL(J2:J136,K2:K136)</f>
        <v>0.71682708396134698</v>
      </c>
      <c r="F120" s="74">
        <v>1</v>
      </c>
      <c r="G120" s="74">
        <v>1</v>
      </c>
      <c r="H120" s="74">
        <v>3</v>
      </c>
      <c r="I120" s="74">
        <v>5</v>
      </c>
      <c r="J120" s="74">
        <v>176.65034809117532</v>
      </c>
      <c r="K120" s="74">
        <v>62.597923034351211</v>
      </c>
      <c r="L120" s="74">
        <v>439</v>
      </c>
      <c r="M120" s="9" t="str">
        <f t="shared" si="4"/>
        <v>Varón</v>
      </c>
      <c r="N120" s="9" t="str">
        <f t="shared" si="5"/>
        <v>CABA</v>
      </c>
    </row>
    <row r="121" spans="1:14" x14ac:dyDescent="0.25">
      <c r="F121" s="74">
        <v>2</v>
      </c>
      <c r="G121" s="74">
        <v>3</v>
      </c>
      <c r="H121" s="74">
        <v>9</v>
      </c>
      <c r="I121" s="74">
        <v>2</v>
      </c>
      <c r="J121" s="74">
        <v>162.94040979977825</v>
      </c>
      <c r="K121" s="74">
        <v>67.887268761605213</v>
      </c>
      <c r="L121" s="74">
        <v>691</v>
      </c>
      <c r="M121" s="9" t="str">
        <f t="shared" si="4"/>
        <v>Mujer</v>
      </c>
      <c r="N121" s="9" t="str">
        <f t="shared" si="5"/>
        <v>Resto</v>
      </c>
    </row>
    <row r="122" spans="1:14" x14ac:dyDescent="0.25">
      <c r="F122" s="74">
        <v>2</v>
      </c>
      <c r="G122" s="74">
        <v>2</v>
      </c>
      <c r="H122" s="74">
        <v>7</v>
      </c>
      <c r="I122" s="74">
        <v>0</v>
      </c>
      <c r="J122" s="74">
        <v>162.49620912283459</v>
      </c>
      <c r="K122" s="74">
        <v>79.05662383000022</v>
      </c>
      <c r="L122" s="74">
        <v>125</v>
      </c>
      <c r="M122" s="9" t="str">
        <f t="shared" si="4"/>
        <v>Mujer</v>
      </c>
      <c r="N122" s="9" t="str">
        <f t="shared" si="5"/>
        <v>GBA</v>
      </c>
    </row>
    <row r="123" spans="1:14" x14ac:dyDescent="0.25">
      <c r="F123" s="74">
        <v>1</v>
      </c>
      <c r="G123" s="74">
        <v>3</v>
      </c>
      <c r="H123" s="74">
        <v>2</v>
      </c>
      <c r="I123" s="74">
        <v>0</v>
      </c>
      <c r="J123" s="74">
        <v>173.90312741002504</v>
      </c>
      <c r="K123" s="74">
        <v>65.172151593037853</v>
      </c>
      <c r="L123" s="74">
        <v>668</v>
      </c>
      <c r="M123" s="9" t="str">
        <f t="shared" si="4"/>
        <v>Varón</v>
      </c>
      <c r="N123" s="9" t="str">
        <f t="shared" si="5"/>
        <v>Resto</v>
      </c>
    </row>
    <row r="124" spans="1:14" x14ac:dyDescent="0.25">
      <c r="F124" s="74">
        <v>1</v>
      </c>
      <c r="G124" s="74">
        <v>2</v>
      </c>
      <c r="H124" s="74">
        <v>6</v>
      </c>
      <c r="I124" s="74">
        <v>0</v>
      </c>
      <c r="J124" s="74">
        <v>172.52018190374741</v>
      </c>
      <c r="K124" s="74">
        <v>66.133859650634861</v>
      </c>
      <c r="L124" s="74">
        <v>13</v>
      </c>
      <c r="M124" s="9" t="str">
        <f t="shared" si="4"/>
        <v>Varón</v>
      </c>
      <c r="N124" s="9" t="str">
        <f t="shared" si="5"/>
        <v>GBA</v>
      </c>
    </row>
    <row r="125" spans="1:14" x14ac:dyDescent="0.25">
      <c r="F125" s="74">
        <v>2</v>
      </c>
      <c r="G125" s="74">
        <v>3</v>
      </c>
      <c r="H125" s="74">
        <v>5</v>
      </c>
      <c r="I125" s="74">
        <v>5</v>
      </c>
      <c r="J125" s="74">
        <v>156.00344875225596</v>
      </c>
      <c r="K125" s="74">
        <v>63.714465027160905</v>
      </c>
      <c r="L125" s="74">
        <v>572</v>
      </c>
      <c r="M125" s="9" t="str">
        <f t="shared" si="4"/>
        <v>Mujer</v>
      </c>
      <c r="N125" s="9" t="str">
        <f t="shared" si="5"/>
        <v>Resto</v>
      </c>
    </row>
    <row r="126" spans="1:14" x14ac:dyDescent="0.25">
      <c r="F126" s="74">
        <v>1</v>
      </c>
      <c r="G126" s="74">
        <v>2</v>
      </c>
      <c r="H126" s="74">
        <v>1</v>
      </c>
      <c r="I126" s="74">
        <v>3</v>
      </c>
      <c r="J126" s="74">
        <v>182.30865707481962</v>
      </c>
      <c r="K126" s="74">
        <v>63.348666923072479</v>
      </c>
      <c r="L126" s="74">
        <v>374</v>
      </c>
      <c r="M126" s="9" t="str">
        <f t="shared" si="4"/>
        <v>Varón</v>
      </c>
      <c r="N126" s="9" t="str">
        <f t="shared" si="5"/>
        <v>GBA</v>
      </c>
    </row>
    <row r="127" spans="1:14" x14ac:dyDescent="0.25">
      <c r="F127" s="74">
        <v>2</v>
      </c>
      <c r="G127" s="74">
        <v>3</v>
      </c>
      <c r="H127" s="74">
        <v>3</v>
      </c>
      <c r="I127" s="74">
        <v>3</v>
      </c>
      <c r="J127" s="74">
        <v>159.8893322047613</v>
      </c>
      <c r="K127" s="74">
        <v>67.464975581062248</v>
      </c>
      <c r="L127" s="74">
        <v>199</v>
      </c>
      <c r="M127" s="9" t="str">
        <f t="shared" si="4"/>
        <v>Mujer</v>
      </c>
      <c r="N127" s="9" t="str">
        <f t="shared" si="5"/>
        <v>Resto</v>
      </c>
    </row>
    <row r="128" spans="1:14" x14ac:dyDescent="0.25">
      <c r="F128" s="74">
        <v>2</v>
      </c>
      <c r="G128" s="74">
        <v>2</v>
      </c>
      <c r="H128" s="74">
        <v>3</v>
      </c>
      <c r="I128" s="74">
        <v>5</v>
      </c>
      <c r="J128" s="74">
        <v>188.36586859304782</v>
      </c>
      <c r="K128" s="74">
        <v>99.597133165433092</v>
      </c>
      <c r="L128" s="74">
        <v>560</v>
      </c>
      <c r="M128" s="9" t="str">
        <f t="shared" si="4"/>
        <v>Mujer</v>
      </c>
      <c r="N128" s="9" t="str">
        <f t="shared" si="5"/>
        <v>GBA</v>
      </c>
    </row>
    <row r="129" spans="6:14" x14ac:dyDescent="0.25">
      <c r="F129" s="74">
        <v>1</v>
      </c>
      <c r="G129" s="74">
        <v>2</v>
      </c>
      <c r="H129" s="74">
        <v>9</v>
      </c>
      <c r="I129" s="74">
        <v>2</v>
      </c>
      <c r="J129" s="74">
        <v>194.80339078427599</v>
      </c>
      <c r="K129" s="74">
        <v>86.749953385563387</v>
      </c>
      <c r="L129" s="74">
        <v>33</v>
      </c>
      <c r="M129" s="9" t="str">
        <f t="shared" si="4"/>
        <v>Varón</v>
      </c>
      <c r="N129" s="9" t="str">
        <f t="shared" si="5"/>
        <v>GBA</v>
      </c>
    </row>
    <row r="130" spans="6:14" x14ac:dyDescent="0.25">
      <c r="F130" s="74">
        <v>1</v>
      </c>
      <c r="G130" s="74">
        <v>1</v>
      </c>
      <c r="H130" s="74">
        <v>6</v>
      </c>
      <c r="I130" s="74">
        <v>4</v>
      </c>
      <c r="J130" s="74">
        <v>168.87736525315344</v>
      </c>
      <c r="K130" s="74">
        <v>74.293465509076427</v>
      </c>
      <c r="L130" s="74">
        <v>609</v>
      </c>
      <c r="M130" s="9" t="str">
        <f t="shared" si="4"/>
        <v>Varón</v>
      </c>
      <c r="N130" s="9" t="str">
        <f t="shared" si="5"/>
        <v>CABA</v>
      </c>
    </row>
    <row r="131" spans="6:14" x14ac:dyDescent="0.25">
      <c r="F131" s="74">
        <v>2</v>
      </c>
      <c r="G131" s="74">
        <v>1</v>
      </c>
      <c r="H131" s="74">
        <v>1</v>
      </c>
      <c r="I131" s="74">
        <v>3</v>
      </c>
      <c r="J131" s="74">
        <v>153.47688648088518</v>
      </c>
      <c r="K131" s="74">
        <v>50.996909890571004</v>
      </c>
      <c r="L131" s="74">
        <v>384</v>
      </c>
      <c r="M131" s="9" t="str">
        <f t="shared" ref="M131:M136" si="6">IF(F131=1,"Varón","Mujer")</f>
        <v>Mujer</v>
      </c>
      <c r="N131" s="9" t="str">
        <f t="shared" ref="N131:N136" si="7">IF(G131=1,"CABA",IF(G131=2,"GBA","Resto"))</f>
        <v>CABA</v>
      </c>
    </row>
    <row r="132" spans="6:14" x14ac:dyDescent="0.25">
      <c r="F132" s="74">
        <v>1</v>
      </c>
      <c r="G132" s="74">
        <v>3</v>
      </c>
      <c r="H132" s="74">
        <v>6</v>
      </c>
      <c r="I132" s="74">
        <v>1</v>
      </c>
      <c r="J132" s="74">
        <v>165.76434602858996</v>
      </c>
      <c r="K132" s="74">
        <v>73.393252984558188</v>
      </c>
      <c r="L132" s="74">
        <v>682</v>
      </c>
      <c r="M132" s="9" t="str">
        <f t="shared" si="6"/>
        <v>Varón</v>
      </c>
      <c r="N132" s="9" t="str">
        <f t="shared" si="7"/>
        <v>Resto</v>
      </c>
    </row>
    <row r="133" spans="6:14" x14ac:dyDescent="0.25">
      <c r="F133" s="74">
        <v>2</v>
      </c>
      <c r="G133" s="74">
        <v>1</v>
      </c>
      <c r="H133" s="74">
        <v>2</v>
      </c>
      <c r="I133" s="74">
        <v>2</v>
      </c>
      <c r="J133" s="74">
        <v>174.41702038097222</v>
      </c>
      <c r="K133" s="74">
        <v>83.871515825075335</v>
      </c>
      <c r="L133" s="74">
        <v>846</v>
      </c>
      <c r="M133" s="9" t="str">
        <f t="shared" si="6"/>
        <v>Mujer</v>
      </c>
      <c r="N133" s="9" t="str">
        <f t="shared" si="7"/>
        <v>CABA</v>
      </c>
    </row>
    <row r="134" spans="6:14" x14ac:dyDescent="0.25">
      <c r="F134" s="74">
        <v>1</v>
      </c>
      <c r="G134" s="74">
        <v>3</v>
      </c>
      <c r="H134" s="74">
        <v>9</v>
      </c>
      <c r="I134" s="74">
        <v>4</v>
      </c>
      <c r="J134" s="74">
        <v>174.2688765889113</v>
      </c>
      <c r="K134" s="74">
        <v>54.726093708305271</v>
      </c>
      <c r="L134" s="74">
        <v>78</v>
      </c>
      <c r="M134" s="9" t="str">
        <f t="shared" si="6"/>
        <v>Varón</v>
      </c>
      <c r="N134" s="9" t="str">
        <f t="shared" si="7"/>
        <v>Resto</v>
      </c>
    </row>
    <row r="135" spans="6:14" x14ac:dyDescent="0.25">
      <c r="F135" s="74">
        <v>1</v>
      </c>
      <c r="G135" s="74">
        <v>2</v>
      </c>
      <c r="H135" s="74">
        <v>5</v>
      </c>
      <c r="I135" s="74">
        <v>4</v>
      </c>
      <c r="J135" s="74">
        <v>176.18982921374891</v>
      </c>
      <c r="K135" s="74">
        <v>76.986282677557625</v>
      </c>
      <c r="L135" s="74">
        <v>138</v>
      </c>
      <c r="M135" s="9" t="str">
        <f t="shared" si="6"/>
        <v>Varón</v>
      </c>
      <c r="N135" s="9" t="str">
        <f t="shared" si="7"/>
        <v>GBA</v>
      </c>
    </row>
    <row r="136" spans="6:14" x14ac:dyDescent="0.25">
      <c r="F136" s="74">
        <v>1</v>
      </c>
      <c r="G136" s="74">
        <v>3</v>
      </c>
      <c r="H136" s="74">
        <v>4</v>
      </c>
      <c r="I136" s="74">
        <v>1</v>
      </c>
      <c r="J136" s="74">
        <v>166.43347785830983</v>
      </c>
      <c r="K136" s="74">
        <v>74.624076275121695</v>
      </c>
      <c r="L136" s="74">
        <v>522</v>
      </c>
      <c r="M136" s="9" t="str">
        <f t="shared" si="6"/>
        <v>Varón</v>
      </c>
      <c r="N136" s="9" t="str">
        <f t="shared" si="7"/>
        <v>Resto</v>
      </c>
    </row>
  </sheetData>
  <mergeCells count="1">
    <mergeCell ref="A120:B120"/>
  </mergeCells>
  <pageMargins left="0.7" right="0.7" top="0.75" bottom="0.75" header="0.3" footer="0.3"/>
  <pageSetup paperSize="9" orientation="portrait" r:id="rId5"/>
  <drawing r:id="rId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C101"/>
  <sheetViews>
    <sheetView workbookViewId="0"/>
  </sheetViews>
  <sheetFormatPr baseColWidth="10" defaultRowHeight="15" x14ac:dyDescent="0.25"/>
  <cols>
    <col min="1" max="1" width="23" customWidth="1"/>
    <col min="2" max="2" width="19.7109375" customWidth="1"/>
    <col min="10" max="10" width="11.42578125" style="9"/>
    <col min="12" max="12" width="19.7109375" style="9" bestFit="1" customWidth="1"/>
    <col min="15" max="15" width="23" style="9" bestFit="1" customWidth="1"/>
    <col min="20" max="20" width="21.5703125" style="9" bestFit="1" customWidth="1"/>
    <col min="23" max="23" width="44.7109375" style="9" bestFit="1" customWidth="1"/>
    <col min="26" max="26" width="36" style="9" bestFit="1" customWidth="1"/>
  </cols>
  <sheetData>
    <row r="1" spans="1:29" x14ac:dyDescent="0.25">
      <c r="A1" s="1" t="s">
        <v>244</v>
      </c>
      <c r="G1" t="s">
        <v>281</v>
      </c>
      <c r="H1" t="s">
        <v>282</v>
      </c>
      <c r="I1" t="s">
        <v>283</v>
      </c>
      <c r="J1" s="9" t="s">
        <v>300</v>
      </c>
      <c r="K1" t="s">
        <v>284</v>
      </c>
      <c r="L1" s="9" t="s">
        <v>302</v>
      </c>
      <c r="M1" t="s">
        <v>285</v>
      </c>
      <c r="N1" t="s">
        <v>286</v>
      </c>
      <c r="O1" s="9" t="s">
        <v>336</v>
      </c>
      <c r="P1" t="s">
        <v>287</v>
      </c>
      <c r="Q1" t="s">
        <v>288</v>
      </c>
      <c r="R1" t="s">
        <v>289</v>
      </c>
      <c r="S1" t="s">
        <v>290</v>
      </c>
      <c r="T1" s="9" t="s">
        <v>310</v>
      </c>
      <c r="U1" t="s">
        <v>291</v>
      </c>
      <c r="V1" t="s">
        <v>292</v>
      </c>
      <c r="W1" s="9" t="s">
        <v>321</v>
      </c>
      <c r="X1" t="s">
        <v>293</v>
      </c>
      <c r="Y1" t="s">
        <v>294</v>
      </c>
      <c r="Z1" s="9" t="s">
        <v>329</v>
      </c>
      <c r="AA1" t="s">
        <v>295</v>
      </c>
      <c r="AB1" t="s">
        <v>296</v>
      </c>
      <c r="AC1" t="s">
        <v>297</v>
      </c>
    </row>
    <row r="2" spans="1:29" x14ac:dyDescent="0.25">
      <c r="G2">
        <v>1</v>
      </c>
      <c r="H2">
        <v>43</v>
      </c>
      <c r="I2">
        <v>2</v>
      </c>
      <c r="J2" s="9" t="str">
        <f>IF(I2=1,"Varón","Mujer")</f>
        <v>Mujer</v>
      </c>
      <c r="K2">
        <v>3</v>
      </c>
      <c r="L2" s="9" t="str">
        <f>IF(K2=1,"Soltero",IF(K2=2,"Unido",IF(K2=3,"Casado",IF(K2=4,"Separado/Divorciado","Viudo"))))</f>
        <v>Casado</v>
      </c>
      <c r="M2">
        <v>21</v>
      </c>
      <c r="N2">
        <v>3</v>
      </c>
      <c r="O2" s="9" t="str">
        <f>IF(N2=1,"Patrón o empleado",IF(N2=2,"Trabajador por su cuenta",IF(N2=3,"Obrero o empleado","Trabajador sin salario")))</f>
        <v>Obrero o empleado</v>
      </c>
      <c r="P2">
        <v>20</v>
      </c>
      <c r="Q2">
        <v>200</v>
      </c>
      <c r="R2">
        <v>1</v>
      </c>
      <c r="S2">
        <v>1</v>
      </c>
      <c r="T2" s="9" t="str">
        <f>IF(S2=1,"Primario",IF(S2=2,"Nacional",IF(S2=3,"Comercial",IF(S2=4,"Normal",IF(S2=5,"Técnica",IF(S2=6,"Otra enseñanza media",IF(S2=7,"Superior",IF(S2=8,"Universitaria","No sabe leer ni escribir"))))))))</f>
        <v>Primario</v>
      </c>
      <c r="U2">
        <v>1</v>
      </c>
      <c r="V2">
        <v>2</v>
      </c>
      <c r="W2" s="9" t="str">
        <f>IF(V2=1,"Casa",IF(V2=2,"Departamento",IF(V2=3,"Vivienda en lugar de trabajo",IF(V2=4,"Inquilinato",IF(V2=5,"Hotel o pensión",IF(V2=6,"Construcción no destinada a fines habitacionales",IF(V2=7,"Vivienda en villa","Otros")))))))</f>
        <v>Departamento</v>
      </c>
      <c r="X2">
        <v>2</v>
      </c>
      <c r="Y2">
        <v>3</v>
      </c>
      <c r="Z2" s="9" t="str">
        <f>IF(Y2=1,"Propietario de la vivienda y terreno",IF(Y2=2,"Propietario de la vivienda solamente",IF(Y2=3,"Inquilino o arrendatario de la vivienda",IF(Y2=4,"Ocupante con relación de dependencia",IF(Y2=5,"Ocupante gratuito","Otros")))))</f>
        <v>Inquilino o arrendatario de la vivienda</v>
      </c>
      <c r="AA2">
        <v>1</v>
      </c>
      <c r="AB2">
        <v>1</v>
      </c>
      <c r="AC2">
        <v>0</v>
      </c>
    </row>
    <row r="3" spans="1:29" x14ac:dyDescent="0.25">
      <c r="A3" s="60" t="s">
        <v>189</v>
      </c>
      <c r="B3" t="s">
        <v>301</v>
      </c>
      <c r="D3" s="55" t="s">
        <v>309</v>
      </c>
      <c r="G3">
        <v>2</v>
      </c>
      <c r="H3">
        <v>18</v>
      </c>
      <c r="I3">
        <v>2</v>
      </c>
      <c r="J3" s="9" t="str">
        <f t="shared" ref="J3:J66" si="0">IF(I3=1,"Varón","Mujer")</f>
        <v>Mujer</v>
      </c>
      <c r="K3">
        <v>1</v>
      </c>
      <c r="L3" s="9" t="str">
        <f t="shared" ref="L3:L66" si="1">IF(K3=1,"Soltero",IF(K3=2,"Unido",IF(K3=3,"Casado",IF(K3=4,"Separado/Divorciado","Viudo"))))</f>
        <v>Soltero</v>
      </c>
      <c r="M3">
        <v>40</v>
      </c>
      <c r="N3">
        <v>3</v>
      </c>
      <c r="O3" s="9" t="str">
        <f t="shared" ref="O3:O66" si="2">IF(N3=1,"Patrón o empleado",IF(N3=2,"Trabajador por su cuenta",IF(N3=3,"Obrero o empleado","Trabajador sin salario")))</f>
        <v>Obrero o empleado</v>
      </c>
      <c r="P3">
        <v>1</v>
      </c>
      <c r="Q3">
        <v>450</v>
      </c>
      <c r="R3">
        <v>1</v>
      </c>
      <c r="S3">
        <v>4</v>
      </c>
      <c r="T3" s="9" t="str">
        <f t="shared" ref="T3:T66" si="3">IF(S3=1,"Primario",IF(S3=2,"Nacional",IF(S3=3,"Comercial",IF(S3=4,"Normal",IF(S3=5,"Técnica",IF(S3=6,"Otra enseñanza media",IF(S3=7,"Superior",IF(S3=8,"Universitaria","No sabe leer ni escribir"))))))))</f>
        <v>Normal</v>
      </c>
      <c r="U3">
        <v>2</v>
      </c>
      <c r="V3">
        <v>2</v>
      </c>
      <c r="W3" s="9" t="str">
        <f t="shared" ref="W3:W66" si="4">IF(V3=1,"Casa",IF(V3=2,"Departamento",IF(V3=3,"Vivienda en lugar de trabajo",IF(V3=4,"Inquilinato",IF(V3=5,"Hotel o pensión",IF(V3=6,"Construcción no destinada a fines habitacionales",IF(V3=7,"Vivienda en villa","Otros")))))))</f>
        <v>Departamento</v>
      </c>
      <c r="X3">
        <v>2</v>
      </c>
      <c r="Y3">
        <v>3</v>
      </c>
      <c r="Z3" s="9" t="str">
        <f t="shared" ref="Z3:Z66" si="5">IF(Y3=1,"Propietario de la vivienda y terreno",IF(Y3=2,"Propietario de la vivienda solamente",IF(Y3=3,"Inquilino o arrendatario de la vivienda",IF(Y3=4,"Ocupante con relación de dependencia",IF(Y3=5,"Ocupante gratuito","Otros")))))</f>
        <v>Inquilino o arrendatario de la vivienda</v>
      </c>
      <c r="AA3">
        <v>1</v>
      </c>
      <c r="AB3">
        <v>1</v>
      </c>
      <c r="AC3">
        <v>0</v>
      </c>
    </row>
    <row r="4" spans="1:29" x14ac:dyDescent="0.25">
      <c r="A4" s="40" t="s">
        <v>299</v>
      </c>
      <c r="B4" s="41">
        <v>54</v>
      </c>
      <c r="D4" s="61">
        <f>GETPIVOTDATA("Sexo_Cat",$A$3,"Sexo_Cat","Mujer")/GETPIVOTDATA("Sexo_Cat",$A$3)</f>
        <v>0.54</v>
      </c>
      <c r="G4">
        <v>3</v>
      </c>
      <c r="H4">
        <v>68</v>
      </c>
      <c r="I4">
        <v>2</v>
      </c>
      <c r="J4" s="9" t="str">
        <f t="shared" si="0"/>
        <v>Mujer</v>
      </c>
      <c r="K4">
        <v>3</v>
      </c>
      <c r="L4" s="9" t="str">
        <f t="shared" si="1"/>
        <v>Casado</v>
      </c>
      <c r="M4">
        <v>45</v>
      </c>
      <c r="N4">
        <v>1</v>
      </c>
      <c r="O4" s="9" t="str">
        <f t="shared" si="2"/>
        <v>Patrón o empleado</v>
      </c>
      <c r="P4">
        <v>25</v>
      </c>
      <c r="Q4">
        <v>1200</v>
      </c>
      <c r="R4">
        <v>1</v>
      </c>
      <c r="S4">
        <v>8</v>
      </c>
      <c r="T4" s="9" t="str">
        <f t="shared" si="3"/>
        <v>Universitaria</v>
      </c>
      <c r="U4">
        <v>2</v>
      </c>
      <c r="V4">
        <v>1</v>
      </c>
      <c r="W4" s="9" t="str">
        <f t="shared" si="4"/>
        <v>Casa</v>
      </c>
      <c r="X4">
        <v>4</v>
      </c>
      <c r="Y4">
        <v>1</v>
      </c>
      <c r="Z4" s="9" t="str">
        <f t="shared" si="5"/>
        <v>Propietario de la vivienda y terreno</v>
      </c>
      <c r="AA4">
        <v>5</v>
      </c>
      <c r="AB4">
        <v>3</v>
      </c>
      <c r="AC4">
        <v>2</v>
      </c>
    </row>
    <row r="5" spans="1:29" x14ac:dyDescent="0.25">
      <c r="A5" s="40" t="s">
        <v>298</v>
      </c>
      <c r="B5" s="41">
        <v>46</v>
      </c>
      <c r="D5" s="61">
        <f>GETPIVOTDATA("Sexo_Cat",$A$3,"Sexo_Cat","Varón")/GETPIVOTDATA("Sexo_Cat",$A$3)</f>
        <v>0.46</v>
      </c>
      <c r="G5">
        <v>4</v>
      </c>
      <c r="H5">
        <v>21</v>
      </c>
      <c r="I5">
        <v>1</v>
      </c>
      <c r="J5" s="9" t="str">
        <f t="shared" si="0"/>
        <v>Varón</v>
      </c>
      <c r="K5">
        <v>1</v>
      </c>
      <c r="L5" s="9" t="str">
        <f t="shared" si="1"/>
        <v>Soltero</v>
      </c>
      <c r="M5">
        <v>35</v>
      </c>
      <c r="N5">
        <v>3</v>
      </c>
      <c r="O5" s="9" t="str">
        <f t="shared" si="2"/>
        <v>Obrero o empleado</v>
      </c>
      <c r="P5">
        <v>3</v>
      </c>
      <c r="Q5">
        <v>600</v>
      </c>
      <c r="R5">
        <v>1</v>
      </c>
      <c r="S5">
        <v>3</v>
      </c>
      <c r="T5" s="9" t="str">
        <f t="shared" si="3"/>
        <v>Comercial</v>
      </c>
      <c r="U5">
        <v>2</v>
      </c>
      <c r="V5">
        <v>1</v>
      </c>
      <c r="W5" s="9" t="str">
        <f t="shared" si="4"/>
        <v>Casa</v>
      </c>
      <c r="X5">
        <v>2</v>
      </c>
      <c r="Y5">
        <v>3</v>
      </c>
      <c r="Z5" s="9" t="str">
        <f t="shared" si="5"/>
        <v>Inquilino o arrendatario de la vivienda</v>
      </c>
      <c r="AA5">
        <v>5</v>
      </c>
      <c r="AB5">
        <v>2</v>
      </c>
      <c r="AC5">
        <v>3</v>
      </c>
    </row>
    <row r="6" spans="1:29" x14ac:dyDescent="0.25">
      <c r="A6" s="40" t="s">
        <v>190</v>
      </c>
      <c r="B6" s="41">
        <v>100</v>
      </c>
      <c r="G6">
        <v>5</v>
      </c>
      <c r="H6">
        <v>26</v>
      </c>
      <c r="I6">
        <v>1</v>
      </c>
      <c r="J6" s="9" t="str">
        <f t="shared" si="0"/>
        <v>Varón</v>
      </c>
      <c r="K6">
        <v>3</v>
      </c>
      <c r="L6" s="9" t="str">
        <f t="shared" si="1"/>
        <v>Casado</v>
      </c>
      <c r="M6">
        <v>48</v>
      </c>
      <c r="N6">
        <v>3</v>
      </c>
      <c r="O6" s="9" t="str">
        <f t="shared" si="2"/>
        <v>Obrero o empleado</v>
      </c>
      <c r="P6">
        <v>5</v>
      </c>
      <c r="Q6">
        <v>450</v>
      </c>
      <c r="R6">
        <v>1</v>
      </c>
      <c r="S6">
        <v>2</v>
      </c>
      <c r="T6" s="9" t="str">
        <f t="shared" si="3"/>
        <v>Nacional</v>
      </c>
      <c r="U6">
        <v>1</v>
      </c>
      <c r="V6">
        <v>2</v>
      </c>
      <c r="W6" s="9" t="str">
        <f t="shared" si="4"/>
        <v>Departamento</v>
      </c>
      <c r="X6">
        <v>2</v>
      </c>
      <c r="Y6">
        <v>5</v>
      </c>
      <c r="Z6" s="9" t="str">
        <f t="shared" si="5"/>
        <v>Ocupante gratuito</v>
      </c>
      <c r="AA6">
        <v>2</v>
      </c>
      <c r="AB6">
        <v>2</v>
      </c>
      <c r="AC6">
        <v>0</v>
      </c>
    </row>
    <row r="7" spans="1:29" x14ac:dyDescent="0.25">
      <c r="G7">
        <v>6</v>
      </c>
      <c r="H7">
        <v>19</v>
      </c>
      <c r="I7">
        <v>1</v>
      </c>
      <c r="J7" s="9" t="str">
        <f t="shared" si="0"/>
        <v>Varón</v>
      </c>
      <c r="K7">
        <v>1</v>
      </c>
      <c r="L7" s="9" t="str">
        <f t="shared" si="1"/>
        <v>Soltero</v>
      </c>
      <c r="M7">
        <v>30</v>
      </c>
      <c r="N7">
        <v>3</v>
      </c>
      <c r="O7" s="9" t="str">
        <f t="shared" si="2"/>
        <v>Obrero o empleado</v>
      </c>
      <c r="P7">
        <v>1</v>
      </c>
      <c r="Q7">
        <v>360</v>
      </c>
      <c r="R7">
        <v>1</v>
      </c>
      <c r="S7">
        <v>1</v>
      </c>
      <c r="T7" s="9" t="str">
        <f t="shared" si="3"/>
        <v>Primario</v>
      </c>
      <c r="U7">
        <v>2</v>
      </c>
      <c r="V7">
        <v>1</v>
      </c>
      <c r="W7" s="9" t="str">
        <f t="shared" si="4"/>
        <v>Casa</v>
      </c>
      <c r="X7">
        <v>4</v>
      </c>
      <c r="Y7">
        <v>1</v>
      </c>
      <c r="Z7" s="9" t="str">
        <f t="shared" si="5"/>
        <v>Propietario de la vivienda y terreno</v>
      </c>
      <c r="AA7">
        <v>7</v>
      </c>
      <c r="AB7">
        <v>2</v>
      </c>
      <c r="AC7">
        <v>5</v>
      </c>
    </row>
    <row r="8" spans="1:29" x14ac:dyDescent="0.25">
      <c r="G8">
        <v>7</v>
      </c>
      <c r="H8">
        <v>38</v>
      </c>
      <c r="I8">
        <v>1</v>
      </c>
      <c r="J8" s="9" t="str">
        <f t="shared" si="0"/>
        <v>Varón</v>
      </c>
      <c r="K8">
        <v>1</v>
      </c>
      <c r="L8" s="9" t="str">
        <f t="shared" si="1"/>
        <v>Soltero</v>
      </c>
      <c r="M8">
        <v>40</v>
      </c>
      <c r="N8">
        <v>2</v>
      </c>
      <c r="O8" s="9" t="str">
        <f t="shared" si="2"/>
        <v>Trabajador por su cuenta</v>
      </c>
      <c r="P8">
        <v>15</v>
      </c>
      <c r="Q8">
        <v>780</v>
      </c>
      <c r="R8">
        <v>1</v>
      </c>
      <c r="S8">
        <v>1</v>
      </c>
      <c r="T8" s="9" t="str">
        <f t="shared" si="3"/>
        <v>Primario</v>
      </c>
      <c r="U8">
        <v>2</v>
      </c>
      <c r="V8">
        <v>1</v>
      </c>
      <c r="W8" s="9" t="str">
        <f t="shared" si="4"/>
        <v>Casa</v>
      </c>
      <c r="X8">
        <v>6</v>
      </c>
      <c r="Y8">
        <v>3</v>
      </c>
      <c r="Z8" s="9" t="str">
        <f t="shared" si="5"/>
        <v>Inquilino o arrendatario de la vivienda</v>
      </c>
      <c r="AA8">
        <v>5</v>
      </c>
      <c r="AB8">
        <v>2</v>
      </c>
      <c r="AC8">
        <v>3</v>
      </c>
    </row>
    <row r="9" spans="1:29" x14ac:dyDescent="0.25">
      <c r="A9" s="1" t="s">
        <v>245</v>
      </c>
      <c r="G9">
        <v>8</v>
      </c>
      <c r="H9">
        <v>44</v>
      </c>
      <c r="I9">
        <v>1</v>
      </c>
      <c r="J9" s="9" t="str">
        <f t="shared" si="0"/>
        <v>Varón</v>
      </c>
      <c r="K9">
        <v>1</v>
      </c>
      <c r="L9" s="9" t="str">
        <f t="shared" si="1"/>
        <v>Soltero</v>
      </c>
      <c r="M9">
        <v>25</v>
      </c>
      <c r="N9">
        <v>2</v>
      </c>
      <c r="O9" s="9" t="str">
        <f t="shared" si="2"/>
        <v>Trabajador por su cuenta</v>
      </c>
      <c r="P9">
        <v>22</v>
      </c>
      <c r="Q9">
        <v>870</v>
      </c>
      <c r="R9">
        <v>2</v>
      </c>
      <c r="S9">
        <v>0</v>
      </c>
      <c r="T9" s="9" t="str">
        <f t="shared" si="3"/>
        <v>No sabe leer ni escribir</v>
      </c>
      <c r="U9">
        <v>0</v>
      </c>
      <c r="V9">
        <v>3</v>
      </c>
      <c r="W9" s="9" t="str">
        <f t="shared" si="4"/>
        <v>Vivienda en lugar de trabajo</v>
      </c>
      <c r="X9">
        <v>4</v>
      </c>
      <c r="Y9">
        <v>3</v>
      </c>
      <c r="Z9" s="9" t="str">
        <f t="shared" si="5"/>
        <v>Inquilino o arrendatario de la vivienda</v>
      </c>
      <c r="AA9">
        <v>6</v>
      </c>
      <c r="AB9">
        <v>1</v>
      </c>
      <c r="AC9">
        <v>5</v>
      </c>
    </row>
    <row r="10" spans="1:29" x14ac:dyDescent="0.25">
      <c r="G10">
        <v>9</v>
      </c>
      <c r="H10">
        <v>19</v>
      </c>
      <c r="I10">
        <v>1</v>
      </c>
      <c r="J10" s="9" t="str">
        <f t="shared" si="0"/>
        <v>Varón</v>
      </c>
      <c r="K10">
        <v>1</v>
      </c>
      <c r="L10" s="9" t="str">
        <f t="shared" si="1"/>
        <v>Soltero</v>
      </c>
      <c r="M10">
        <v>20</v>
      </c>
      <c r="N10">
        <v>3</v>
      </c>
      <c r="O10" s="9" t="str">
        <f t="shared" si="2"/>
        <v>Obrero o empleado</v>
      </c>
      <c r="P10">
        <v>1</v>
      </c>
      <c r="Q10">
        <v>320</v>
      </c>
      <c r="R10">
        <v>1</v>
      </c>
      <c r="S10">
        <v>2</v>
      </c>
      <c r="T10" s="9" t="str">
        <f t="shared" si="3"/>
        <v>Nacional</v>
      </c>
      <c r="U10">
        <v>2</v>
      </c>
      <c r="V10">
        <v>3</v>
      </c>
      <c r="W10" s="9" t="str">
        <f t="shared" si="4"/>
        <v>Vivienda en lugar de trabajo</v>
      </c>
      <c r="X10">
        <v>2</v>
      </c>
      <c r="Y10">
        <v>3</v>
      </c>
      <c r="Z10" s="9" t="str">
        <f t="shared" si="5"/>
        <v>Inquilino o arrendatario de la vivienda</v>
      </c>
      <c r="AA10">
        <v>3</v>
      </c>
      <c r="AB10">
        <v>1</v>
      </c>
      <c r="AC10">
        <v>2</v>
      </c>
    </row>
    <row r="11" spans="1:29" x14ac:dyDescent="0.25">
      <c r="A11" s="60" t="s">
        <v>189</v>
      </c>
      <c r="B11" t="s">
        <v>308</v>
      </c>
      <c r="D11" s="55" t="s">
        <v>309</v>
      </c>
      <c r="G11">
        <v>10</v>
      </c>
      <c r="H11">
        <v>48</v>
      </c>
      <c r="I11">
        <v>2</v>
      </c>
      <c r="J11" s="9" t="str">
        <f t="shared" si="0"/>
        <v>Mujer</v>
      </c>
      <c r="K11">
        <v>3</v>
      </c>
      <c r="L11" s="9" t="str">
        <f t="shared" si="1"/>
        <v>Casado</v>
      </c>
      <c r="M11">
        <v>30</v>
      </c>
      <c r="N11">
        <v>1</v>
      </c>
      <c r="O11" s="9" t="str">
        <f t="shared" si="2"/>
        <v>Patrón o empleado</v>
      </c>
      <c r="P11">
        <v>23</v>
      </c>
      <c r="Q11">
        <v>480</v>
      </c>
      <c r="R11">
        <v>1</v>
      </c>
      <c r="S11">
        <v>1</v>
      </c>
      <c r="T11" s="9" t="str">
        <f t="shared" si="3"/>
        <v>Primario</v>
      </c>
      <c r="U11">
        <v>1</v>
      </c>
      <c r="V11">
        <v>1</v>
      </c>
      <c r="W11" s="9" t="str">
        <f t="shared" si="4"/>
        <v>Casa</v>
      </c>
      <c r="X11">
        <v>3</v>
      </c>
      <c r="Y11">
        <v>1</v>
      </c>
      <c r="Z11" s="9" t="str">
        <f t="shared" si="5"/>
        <v>Propietario de la vivienda y terreno</v>
      </c>
      <c r="AA11">
        <v>6</v>
      </c>
      <c r="AB11">
        <v>1</v>
      </c>
      <c r="AC11">
        <v>5</v>
      </c>
    </row>
    <row r="12" spans="1:29" x14ac:dyDescent="0.25">
      <c r="A12" s="40" t="s">
        <v>303</v>
      </c>
      <c r="B12" s="41">
        <v>33</v>
      </c>
      <c r="D12" s="61">
        <f>GETPIVOTDATA("Civil_Cat",$A$11,"Civil_Cat","Casado")/GETPIVOTDATA("Civil_Cat",$A$11)</f>
        <v>0.33</v>
      </c>
      <c r="G12">
        <v>11</v>
      </c>
      <c r="H12">
        <v>55</v>
      </c>
      <c r="I12">
        <v>2</v>
      </c>
      <c r="J12" s="9" t="str">
        <f t="shared" si="0"/>
        <v>Mujer</v>
      </c>
      <c r="K12">
        <v>3</v>
      </c>
      <c r="L12" s="9" t="str">
        <f t="shared" si="1"/>
        <v>Casado</v>
      </c>
      <c r="M12">
        <v>45</v>
      </c>
      <c r="N12">
        <v>2</v>
      </c>
      <c r="O12" s="9" t="str">
        <f t="shared" si="2"/>
        <v>Trabajador por su cuenta</v>
      </c>
      <c r="P12">
        <v>35</v>
      </c>
      <c r="Q12">
        <v>760</v>
      </c>
      <c r="R12">
        <v>1</v>
      </c>
      <c r="S12">
        <v>3</v>
      </c>
      <c r="T12" s="9" t="str">
        <f t="shared" si="3"/>
        <v>Comercial</v>
      </c>
      <c r="U12">
        <v>2</v>
      </c>
      <c r="V12">
        <v>3</v>
      </c>
      <c r="W12" s="9" t="str">
        <f t="shared" si="4"/>
        <v>Vivienda en lugar de trabajo</v>
      </c>
      <c r="X12">
        <v>3</v>
      </c>
      <c r="Y12">
        <v>1</v>
      </c>
      <c r="Z12" s="9" t="str">
        <f t="shared" si="5"/>
        <v>Propietario de la vivienda y terreno</v>
      </c>
      <c r="AA12">
        <v>4</v>
      </c>
      <c r="AB12">
        <v>3</v>
      </c>
      <c r="AC12">
        <v>1</v>
      </c>
    </row>
    <row r="13" spans="1:29" x14ac:dyDescent="0.25">
      <c r="A13" s="40" t="s">
        <v>304</v>
      </c>
      <c r="B13" s="41">
        <v>8</v>
      </c>
      <c r="D13" s="61">
        <f>GETPIVOTDATA("Civil_Cat",$A$11,"Civil_Cat","Separado/Divorciado")/GETPIVOTDATA("Civil_Cat",$A$11)</f>
        <v>0.08</v>
      </c>
      <c r="G13">
        <v>12</v>
      </c>
      <c r="H13">
        <v>43</v>
      </c>
      <c r="I13">
        <v>1</v>
      </c>
      <c r="J13" s="9" t="str">
        <f t="shared" si="0"/>
        <v>Varón</v>
      </c>
      <c r="K13">
        <v>3</v>
      </c>
      <c r="L13" s="9" t="str">
        <f t="shared" si="1"/>
        <v>Casado</v>
      </c>
      <c r="M13">
        <v>48</v>
      </c>
      <c r="N13">
        <v>3</v>
      </c>
      <c r="O13" s="9" t="str">
        <f t="shared" si="2"/>
        <v>Obrero o empleado</v>
      </c>
      <c r="P13">
        <v>16</v>
      </c>
      <c r="Q13">
        <v>900</v>
      </c>
      <c r="R13">
        <v>1</v>
      </c>
      <c r="S13">
        <v>8</v>
      </c>
      <c r="T13" s="9" t="str">
        <f t="shared" si="3"/>
        <v>Universitaria</v>
      </c>
      <c r="U13">
        <v>1</v>
      </c>
      <c r="V13">
        <v>1</v>
      </c>
      <c r="W13" s="9" t="str">
        <f t="shared" si="4"/>
        <v>Casa</v>
      </c>
      <c r="X13">
        <v>4</v>
      </c>
      <c r="Y13">
        <v>1</v>
      </c>
      <c r="Z13" s="9" t="str">
        <f t="shared" si="5"/>
        <v>Propietario de la vivienda y terreno</v>
      </c>
      <c r="AA13">
        <v>5</v>
      </c>
      <c r="AB13">
        <v>1</v>
      </c>
      <c r="AC13">
        <v>4</v>
      </c>
    </row>
    <row r="14" spans="1:29" x14ac:dyDescent="0.25">
      <c r="A14" s="40" t="s">
        <v>305</v>
      </c>
      <c r="B14" s="41">
        <v>47</v>
      </c>
      <c r="D14" s="61">
        <f>GETPIVOTDATA("Civil_Cat",$A$11,"Civil_Cat","Soltero")/GETPIVOTDATA("Civil_Cat",$A$11)</f>
        <v>0.47</v>
      </c>
      <c r="G14">
        <v>13</v>
      </c>
      <c r="H14">
        <v>47</v>
      </c>
      <c r="I14">
        <v>1</v>
      </c>
      <c r="J14" s="9" t="str">
        <f t="shared" si="0"/>
        <v>Varón</v>
      </c>
      <c r="K14">
        <v>3</v>
      </c>
      <c r="L14" s="9" t="str">
        <f t="shared" si="1"/>
        <v>Casado</v>
      </c>
      <c r="M14">
        <v>42</v>
      </c>
      <c r="N14">
        <v>2</v>
      </c>
      <c r="O14" s="9" t="str">
        <f t="shared" si="2"/>
        <v>Trabajador por su cuenta</v>
      </c>
      <c r="P14">
        <v>20</v>
      </c>
      <c r="Q14">
        <v>1200</v>
      </c>
      <c r="R14">
        <v>1</v>
      </c>
      <c r="S14">
        <v>2</v>
      </c>
      <c r="T14" s="9" t="str">
        <f t="shared" si="3"/>
        <v>Nacional</v>
      </c>
      <c r="U14">
        <v>1</v>
      </c>
      <c r="V14">
        <v>1</v>
      </c>
      <c r="W14" s="9" t="str">
        <f t="shared" si="4"/>
        <v>Casa</v>
      </c>
      <c r="X14">
        <v>3</v>
      </c>
      <c r="Y14">
        <v>3</v>
      </c>
      <c r="Z14" s="9" t="str">
        <f t="shared" si="5"/>
        <v>Inquilino o arrendatario de la vivienda</v>
      </c>
      <c r="AA14">
        <v>5</v>
      </c>
      <c r="AB14">
        <v>2</v>
      </c>
      <c r="AC14">
        <v>3</v>
      </c>
    </row>
    <row r="15" spans="1:29" x14ac:dyDescent="0.25">
      <c r="A15" s="40" t="s">
        <v>306</v>
      </c>
      <c r="B15" s="41">
        <v>3</v>
      </c>
      <c r="D15" s="61">
        <f>GETPIVOTDATA("Civil_Cat",$A$11,"Civil_Cat","Unido")/GETPIVOTDATA("Civil_Cat",$A$11)</f>
        <v>0.03</v>
      </c>
      <c r="G15">
        <v>14</v>
      </c>
      <c r="H15">
        <v>58</v>
      </c>
      <c r="I15">
        <v>2</v>
      </c>
      <c r="J15" s="9" t="str">
        <f t="shared" si="0"/>
        <v>Mujer</v>
      </c>
      <c r="K15">
        <v>5</v>
      </c>
      <c r="L15" s="9" t="str">
        <f t="shared" si="1"/>
        <v>Viudo</v>
      </c>
      <c r="M15">
        <v>40</v>
      </c>
      <c r="N15">
        <v>2</v>
      </c>
      <c r="O15" s="9" t="str">
        <f t="shared" si="2"/>
        <v>Trabajador por su cuenta</v>
      </c>
      <c r="P15">
        <v>34</v>
      </c>
      <c r="Q15">
        <v>650</v>
      </c>
      <c r="R15">
        <v>2</v>
      </c>
      <c r="S15">
        <v>0</v>
      </c>
      <c r="T15" s="9" t="str">
        <f t="shared" si="3"/>
        <v>No sabe leer ni escribir</v>
      </c>
      <c r="U15">
        <v>0</v>
      </c>
      <c r="V15">
        <v>1</v>
      </c>
      <c r="W15" s="9" t="str">
        <f t="shared" si="4"/>
        <v>Casa</v>
      </c>
      <c r="X15">
        <v>3</v>
      </c>
      <c r="Y15">
        <v>1</v>
      </c>
      <c r="Z15" s="9" t="str">
        <f t="shared" si="5"/>
        <v>Propietario de la vivienda y terreno</v>
      </c>
      <c r="AA15">
        <v>3</v>
      </c>
      <c r="AB15">
        <v>1</v>
      </c>
      <c r="AC15">
        <v>2</v>
      </c>
    </row>
    <row r="16" spans="1:29" x14ac:dyDescent="0.25">
      <c r="A16" s="40" t="s">
        <v>307</v>
      </c>
      <c r="B16" s="41">
        <v>9</v>
      </c>
      <c r="D16" s="61">
        <f>GETPIVOTDATA("Civil_Cat",$A$11,"Civil_Cat","Viudo")/GETPIVOTDATA("Civil_Cat",$A$11)</f>
        <v>0.09</v>
      </c>
      <c r="G16">
        <v>15</v>
      </c>
      <c r="H16">
        <v>31</v>
      </c>
      <c r="I16">
        <v>2</v>
      </c>
      <c r="J16" s="9" t="str">
        <f t="shared" si="0"/>
        <v>Mujer</v>
      </c>
      <c r="K16">
        <v>1</v>
      </c>
      <c r="L16" s="9" t="str">
        <f t="shared" si="1"/>
        <v>Soltero</v>
      </c>
      <c r="M16">
        <v>45</v>
      </c>
      <c r="N16">
        <v>1</v>
      </c>
      <c r="O16" s="9" t="str">
        <f t="shared" si="2"/>
        <v>Patrón o empleado</v>
      </c>
      <c r="P16">
        <v>10</v>
      </c>
      <c r="Q16">
        <v>1300</v>
      </c>
      <c r="R16">
        <v>1</v>
      </c>
      <c r="S16">
        <v>4</v>
      </c>
      <c r="T16" s="9" t="str">
        <f t="shared" si="3"/>
        <v>Normal</v>
      </c>
      <c r="U16">
        <v>2</v>
      </c>
      <c r="V16">
        <v>2</v>
      </c>
      <c r="W16" s="9" t="str">
        <f t="shared" si="4"/>
        <v>Departamento</v>
      </c>
      <c r="X16">
        <v>2</v>
      </c>
      <c r="Y16">
        <v>3</v>
      </c>
      <c r="Z16" s="9" t="str">
        <f t="shared" si="5"/>
        <v>Inquilino o arrendatario de la vivienda</v>
      </c>
      <c r="AA16">
        <v>3</v>
      </c>
      <c r="AB16">
        <v>1</v>
      </c>
      <c r="AC16">
        <v>2</v>
      </c>
    </row>
    <row r="17" spans="1:29" x14ac:dyDescent="0.25">
      <c r="A17" s="40" t="s">
        <v>190</v>
      </c>
      <c r="B17" s="41">
        <v>100</v>
      </c>
      <c r="G17">
        <v>16</v>
      </c>
      <c r="H17">
        <v>67</v>
      </c>
      <c r="I17">
        <v>2</v>
      </c>
      <c r="J17" s="9" t="str">
        <f t="shared" si="0"/>
        <v>Mujer</v>
      </c>
      <c r="K17">
        <v>5</v>
      </c>
      <c r="L17" s="9" t="str">
        <f t="shared" si="1"/>
        <v>Viudo</v>
      </c>
      <c r="M17">
        <v>25</v>
      </c>
      <c r="N17">
        <v>4</v>
      </c>
      <c r="O17" s="9" t="str">
        <f t="shared" si="2"/>
        <v>Trabajador sin salario</v>
      </c>
      <c r="P17">
        <v>25</v>
      </c>
      <c r="Q17">
        <v>0</v>
      </c>
      <c r="R17">
        <v>1</v>
      </c>
      <c r="S17">
        <v>3</v>
      </c>
      <c r="T17" s="9" t="str">
        <f t="shared" si="3"/>
        <v>Comercial</v>
      </c>
      <c r="U17">
        <v>1</v>
      </c>
      <c r="V17">
        <v>1</v>
      </c>
      <c r="W17" s="9" t="str">
        <f t="shared" si="4"/>
        <v>Casa</v>
      </c>
      <c r="X17">
        <v>1</v>
      </c>
      <c r="Y17">
        <v>1</v>
      </c>
      <c r="Z17" s="9" t="str">
        <f t="shared" si="5"/>
        <v>Propietario de la vivienda y terreno</v>
      </c>
      <c r="AA17">
        <v>3</v>
      </c>
      <c r="AB17">
        <v>2</v>
      </c>
      <c r="AC17">
        <v>1</v>
      </c>
    </row>
    <row r="18" spans="1:29" x14ac:dyDescent="0.25">
      <c r="G18">
        <v>17</v>
      </c>
      <c r="H18">
        <v>23</v>
      </c>
      <c r="I18">
        <v>1</v>
      </c>
      <c r="J18" s="9" t="str">
        <f t="shared" si="0"/>
        <v>Varón</v>
      </c>
      <c r="K18">
        <v>1</v>
      </c>
      <c r="L18" s="9" t="str">
        <f t="shared" si="1"/>
        <v>Soltero</v>
      </c>
      <c r="M18">
        <v>25</v>
      </c>
      <c r="N18">
        <v>3</v>
      </c>
      <c r="O18" s="9" t="str">
        <f t="shared" si="2"/>
        <v>Obrero o empleado</v>
      </c>
      <c r="P18">
        <v>3</v>
      </c>
      <c r="Q18">
        <v>350</v>
      </c>
      <c r="R18">
        <v>1</v>
      </c>
      <c r="S18">
        <v>8</v>
      </c>
      <c r="T18" s="9" t="str">
        <f t="shared" si="3"/>
        <v>Universitaria</v>
      </c>
      <c r="U18">
        <v>2</v>
      </c>
      <c r="V18">
        <v>1</v>
      </c>
      <c r="W18" s="9" t="str">
        <f t="shared" si="4"/>
        <v>Casa</v>
      </c>
      <c r="X18">
        <v>4</v>
      </c>
      <c r="Y18">
        <v>1</v>
      </c>
      <c r="Z18" s="9" t="str">
        <f t="shared" si="5"/>
        <v>Propietario de la vivienda y terreno</v>
      </c>
      <c r="AA18">
        <v>7</v>
      </c>
      <c r="AB18">
        <v>3</v>
      </c>
      <c r="AC18">
        <v>4</v>
      </c>
    </row>
    <row r="19" spans="1:29" x14ac:dyDescent="0.25">
      <c r="G19">
        <v>18</v>
      </c>
      <c r="H19">
        <v>43</v>
      </c>
      <c r="I19">
        <v>2</v>
      </c>
      <c r="J19" s="9" t="str">
        <f t="shared" si="0"/>
        <v>Mujer</v>
      </c>
      <c r="K19">
        <v>3</v>
      </c>
      <c r="L19" s="9" t="str">
        <f t="shared" si="1"/>
        <v>Casado</v>
      </c>
      <c r="M19">
        <v>48</v>
      </c>
      <c r="N19">
        <v>2</v>
      </c>
      <c r="O19" s="9" t="str">
        <f t="shared" si="2"/>
        <v>Trabajador por su cuenta</v>
      </c>
      <c r="P19">
        <v>20</v>
      </c>
      <c r="Q19">
        <v>1800</v>
      </c>
      <c r="R19">
        <v>1</v>
      </c>
      <c r="S19">
        <v>8</v>
      </c>
      <c r="T19" s="9" t="str">
        <f t="shared" si="3"/>
        <v>Universitaria</v>
      </c>
      <c r="U19">
        <v>1</v>
      </c>
      <c r="V19">
        <v>4</v>
      </c>
      <c r="W19" s="9" t="str">
        <f t="shared" si="4"/>
        <v>Inquilinato</v>
      </c>
      <c r="X19">
        <v>2</v>
      </c>
      <c r="Y19">
        <v>3</v>
      </c>
      <c r="Z19" s="9" t="str">
        <f t="shared" si="5"/>
        <v>Inquilino o arrendatario de la vivienda</v>
      </c>
      <c r="AA19">
        <v>8</v>
      </c>
      <c r="AB19">
        <v>2</v>
      </c>
      <c r="AC19">
        <v>6</v>
      </c>
    </row>
    <row r="20" spans="1:29" x14ac:dyDescent="0.25">
      <c r="A20" s="1" t="s">
        <v>246</v>
      </c>
      <c r="G20">
        <v>19</v>
      </c>
      <c r="H20">
        <v>22</v>
      </c>
      <c r="I20">
        <v>2</v>
      </c>
      <c r="J20" s="9" t="str">
        <f t="shared" si="0"/>
        <v>Mujer</v>
      </c>
      <c r="K20">
        <v>1</v>
      </c>
      <c r="L20" s="9" t="str">
        <f t="shared" si="1"/>
        <v>Soltero</v>
      </c>
      <c r="M20">
        <v>20</v>
      </c>
      <c r="N20">
        <v>3</v>
      </c>
      <c r="O20" s="9" t="str">
        <f t="shared" si="2"/>
        <v>Obrero o empleado</v>
      </c>
      <c r="P20">
        <v>2</v>
      </c>
      <c r="Q20">
        <v>430</v>
      </c>
      <c r="R20">
        <v>1</v>
      </c>
      <c r="S20">
        <v>2</v>
      </c>
      <c r="T20" s="9" t="str">
        <f t="shared" si="3"/>
        <v>Nacional</v>
      </c>
      <c r="U20">
        <v>2</v>
      </c>
      <c r="V20">
        <v>1</v>
      </c>
      <c r="W20" s="9" t="str">
        <f t="shared" si="4"/>
        <v>Casa</v>
      </c>
      <c r="X20">
        <v>1</v>
      </c>
      <c r="Y20">
        <v>5</v>
      </c>
      <c r="Z20" s="9" t="str">
        <f t="shared" si="5"/>
        <v>Ocupante gratuito</v>
      </c>
      <c r="AA20">
        <v>3</v>
      </c>
      <c r="AB20">
        <v>1</v>
      </c>
      <c r="AC20">
        <v>2</v>
      </c>
    </row>
    <row r="21" spans="1:29" x14ac:dyDescent="0.25">
      <c r="G21">
        <v>20</v>
      </c>
      <c r="H21">
        <v>25</v>
      </c>
      <c r="I21">
        <v>2</v>
      </c>
      <c r="J21" s="9" t="str">
        <f t="shared" si="0"/>
        <v>Mujer</v>
      </c>
      <c r="K21">
        <v>3</v>
      </c>
      <c r="L21" s="9" t="str">
        <f t="shared" si="1"/>
        <v>Casado</v>
      </c>
      <c r="M21">
        <v>15</v>
      </c>
      <c r="N21">
        <v>2</v>
      </c>
      <c r="O21" s="9" t="str">
        <f t="shared" si="2"/>
        <v>Trabajador por su cuenta</v>
      </c>
      <c r="P21">
        <v>3</v>
      </c>
      <c r="Q21">
        <v>240</v>
      </c>
      <c r="R21">
        <v>2</v>
      </c>
      <c r="S21">
        <v>0</v>
      </c>
      <c r="T21" s="9" t="str">
        <f t="shared" si="3"/>
        <v>No sabe leer ni escribir</v>
      </c>
      <c r="U21">
        <v>0</v>
      </c>
      <c r="V21">
        <v>1</v>
      </c>
      <c r="W21" s="9" t="str">
        <f t="shared" si="4"/>
        <v>Casa</v>
      </c>
      <c r="X21">
        <v>3</v>
      </c>
      <c r="Y21">
        <v>5</v>
      </c>
      <c r="Z21" s="9" t="str">
        <f t="shared" si="5"/>
        <v>Ocupante gratuito</v>
      </c>
      <c r="AA21">
        <v>2</v>
      </c>
      <c r="AB21">
        <v>1</v>
      </c>
      <c r="AC21">
        <v>1</v>
      </c>
    </row>
    <row r="22" spans="1:29" x14ac:dyDescent="0.25">
      <c r="A22" s="60" t="s">
        <v>189</v>
      </c>
      <c r="B22" t="s">
        <v>320</v>
      </c>
      <c r="D22" s="55" t="s">
        <v>309</v>
      </c>
      <c r="G22">
        <v>21</v>
      </c>
      <c r="H22">
        <v>32</v>
      </c>
      <c r="I22">
        <v>1</v>
      </c>
      <c r="J22" s="9" t="str">
        <f t="shared" si="0"/>
        <v>Varón</v>
      </c>
      <c r="K22">
        <v>1</v>
      </c>
      <c r="L22" s="9" t="str">
        <f t="shared" si="1"/>
        <v>Soltero</v>
      </c>
      <c r="M22">
        <v>50</v>
      </c>
      <c r="N22">
        <v>2</v>
      </c>
      <c r="O22" s="9" t="str">
        <f t="shared" si="2"/>
        <v>Trabajador por su cuenta</v>
      </c>
      <c r="P22">
        <v>8</v>
      </c>
      <c r="Q22">
        <v>2100</v>
      </c>
      <c r="R22">
        <v>1</v>
      </c>
      <c r="S22">
        <v>7</v>
      </c>
      <c r="T22" s="9" t="str">
        <f t="shared" si="3"/>
        <v>Superior</v>
      </c>
      <c r="U22">
        <v>1</v>
      </c>
      <c r="V22">
        <v>1</v>
      </c>
      <c r="W22" s="9" t="str">
        <f t="shared" si="4"/>
        <v>Casa</v>
      </c>
      <c r="X22">
        <v>1</v>
      </c>
      <c r="Y22">
        <v>5</v>
      </c>
      <c r="Z22" s="9" t="str">
        <f t="shared" si="5"/>
        <v>Ocupante gratuito</v>
      </c>
      <c r="AA22">
        <v>3</v>
      </c>
      <c r="AB22">
        <v>2</v>
      </c>
      <c r="AC22">
        <v>1</v>
      </c>
    </row>
    <row r="23" spans="1:29" x14ac:dyDescent="0.25">
      <c r="A23" s="40" t="s">
        <v>311</v>
      </c>
      <c r="B23" s="41">
        <v>19</v>
      </c>
      <c r="D23" s="61">
        <f>GETPIVOTDATA("Estud_Cat",$A$22,"Estud_Cat","Comercial")/GETPIVOTDATA("Civil_Cat",$A$11)</f>
        <v>0.19</v>
      </c>
      <c r="G23">
        <v>22</v>
      </c>
      <c r="H23">
        <v>35</v>
      </c>
      <c r="I23">
        <v>1</v>
      </c>
      <c r="J23" s="9" t="str">
        <f t="shared" si="0"/>
        <v>Varón</v>
      </c>
      <c r="K23">
        <v>3</v>
      </c>
      <c r="L23" s="9" t="str">
        <f t="shared" si="1"/>
        <v>Casado</v>
      </c>
      <c r="M23">
        <v>40</v>
      </c>
      <c r="N23">
        <v>3</v>
      </c>
      <c r="O23" s="9" t="str">
        <f t="shared" si="2"/>
        <v>Obrero o empleado</v>
      </c>
      <c r="P23">
        <v>1</v>
      </c>
      <c r="Q23">
        <v>450</v>
      </c>
      <c r="R23">
        <v>1</v>
      </c>
      <c r="S23">
        <v>3</v>
      </c>
      <c r="T23" s="9" t="str">
        <f t="shared" si="3"/>
        <v>Comercial</v>
      </c>
      <c r="U23">
        <v>2</v>
      </c>
      <c r="V23">
        <v>1</v>
      </c>
      <c r="W23" s="9" t="str">
        <f t="shared" si="4"/>
        <v>Casa</v>
      </c>
      <c r="X23">
        <v>4</v>
      </c>
      <c r="Y23">
        <v>1</v>
      </c>
      <c r="Z23" s="9" t="str">
        <f t="shared" si="5"/>
        <v>Propietario de la vivienda y terreno</v>
      </c>
      <c r="AA23">
        <v>4</v>
      </c>
      <c r="AB23">
        <v>1</v>
      </c>
      <c r="AC23">
        <v>3</v>
      </c>
    </row>
    <row r="24" spans="1:29" x14ac:dyDescent="0.25">
      <c r="A24" s="40" t="s">
        <v>312</v>
      </c>
      <c r="B24" s="41">
        <v>17</v>
      </c>
      <c r="D24" s="61">
        <f>GETPIVOTDATA("Estud_Cat",$A$22,"Estud_Cat","Nacional")/GETPIVOTDATA("Estud_Cat",$A$22)</f>
        <v>0.17</v>
      </c>
      <c r="G24">
        <v>23</v>
      </c>
      <c r="H24">
        <v>26</v>
      </c>
      <c r="I24">
        <v>1</v>
      </c>
      <c r="J24" s="9" t="str">
        <f t="shared" si="0"/>
        <v>Varón</v>
      </c>
      <c r="K24">
        <v>1</v>
      </c>
      <c r="L24" s="9" t="str">
        <f t="shared" si="1"/>
        <v>Soltero</v>
      </c>
      <c r="M24">
        <v>24</v>
      </c>
      <c r="N24">
        <v>3</v>
      </c>
      <c r="O24" s="9" t="str">
        <f t="shared" si="2"/>
        <v>Obrero o empleado</v>
      </c>
      <c r="P24">
        <v>4</v>
      </c>
      <c r="Q24">
        <v>310</v>
      </c>
      <c r="R24">
        <v>1</v>
      </c>
      <c r="S24">
        <v>2</v>
      </c>
      <c r="T24" s="9" t="str">
        <f t="shared" si="3"/>
        <v>Nacional</v>
      </c>
      <c r="U24">
        <v>1</v>
      </c>
      <c r="V24">
        <v>4</v>
      </c>
      <c r="W24" s="9" t="str">
        <f t="shared" si="4"/>
        <v>Inquilinato</v>
      </c>
      <c r="X24">
        <v>3</v>
      </c>
      <c r="Y24">
        <v>3</v>
      </c>
      <c r="Z24" s="9" t="str">
        <f t="shared" si="5"/>
        <v>Inquilino o arrendatario de la vivienda</v>
      </c>
      <c r="AA24">
        <v>4</v>
      </c>
      <c r="AB24">
        <v>3</v>
      </c>
      <c r="AC24">
        <v>1</v>
      </c>
    </row>
    <row r="25" spans="1:29" x14ac:dyDescent="0.25">
      <c r="A25" s="40" t="s">
        <v>313</v>
      </c>
      <c r="B25" s="41">
        <v>10</v>
      </c>
      <c r="D25" s="61">
        <f>GETPIVOTDATA("Estud_Cat",$A$22,"Estud_Cat","No sabe leer ni escribir")/GETPIVOTDATA("Estud_Cat",$A$22)</f>
        <v>0.1</v>
      </c>
      <c r="G25">
        <v>24</v>
      </c>
      <c r="H25">
        <v>41</v>
      </c>
      <c r="I25">
        <v>2</v>
      </c>
      <c r="J25" s="9" t="str">
        <f t="shared" si="0"/>
        <v>Mujer</v>
      </c>
      <c r="K25">
        <v>3</v>
      </c>
      <c r="L25" s="9" t="str">
        <f t="shared" si="1"/>
        <v>Casado</v>
      </c>
      <c r="M25">
        <v>40</v>
      </c>
      <c r="N25">
        <v>3</v>
      </c>
      <c r="O25" s="9" t="str">
        <f t="shared" si="2"/>
        <v>Obrero o empleado</v>
      </c>
      <c r="P25">
        <v>3</v>
      </c>
      <c r="Q25">
        <v>200</v>
      </c>
      <c r="R25">
        <v>1</v>
      </c>
      <c r="S25">
        <v>1</v>
      </c>
      <c r="T25" s="9" t="str">
        <f t="shared" si="3"/>
        <v>Primario</v>
      </c>
      <c r="U25">
        <v>1</v>
      </c>
      <c r="V25">
        <v>1</v>
      </c>
      <c r="W25" s="9" t="str">
        <f t="shared" si="4"/>
        <v>Casa</v>
      </c>
      <c r="X25">
        <v>2</v>
      </c>
      <c r="Y25">
        <v>1</v>
      </c>
      <c r="Z25" s="9" t="str">
        <f t="shared" si="5"/>
        <v>Propietario de la vivienda y terreno</v>
      </c>
      <c r="AA25">
        <v>5</v>
      </c>
      <c r="AB25">
        <v>2</v>
      </c>
      <c r="AC25">
        <v>3</v>
      </c>
    </row>
    <row r="26" spans="1:29" x14ac:dyDescent="0.25">
      <c r="A26" s="40" t="s">
        <v>314</v>
      </c>
      <c r="B26" s="41">
        <v>8</v>
      </c>
      <c r="D26" s="61">
        <f>GETPIVOTDATA("Estud_Cat",$A$22,"Estud_Cat","Normal")/GETPIVOTDATA("Estud_Cat",$A$22)</f>
        <v>0.08</v>
      </c>
      <c r="G26">
        <v>25</v>
      </c>
      <c r="H26">
        <v>18</v>
      </c>
      <c r="I26">
        <v>1</v>
      </c>
      <c r="J26" s="9" t="str">
        <f t="shared" si="0"/>
        <v>Varón</v>
      </c>
      <c r="K26">
        <v>1</v>
      </c>
      <c r="L26" s="9" t="str">
        <f t="shared" si="1"/>
        <v>Soltero</v>
      </c>
      <c r="M26">
        <v>54</v>
      </c>
      <c r="N26">
        <v>3</v>
      </c>
      <c r="O26" s="9" t="str">
        <f t="shared" si="2"/>
        <v>Obrero o empleado</v>
      </c>
      <c r="P26">
        <v>0</v>
      </c>
      <c r="Q26">
        <v>220</v>
      </c>
      <c r="R26">
        <v>1</v>
      </c>
      <c r="S26">
        <v>5</v>
      </c>
      <c r="T26" s="9" t="str">
        <f t="shared" si="3"/>
        <v>Técnica</v>
      </c>
      <c r="U26">
        <v>2</v>
      </c>
      <c r="V26">
        <v>3</v>
      </c>
      <c r="W26" s="9" t="str">
        <f t="shared" si="4"/>
        <v>Vivienda en lugar de trabajo</v>
      </c>
      <c r="X26">
        <v>2</v>
      </c>
      <c r="Y26">
        <v>1</v>
      </c>
      <c r="Z26" s="9" t="str">
        <f t="shared" si="5"/>
        <v>Propietario de la vivienda y terreno</v>
      </c>
      <c r="AA26">
        <v>5</v>
      </c>
      <c r="AB26">
        <v>2</v>
      </c>
      <c r="AC26">
        <v>3</v>
      </c>
    </row>
    <row r="27" spans="1:29" x14ac:dyDescent="0.25">
      <c r="A27" s="40" t="s">
        <v>315</v>
      </c>
      <c r="B27" s="41">
        <v>3</v>
      </c>
      <c r="D27" s="61">
        <f>GETPIVOTDATA("Estud_Cat",$A$22,"Estud_Cat","Otra enseñanza media")/GETPIVOTDATA("Estud_Cat",$A$22)</f>
        <v>0.03</v>
      </c>
      <c r="G27">
        <v>26</v>
      </c>
      <c r="H27">
        <v>69</v>
      </c>
      <c r="I27">
        <v>2</v>
      </c>
      <c r="J27" s="9" t="str">
        <f t="shared" si="0"/>
        <v>Mujer</v>
      </c>
      <c r="K27">
        <v>4</v>
      </c>
      <c r="L27" s="9" t="str">
        <f t="shared" si="1"/>
        <v>Separado/Divorciado</v>
      </c>
      <c r="M27">
        <v>12</v>
      </c>
      <c r="N27">
        <v>4</v>
      </c>
      <c r="O27" s="9" t="str">
        <f t="shared" si="2"/>
        <v>Trabajador sin salario</v>
      </c>
      <c r="P27">
        <v>35</v>
      </c>
      <c r="Q27">
        <v>0</v>
      </c>
      <c r="R27">
        <v>1</v>
      </c>
      <c r="S27">
        <v>1</v>
      </c>
      <c r="T27" s="9" t="str">
        <f t="shared" si="3"/>
        <v>Primario</v>
      </c>
      <c r="U27">
        <v>2</v>
      </c>
      <c r="V27">
        <v>1</v>
      </c>
      <c r="W27" s="9" t="str">
        <f t="shared" si="4"/>
        <v>Casa</v>
      </c>
      <c r="X27">
        <v>5</v>
      </c>
      <c r="Y27">
        <v>3</v>
      </c>
      <c r="Z27" s="9" t="str">
        <f t="shared" si="5"/>
        <v>Inquilino o arrendatario de la vivienda</v>
      </c>
      <c r="AA27">
        <v>3</v>
      </c>
      <c r="AB27">
        <v>2</v>
      </c>
      <c r="AC27">
        <v>1</v>
      </c>
    </row>
    <row r="28" spans="1:29" x14ac:dyDescent="0.25">
      <c r="A28" s="40" t="s">
        <v>316</v>
      </c>
      <c r="B28" s="41">
        <v>15</v>
      </c>
      <c r="D28" s="61">
        <f>GETPIVOTDATA("Estud_Cat",$A$22,"Estud_Cat","Primario")/GETPIVOTDATA("Estud_Cat",$A$22)</f>
        <v>0.15</v>
      </c>
      <c r="G28">
        <v>27</v>
      </c>
      <c r="H28">
        <v>38</v>
      </c>
      <c r="I28">
        <v>1</v>
      </c>
      <c r="J28" s="9" t="str">
        <f t="shared" si="0"/>
        <v>Varón</v>
      </c>
      <c r="K28">
        <v>3</v>
      </c>
      <c r="L28" s="9" t="str">
        <f t="shared" si="1"/>
        <v>Casado</v>
      </c>
      <c r="M28">
        <v>50</v>
      </c>
      <c r="N28">
        <v>3</v>
      </c>
      <c r="O28" s="9" t="str">
        <f t="shared" si="2"/>
        <v>Obrero o empleado</v>
      </c>
      <c r="P28">
        <v>18</v>
      </c>
      <c r="Q28">
        <v>430</v>
      </c>
      <c r="R28">
        <v>1</v>
      </c>
      <c r="S28">
        <v>3</v>
      </c>
      <c r="T28" s="9" t="str">
        <f t="shared" si="3"/>
        <v>Comercial</v>
      </c>
      <c r="U28">
        <v>1</v>
      </c>
      <c r="V28">
        <v>1</v>
      </c>
      <c r="W28" s="9" t="str">
        <f t="shared" si="4"/>
        <v>Casa</v>
      </c>
      <c r="X28">
        <v>5</v>
      </c>
      <c r="Y28">
        <v>3</v>
      </c>
      <c r="Z28" s="9" t="str">
        <f t="shared" si="5"/>
        <v>Inquilino o arrendatario de la vivienda</v>
      </c>
      <c r="AA28">
        <v>6</v>
      </c>
      <c r="AB28">
        <v>2</v>
      </c>
      <c r="AC28">
        <v>4</v>
      </c>
    </row>
    <row r="29" spans="1:29" x14ac:dyDescent="0.25">
      <c r="A29" s="40" t="s">
        <v>317</v>
      </c>
      <c r="B29" s="41">
        <v>6</v>
      </c>
      <c r="D29" s="61">
        <f>GETPIVOTDATA("Estud_Cat",$A$22,"Estud_Cat","Superior")/GETPIVOTDATA("Estud_Cat",$A$22)</f>
        <v>0.06</v>
      </c>
      <c r="G29">
        <v>28</v>
      </c>
      <c r="H29">
        <v>29</v>
      </c>
      <c r="I29">
        <v>1</v>
      </c>
      <c r="J29" s="9" t="str">
        <f t="shared" si="0"/>
        <v>Varón</v>
      </c>
      <c r="K29">
        <v>3</v>
      </c>
      <c r="L29" s="9" t="str">
        <f t="shared" si="1"/>
        <v>Casado</v>
      </c>
      <c r="M29">
        <v>30</v>
      </c>
      <c r="N29">
        <v>2</v>
      </c>
      <c r="O29" s="9" t="str">
        <f t="shared" si="2"/>
        <v>Trabajador por su cuenta</v>
      </c>
      <c r="P29">
        <v>7</v>
      </c>
      <c r="Q29">
        <v>380</v>
      </c>
      <c r="R29">
        <v>1</v>
      </c>
      <c r="S29">
        <v>3</v>
      </c>
      <c r="T29" s="9" t="str">
        <f t="shared" si="3"/>
        <v>Comercial</v>
      </c>
      <c r="U29">
        <v>1</v>
      </c>
      <c r="V29">
        <v>2</v>
      </c>
      <c r="W29" s="9" t="str">
        <f t="shared" si="4"/>
        <v>Departamento</v>
      </c>
      <c r="X29">
        <v>2</v>
      </c>
      <c r="Y29">
        <v>1</v>
      </c>
      <c r="Z29" s="9" t="str">
        <f t="shared" si="5"/>
        <v>Propietario de la vivienda y terreno</v>
      </c>
      <c r="AA29">
        <v>2</v>
      </c>
      <c r="AB29">
        <v>2</v>
      </c>
      <c r="AC29">
        <v>0</v>
      </c>
    </row>
    <row r="30" spans="1:29" x14ac:dyDescent="0.25">
      <c r="A30" s="40" t="s">
        <v>318</v>
      </c>
      <c r="B30" s="41">
        <v>6</v>
      </c>
      <c r="D30" s="61">
        <f>GETPIVOTDATA("Estud_Cat",$A$22,"Estud_Cat","Técnica")/GETPIVOTDATA("Estud_Cat",$A$22)</f>
        <v>0.06</v>
      </c>
      <c r="G30">
        <v>29</v>
      </c>
      <c r="H30">
        <v>58</v>
      </c>
      <c r="I30">
        <v>1</v>
      </c>
      <c r="J30" s="9" t="str">
        <f t="shared" si="0"/>
        <v>Varón</v>
      </c>
      <c r="K30">
        <v>4</v>
      </c>
      <c r="L30" s="9" t="str">
        <f t="shared" si="1"/>
        <v>Separado/Divorciado</v>
      </c>
      <c r="M30">
        <v>24</v>
      </c>
      <c r="N30">
        <v>4</v>
      </c>
      <c r="O30" s="9" t="str">
        <f t="shared" si="2"/>
        <v>Trabajador sin salario</v>
      </c>
      <c r="P30">
        <v>22</v>
      </c>
      <c r="Q30">
        <v>0</v>
      </c>
      <c r="R30">
        <v>2</v>
      </c>
      <c r="S30">
        <v>0</v>
      </c>
      <c r="T30" s="9" t="str">
        <f t="shared" si="3"/>
        <v>No sabe leer ni escribir</v>
      </c>
      <c r="U30">
        <v>0</v>
      </c>
      <c r="V30">
        <v>2</v>
      </c>
      <c r="W30" s="9" t="str">
        <f t="shared" si="4"/>
        <v>Departamento</v>
      </c>
      <c r="X30">
        <v>4</v>
      </c>
      <c r="Y30">
        <v>3</v>
      </c>
      <c r="Z30" s="9" t="str">
        <f t="shared" si="5"/>
        <v>Inquilino o arrendatario de la vivienda</v>
      </c>
      <c r="AA30">
        <v>6</v>
      </c>
      <c r="AB30">
        <v>3</v>
      </c>
      <c r="AC30">
        <v>3</v>
      </c>
    </row>
    <row r="31" spans="1:29" x14ac:dyDescent="0.25">
      <c r="A31" s="40" t="s">
        <v>319</v>
      </c>
      <c r="B31" s="41">
        <v>16</v>
      </c>
      <c r="D31" s="61">
        <f>GETPIVOTDATA("Estud_Cat",$A$22,"Estud_Cat","Universitaria")/GETPIVOTDATA("Estud_Cat",$A$22)</f>
        <v>0.16</v>
      </c>
      <c r="G31">
        <v>30</v>
      </c>
      <c r="H31">
        <v>22</v>
      </c>
      <c r="I31">
        <v>2</v>
      </c>
      <c r="J31" s="9" t="str">
        <f t="shared" si="0"/>
        <v>Mujer</v>
      </c>
      <c r="K31">
        <v>1</v>
      </c>
      <c r="L31" s="9" t="str">
        <f t="shared" si="1"/>
        <v>Soltero</v>
      </c>
      <c r="M31">
        <v>15</v>
      </c>
      <c r="N31">
        <v>3</v>
      </c>
      <c r="O31" s="9" t="str">
        <f t="shared" si="2"/>
        <v>Obrero o empleado</v>
      </c>
      <c r="P31">
        <v>1</v>
      </c>
      <c r="Q31">
        <v>180</v>
      </c>
      <c r="R31">
        <v>2</v>
      </c>
      <c r="S31">
        <v>0</v>
      </c>
      <c r="T31" s="9" t="str">
        <f t="shared" si="3"/>
        <v>No sabe leer ni escribir</v>
      </c>
      <c r="U31">
        <v>0</v>
      </c>
      <c r="V31">
        <v>1</v>
      </c>
      <c r="W31" s="9" t="str">
        <f t="shared" si="4"/>
        <v>Casa</v>
      </c>
      <c r="X31">
        <v>2</v>
      </c>
      <c r="Y31">
        <v>1</v>
      </c>
      <c r="Z31" s="9" t="str">
        <f t="shared" si="5"/>
        <v>Propietario de la vivienda y terreno</v>
      </c>
      <c r="AA31">
        <v>2</v>
      </c>
      <c r="AB31">
        <v>1</v>
      </c>
      <c r="AC31">
        <v>1</v>
      </c>
    </row>
    <row r="32" spans="1:29" x14ac:dyDescent="0.25">
      <c r="A32" s="40" t="s">
        <v>190</v>
      </c>
      <c r="B32" s="41">
        <v>100</v>
      </c>
      <c r="G32">
        <v>31</v>
      </c>
      <c r="H32">
        <v>24</v>
      </c>
      <c r="I32">
        <v>2</v>
      </c>
      <c r="J32" s="9" t="str">
        <f t="shared" si="0"/>
        <v>Mujer</v>
      </c>
      <c r="K32">
        <v>1</v>
      </c>
      <c r="L32" s="9" t="str">
        <f t="shared" si="1"/>
        <v>Soltero</v>
      </c>
      <c r="M32">
        <v>45</v>
      </c>
      <c r="N32">
        <v>3</v>
      </c>
      <c r="O32" s="9" t="str">
        <f t="shared" si="2"/>
        <v>Obrero o empleado</v>
      </c>
      <c r="P32">
        <v>3</v>
      </c>
      <c r="Q32">
        <v>1300</v>
      </c>
      <c r="R32">
        <v>1</v>
      </c>
      <c r="S32">
        <v>7</v>
      </c>
      <c r="T32" s="9" t="str">
        <f t="shared" si="3"/>
        <v>Superior</v>
      </c>
      <c r="U32">
        <v>1</v>
      </c>
      <c r="V32">
        <v>2</v>
      </c>
      <c r="W32" s="9" t="str">
        <f t="shared" si="4"/>
        <v>Departamento</v>
      </c>
      <c r="X32">
        <v>2</v>
      </c>
      <c r="Y32">
        <v>3</v>
      </c>
      <c r="Z32" s="9" t="str">
        <f t="shared" si="5"/>
        <v>Inquilino o arrendatario de la vivienda</v>
      </c>
      <c r="AA32">
        <v>5</v>
      </c>
      <c r="AB32">
        <v>1</v>
      </c>
      <c r="AC32">
        <v>4</v>
      </c>
    </row>
    <row r="33" spans="1:29" x14ac:dyDescent="0.25">
      <c r="G33">
        <v>32</v>
      </c>
      <c r="H33">
        <v>43</v>
      </c>
      <c r="I33">
        <v>2</v>
      </c>
      <c r="J33" s="9" t="str">
        <f t="shared" si="0"/>
        <v>Mujer</v>
      </c>
      <c r="K33">
        <v>1</v>
      </c>
      <c r="L33" s="9" t="str">
        <f t="shared" si="1"/>
        <v>Soltero</v>
      </c>
      <c r="M33">
        <v>15</v>
      </c>
      <c r="N33">
        <v>2</v>
      </c>
      <c r="O33" s="9" t="str">
        <f t="shared" si="2"/>
        <v>Trabajador por su cuenta</v>
      </c>
      <c r="P33">
        <v>12</v>
      </c>
      <c r="Q33">
        <v>240</v>
      </c>
      <c r="R33">
        <v>1</v>
      </c>
      <c r="S33">
        <v>2</v>
      </c>
      <c r="T33" s="9" t="str">
        <f t="shared" si="3"/>
        <v>Nacional</v>
      </c>
      <c r="U33">
        <v>2</v>
      </c>
      <c r="V33">
        <v>1</v>
      </c>
      <c r="W33" s="9" t="str">
        <f t="shared" si="4"/>
        <v>Casa</v>
      </c>
      <c r="X33">
        <v>3</v>
      </c>
      <c r="Y33">
        <v>1</v>
      </c>
      <c r="Z33" s="9" t="str">
        <f t="shared" si="5"/>
        <v>Propietario de la vivienda y terreno</v>
      </c>
      <c r="AA33">
        <v>3</v>
      </c>
      <c r="AB33">
        <v>2</v>
      </c>
      <c r="AC33">
        <v>1</v>
      </c>
    </row>
    <row r="34" spans="1:29" x14ac:dyDescent="0.25">
      <c r="A34" s="1" t="s">
        <v>248</v>
      </c>
      <c r="G34">
        <v>33</v>
      </c>
      <c r="H34">
        <v>27</v>
      </c>
      <c r="I34">
        <v>2</v>
      </c>
      <c r="J34" s="9" t="str">
        <f t="shared" si="0"/>
        <v>Mujer</v>
      </c>
      <c r="K34">
        <v>3</v>
      </c>
      <c r="L34" s="9" t="str">
        <f t="shared" si="1"/>
        <v>Casado</v>
      </c>
      <c r="M34">
        <v>48</v>
      </c>
      <c r="N34">
        <v>3</v>
      </c>
      <c r="O34" s="9" t="str">
        <f t="shared" si="2"/>
        <v>Obrero o empleado</v>
      </c>
      <c r="P34">
        <v>5</v>
      </c>
      <c r="Q34">
        <v>770</v>
      </c>
      <c r="R34">
        <v>1</v>
      </c>
      <c r="S34">
        <v>2</v>
      </c>
      <c r="T34" s="9" t="str">
        <f t="shared" si="3"/>
        <v>Nacional</v>
      </c>
      <c r="U34">
        <v>2</v>
      </c>
      <c r="V34">
        <v>1</v>
      </c>
      <c r="W34" s="9" t="str">
        <f t="shared" si="4"/>
        <v>Casa</v>
      </c>
      <c r="X34">
        <v>3</v>
      </c>
      <c r="Y34">
        <v>5</v>
      </c>
      <c r="Z34" s="9" t="str">
        <f t="shared" si="5"/>
        <v>Ocupante gratuito</v>
      </c>
      <c r="AA34">
        <v>1</v>
      </c>
      <c r="AB34">
        <v>1</v>
      </c>
      <c r="AC34">
        <v>0</v>
      </c>
    </row>
    <row r="35" spans="1:29" x14ac:dyDescent="0.25">
      <c r="G35">
        <v>34</v>
      </c>
      <c r="H35">
        <v>52</v>
      </c>
      <c r="I35">
        <v>1</v>
      </c>
      <c r="J35" s="9" t="str">
        <f t="shared" si="0"/>
        <v>Varón</v>
      </c>
      <c r="K35">
        <v>1</v>
      </c>
      <c r="L35" s="9" t="str">
        <f t="shared" si="1"/>
        <v>Soltero</v>
      </c>
      <c r="M35">
        <v>40</v>
      </c>
      <c r="N35">
        <v>2</v>
      </c>
      <c r="O35" s="9" t="str">
        <f t="shared" si="2"/>
        <v>Trabajador por su cuenta</v>
      </c>
      <c r="P35">
        <v>30</v>
      </c>
      <c r="Q35">
        <v>890</v>
      </c>
      <c r="R35">
        <v>2</v>
      </c>
      <c r="S35">
        <v>0</v>
      </c>
      <c r="T35" s="9" t="str">
        <f t="shared" si="3"/>
        <v>No sabe leer ni escribir</v>
      </c>
      <c r="U35">
        <v>0</v>
      </c>
      <c r="V35">
        <v>1</v>
      </c>
      <c r="W35" s="9" t="str">
        <f t="shared" si="4"/>
        <v>Casa</v>
      </c>
      <c r="X35">
        <v>3</v>
      </c>
      <c r="Y35">
        <v>1</v>
      </c>
      <c r="Z35" s="9" t="str">
        <f t="shared" si="5"/>
        <v>Propietario de la vivienda y terreno</v>
      </c>
      <c r="AA35">
        <v>2</v>
      </c>
      <c r="AB35">
        <v>1</v>
      </c>
      <c r="AC35">
        <v>1</v>
      </c>
    </row>
    <row r="36" spans="1:29" x14ac:dyDescent="0.25">
      <c r="A36" s="60" t="s">
        <v>189</v>
      </c>
      <c r="B36" t="s">
        <v>328</v>
      </c>
      <c r="D36" s="55" t="s">
        <v>309</v>
      </c>
      <c r="G36">
        <v>35</v>
      </c>
      <c r="H36">
        <v>43</v>
      </c>
      <c r="I36">
        <v>1</v>
      </c>
      <c r="J36" s="9" t="str">
        <f t="shared" si="0"/>
        <v>Varón</v>
      </c>
      <c r="K36">
        <v>1</v>
      </c>
      <c r="L36" s="9" t="str">
        <f t="shared" si="1"/>
        <v>Soltero</v>
      </c>
      <c r="M36">
        <v>35</v>
      </c>
      <c r="N36">
        <v>3</v>
      </c>
      <c r="O36" s="9" t="str">
        <f t="shared" si="2"/>
        <v>Obrero o empleado</v>
      </c>
      <c r="P36">
        <v>1</v>
      </c>
      <c r="Q36">
        <v>350</v>
      </c>
      <c r="R36">
        <v>1</v>
      </c>
      <c r="S36">
        <v>4</v>
      </c>
      <c r="T36" s="9" t="str">
        <f t="shared" si="3"/>
        <v>Normal</v>
      </c>
      <c r="U36">
        <v>1</v>
      </c>
      <c r="V36">
        <v>2</v>
      </c>
      <c r="W36" s="9" t="str">
        <f t="shared" si="4"/>
        <v>Departamento</v>
      </c>
      <c r="X36">
        <v>4</v>
      </c>
      <c r="Y36">
        <v>1</v>
      </c>
      <c r="Z36" s="9" t="str">
        <f t="shared" si="5"/>
        <v>Propietario de la vivienda y terreno</v>
      </c>
      <c r="AA36">
        <v>5</v>
      </c>
      <c r="AB36">
        <v>2</v>
      </c>
      <c r="AC36">
        <v>3</v>
      </c>
    </row>
    <row r="37" spans="1:29" x14ac:dyDescent="0.25">
      <c r="A37" s="40" t="s">
        <v>322</v>
      </c>
      <c r="B37" s="41">
        <v>65</v>
      </c>
      <c r="D37" s="61">
        <f>GETPIVOTDATA("Vivien_Cat",$A$36,"Vivien_Cat","Casa")/GETPIVOTDATA("Vivien_Cat",$A$36)</f>
        <v>0.65</v>
      </c>
      <c r="G37">
        <v>36</v>
      </c>
      <c r="H37">
        <v>24</v>
      </c>
      <c r="I37">
        <v>1</v>
      </c>
      <c r="J37" s="9" t="str">
        <f t="shared" si="0"/>
        <v>Varón</v>
      </c>
      <c r="K37">
        <v>2</v>
      </c>
      <c r="L37" s="9" t="str">
        <f t="shared" si="1"/>
        <v>Unido</v>
      </c>
      <c r="M37">
        <v>40</v>
      </c>
      <c r="N37">
        <v>3</v>
      </c>
      <c r="O37" s="9" t="str">
        <f t="shared" si="2"/>
        <v>Obrero o empleado</v>
      </c>
      <c r="P37">
        <v>1</v>
      </c>
      <c r="Q37">
        <v>380</v>
      </c>
      <c r="R37">
        <v>1</v>
      </c>
      <c r="S37">
        <v>1</v>
      </c>
      <c r="T37" s="9" t="str">
        <f t="shared" si="3"/>
        <v>Primario</v>
      </c>
      <c r="U37">
        <v>1</v>
      </c>
      <c r="V37">
        <v>1</v>
      </c>
      <c r="W37" s="9" t="str">
        <f t="shared" si="4"/>
        <v>Casa</v>
      </c>
      <c r="X37">
        <v>1</v>
      </c>
      <c r="Y37">
        <v>1</v>
      </c>
      <c r="Z37" s="9" t="str">
        <f t="shared" si="5"/>
        <v>Propietario de la vivienda y terreno</v>
      </c>
      <c r="AA37">
        <v>4</v>
      </c>
      <c r="AB37">
        <v>2</v>
      </c>
      <c r="AC37">
        <v>2</v>
      </c>
    </row>
    <row r="38" spans="1:29" x14ac:dyDescent="0.25">
      <c r="A38" s="40" t="s">
        <v>323</v>
      </c>
      <c r="B38" s="41">
        <v>2</v>
      </c>
      <c r="D38" s="61">
        <f>GETPIVOTDATA("Vivien_Cat",$A$36,"Vivien_Cat","Construcción no destinada a fines habitacionales")/GETPIVOTDATA("Vivien_Cat",$A$36)</f>
        <v>0.02</v>
      </c>
      <c r="G38">
        <v>37</v>
      </c>
      <c r="H38">
        <v>20</v>
      </c>
      <c r="I38">
        <v>2</v>
      </c>
      <c r="J38" s="9" t="str">
        <f t="shared" si="0"/>
        <v>Mujer</v>
      </c>
      <c r="K38">
        <v>1</v>
      </c>
      <c r="L38" s="9" t="str">
        <f t="shared" si="1"/>
        <v>Soltero</v>
      </c>
      <c r="M38">
        <v>36</v>
      </c>
      <c r="N38">
        <v>3</v>
      </c>
      <c r="O38" s="9" t="str">
        <f t="shared" si="2"/>
        <v>Obrero o empleado</v>
      </c>
      <c r="P38">
        <v>3</v>
      </c>
      <c r="Q38">
        <v>400</v>
      </c>
      <c r="R38">
        <v>1</v>
      </c>
      <c r="S38">
        <v>2</v>
      </c>
      <c r="T38" s="9" t="str">
        <f t="shared" si="3"/>
        <v>Nacional</v>
      </c>
      <c r="U38">
        <v>1</v>
      </c>
      <c r="V38">
        <v>1</v>
      </c>
      <c r="W38" s="9" t="str">
        <f t="shared" si="4"/>
        <v>Casa</v>
      </c>
      <c r="X38">
        <v>2</v>
      </c>
      <c r="Y38">
        <v>1</v>
      </c>
      <c r="Z38" s="9" t="str">
        <f t="shared" si="5"/>
        <v>Propietario de la vivienda y terreno</v>
      </c>
      <c r="AA38">
        <v>4</v>
      </c>
      <c r="AB38">
        <v>1</v>
      </c>
      <c r="AC38">
        <v>3</v>
      </c>
    </row>
    <row r="39" spans="1:29" x14ac:dyDescent="0.25">
      <c r="A39" s="40" t="s">
        <v>324</v>
      </c>
      <c r="B39" s="41">
        <v>22</v>
      </c>
      <c r="D39" s="61">
        <f>GETPIVOTDATA("Vivien_Cat",$A$36,"Vivien_Cat","Departamento")/GETPIVOTDATA("Vivien_Cat",$A$36)</f>
        <v>0.22</v>
      </c>
      <c r="G39">
        <v>38</v>
      </c>
      <c r="H39">
        <v>29</v>
      </c>
      <c r="I39">
        <v>1</v>
      </c>
      <c r="J39" s="9" t="str">
        <f t="shared" si="0"/>
        <v>Varón</v>
      </c>
      <c r="K39">
        <v>1</v>
      </c>
      <c r="L39" s="9" t="str">
        <f t="shared" si="1"/>
        <v>Soltero</v>
      </c>
      <c r="M39">
        <v>48</v>
      </c>
      <c r="N39">
        <v>3</v>
      </c>
      <c r="O39" s="9" t="str">
        <f t="shared" si="2"/>
        <v>Obrero o empleado</v>
      </c>
      <c r="P39">
        <v>6</v>
      </c>
      <c r="Q39">
        <v>1200</v>
      </c>
      <c r="R39">
        <v>1</v>
      </c>
      <c r="S39">
        <v>3</v>
      </c>
      <c r="T39" s="9" t="str">
        <f t="shared" si="3"/>
        <v>Comercial</v>
      </c>
      <c r="U39">
        <v>2</v>
      </c>
      <c r="V39">
        <v>2</v>
      </c>
      <c r="W39" s="9" t="str">
        <f t="shared" si="4"/>
        <v>Departamento</v>
      </c>
      <c r="X39">
        <v>2</v>
      </c>
      <c r="Y39">
        <v>3</v>
      </c>
      <c r="Z39" s="9" t="str">
        <f t="shared" si="5"/>
        <v>Inquilino o arrendatario de la vivienda</v>
      </c>
      <c r="AA39">
        <v>2</v>
      </c>
      <c r="AB39">
        <v>2</v>
      </c>
      <c r="AC39">
        <v>0</v>
      </c>
    </row>
    <row r="40" spans="1:29" x14ac:dyDescent="0.25">
      <c r="A40" s="40" t="s">
        <v>325</v>
      </c>
      <c r="B40" s="41">
        <v>3</v>
      </c>
      <c r="D40" s="61">
        <f>GETPIVOTDATA("Vivien_Cat",$A$36,"Vivien_Cat","Inquilinato")/GETPIVOTDATA("Vivien_Cat",$A$36)</f>
        <v>0.03</v>
      </c>
      <c r="G40">
        <v>39</v>
      </c>
      <c r="H40">
        <v>21</v>
      </c>
      <c r="I40">
        <v>2</v>
      </c>
      <c r="J40" s="9" t="str">
        <f t="shared" si="0"/>
        <v>Mujer</v>
      </c>
      <c r="K40">
        <v>1</v>
      </c>
      <c r="L40" s="9" t="str">
        <f t="shared" si="1"/>
        <v>Soltero</v>
      </c>
      <c r="M40">
        <v>30</v>
      </c>
      <c r="N40">
        <v>3</v>
      </c>
      <c r="O40" s="9" t="str">
        <f t="shared" si="2"/>
        <v>Obrero o empleado</v>
      </c>
      <c r="P40">
        <v>2</v>
      </c>
      <c r="Q40">
        <v>340</v>
      </c>
      <c r="R40">
        <v>2</v>
      </c>
      <c r="S40">
        <v>0</v>
      </c>
      <c r="T40" s="9" t="str">
        <f t="shared" si="3"/>
        <v>No sabe leer ni escribir</v>
      </c>
      <c r="U40">
        <v>0</v>
      </c>
      <c r="V40">
        <v>1</v>
      </c>
      <c r="W40" s="9" t="str">
        <f t="shared" si="4"/>
        <v>Casa</v>
      </c>
      <c r="X40">
        <v>9</v>
      </c>
      <c r="Y40">
        <v>1</v>
      </c>
      <c r="Z40" s="9" t="str">
        <f t="shared" si="5"/>
        <v>Propietario de la vivienda y terreno</v>
      </c>
      <c r="AA40">
        <v>1</v>
      </c>
      <c r="AB40">
        <v>1</v>
      </c>
      <c r="AC40">
        <v>0</v>
      </c>
    </row>
    <row r="41" spans="1:29" x14ac:dyDescent="0.25">
      <c r="A41" s="40" t="s">
        <v>326</v>
      </c>
      <c r="B41" s="41">
        <v>5</v>
      </c>
      <c r="D41" s="61">
        <f>GETPIVOTDATA("Vivien_Cat",$A$36,"Vivien_Cat","Vivienda en lugar de trabajo")/GETPIVOTDATA("Vivien_Cat",$A$36)</f>
        <v>0.05</v>
      </c>
      <c r="G41">
        <v>40</v>
      </c>
      <c r="H41">
        <v>64</v>
      </c>
      <c r="I41">
        <v>1</v>
      </c>
      <c r="J41" s="9" t="str">
        <f t="shared" si="0"/>
        <v>Varón</v>
      </c>
      <c r="K41">
        <v>3</v>
      </c>
      <c r="L41" s="9" t="str">
        <f t="shared" si="1"/>
        <v>Casado</v>
      </c>
      <c r="M41">
        <v>42</v>
      </c>
      <c r="N41">
        <v>1</v>
      </c>
      <c r="O41" s="9" t="str">
        <f t="shared" si="2"/>
        <v>Patrón o empleado</v>
      </c>
      <c r="P41">
        <v>36</v>
      </c>
      <c r="Q41">
        <v>2200</v>
      </c>
      <c r="R41">
        <v>1</v>
      </c>
      <c r="S41">
        <v>1</v>
      </c>
      <c r="T41" s="9" t="str">
        <f t="shared" si="3"/>
        <v>Primario</v>
      </c>
      <c r="U41">
        <v>2</v>
      </c>
      <c r="V41">
        <v>1</v>
      </c>
      <c r="W41" s="9" t="str">
        <f t="shared" si="4"/>
        <v>Casa</v>
      </c>
      <c r="X41">
        <v>2</v>
      </c>
      <c r="Y41">
        <v>3</v>
      </c>
      <c r="Z41" s="9" t="str">
        <f t="shared" si="5"/>
        <v>Inquilino o arrendatario de la vivienda</v>
      </c>
      <c r="AA41">
        <v>5</v>
      </c>
      <c r="AB41">
        <v>3</v>
      </c>
      <c r="AC41">
        <v>2</v>
      </c>
    </row>
    <row r="42" spans="1:29" x14ac:dyDescent="0.25">
      <c r="A42" s="40" t="s">
        <v>327</v>
      </c>
      <c r="B42" s="41">
        <v>3</v>
      </c>
      <c r="D42" s="61">
        <f>GETPIVOTDATA("Vivien_Cat",$A$36,"Vivien_Cat","Vivienda en villa")/GETPIVOTDATA("Vivien_Cat",$A$36)</f>
        <v>0.03</v>
      </c>
      <c r="G42">
        <v>41</v>
      </c>
      <c r="H42">
        <v>55</v>
      </c>
      <c r="I42">
        <v>2</v>
      </c>
      <c r="J42" s="9" t="str">
        <f t="shared" si="0"/>
        <v>Mujer</v>
      </c>
      <c r="K42">
        <v>3</v>
      </c>
      <c r="L42" s="9" t="str">
        <f t="shared" si="1"/>
        <v>Casado</v>
      </c>
      <c r="M42">
        <v>40</v>
      </c>
      <c r="N42">
        <v>4</v>
      </c>
      <c r="O42" s="9" t="str">
        <f t="shared" si="2"/>
        <v>Trabajador sin salario</v>
      </c>
      <c r="P42">
        <v>28</v>
      </c>
      <c r="Q42">
        <v>2000</v>
      </c>
      <c r="R42">
        <v>1</v>
      </c>
      <c r="S42">
        <v>5</v>
      </c>
      <c r="T42" s="9" t="str">
        <f t="shared" si="3"/>
        <v>Técnica</v>
      </c>
      <c r="U42">
        <v>2</v>
      </c>
      <c r="V42">
        <v>2</v>
      </c>
      <c r="W42" s="9" t="str">
        <f t="shared" si="4"/>
        <v>Departamento</v>
      </c>
      <c r="X42">
        <v>2</v>
      </c>
      <c r="Y42">
        <v>3</v>
      </c>
      <c r="Z42" s="9" t="str">
        <f t="shared" si="5"/>
        <v>Inquilino o arrendatario de la vivienda</v>
      </c>
      <c r="AA42">
        <v>1</v>
      </c>
      <c r="AB42">
        <v>1</v>
      </c>
      <c r="AC42">
        <v>0</v>
      </c>
    </row>
    <row r="43" spans="1:29" x14ac:dyDescent="0.25">
      <c r="A43" s="40" t="s">
        <v>190</v>
      </c>
      <c r="B43" s="41">
        <v>100</v>
      </c>
      <c r="G43">
        <v>42</v>
      </c>
      <c r="H43">
        <v>42</v>
      </c>
      <c r="I43">
        <v>2</v>
      </c>
      <c r="J43" s="9" t="str">
        <f t="shared" si="0"/>
        <v>Mujer</v>
      </c>
      <c r="K43">
        <v>4</v>
      </c>
      <c r="L43" s="9" t="str">
        <f t="shared" si="1"/>
        <v>Separado/Divorciado</v>
      </c>
      <c r="M43">
        <v>18</v>
      </c>
      <c r="N43">
        <v>3</v>
      </c>
      <c r="O43" s="9" t="str">
        <f t="shared" si="2"/>
        <v>Obrero o empleado</v>
      </c>
      <c r="P43">
        <v>12</v>
      </c>
      <c r="Q43">
        <v>320</v>
      </c>
      <c r="R43">
        <v>1</v>
      </c>
      <c r="S43">
        <v>5</v>
      </c>
      <c r="T43" s="9" t="str">
        <f t="shared" si="3"/>
        <v>Técnica</v>
      </c>
      <c r="U43">
        <v>1</v>
      </c>
      <c r="V43">
        <v>4</v>
      </c>
      <c r="W43" s="9" t="str">
        <f t="shared" si="4"/>
        <v>Inquilinato</v>
      </c>
      <c r="X43">
        <v>5</v>
      </c>
      <c r="Y43">
        <v>1</v>
      </c>
      <c r="Z43" s="9" t="str">
        <f t="shared" si="5"/>
        <v>Propietario de la vivienda y terreno</v>
      </c>
      <c r="AA43">
        <v>4</v>
      </c>
      <c r="AB43">
        <v>1</v>
      </c>
      <c r="AC43">
        <v>3</v>
      </c>
    </row>
    <row r="44" spans="1:29" x14ac:dyDescent="0.25">
      <c r="G44">
        <v>43</v>
      </c>
      <c r="H44">
        <v>35</v>
      </c>
      <c r="I44">
        <v>2</v>
      </c>
      <c r="J44" s="9" t="str">
        <f t="shared" si="0"/>
        <v>Mujer</v>
      </c>
      <c r="K44">
        <v>1</v>
      </c>
      <c r="L44" s="9" t="str">
        <f t="shared" si="1"/>
        <v>Soltero</v>
      </c>
      <c r="M44">
        <v>20</v>
      </c>
      <c r="N44">
        <v>3</v>
      </c>
      <c r="O44" s="9" t="str">
        <f t="shared" si="2"/>
        <v>Obrero o empleado</v>
      </c>
      <c r="P44">
        <v>10</v>
      </c>
      <c r="Q44">
        <v>430</v>
      </c>
      <c r="R44">
        <v>1</v>
      </c>
      <c r="S44">
        <v>6</v>
      </c>
      <c r="T44" s="9" t="str">
        <f t="shared" si="3"/>
        <v>Otra enseñanza media</v>
      </c>
      <c r="U44">
        <v>1</v>
      </c>
      <c r="V44">
        <v>1</v>
      </c>
      <c r="W44" s="9" t="str">
        <f t="shared" si="4"/>
        <v>Casa</v>
      </c>
      <c r="X44">
        <v>2</v>
      </c>
      <c r="Y44">
        <v>3</v>
      </c>
      <c r="Z44" s="9" t="str">
        <f t="shared" si="5"/>
        <v>Inquilino o arrendatario de la vivienda</v>
      </c>
      <c r="AA44">
        <v>5</v>
      </c>
      <c r="AB44">
        <v>3</v>
      </c>
      <c r="AC44">
        <v>2</v>
      </c>
    </row>
    <row r="45" spans="1:29" x14ac:dyDescent="0.25">
      <c r="A45" s="1" t="s">
        <v>253</v>
      </c>
      <c r="G45">
        <v>44</v>
      </c>
      <c r="H45">
        <v>30</v>
      </c>
      <c r="I45">
        <v>1</v>
      </c>
      <c r="J45" s="9" t="str">
        <f t="shared" si="0"/>
        <v>Varón</v>
      </c>
      <c r="K45">
        <v>1</v>
      </c>
      <c r="L45" s="9" t="str">
        <f t="shared" si="1"/>
        <v>Soltero</v>
      </c>
      <c r="M45">
        <v>25</v>
      </c>
      <c r="N45">
        <v>3</v>
      </c>
      <c r="O45" s="9" t="str">
        <f t="shared" si="2"/>
        <v>Obrero o empleado</v>
      </c>
      <c r="P45">
        <v>8</v>
      </c>
      <c r="Q45">
        <v>560</v>
      </c>
      <c r="R45">
        <v>1</v>
      </c>
      <c r="S45">
        <v>4</v>
      </c>
      <c r="T45" s="9" t="str">
        <f t="shared" si="3"/>
        <v>Normal</v>
      </c>
      <c r="U45">
        <v>1</v>
      </c>
      <c r="V45">
        <v>1</v>
      </c>
      <c r="W45" s="9" t="str">
        <f t="shared" si="4"/>
        <v>Casa</v>
      </c>
      <c r="X45">
        <v>3</v>
      </c>
      <c r="Y45">
        <v>1</v>
      </c>
      <c r="Z45" s="9" t="str">
        <f t="shared" si="5"/>
        <v>Propietario de la vivienda y terreno</v>
      </c>
      <c r="AA45">
        <v>6</v>
      </c>
      <c r="AB45">
        <v>3</v>
      </c>
      <c r="AC45">
        <v>3</v>
      </c>
    </row>
    <row r="46" spans="1:29" x14ac:dyDescent="0.25">
      <c r="G46">
        <v>45</v>
      </c>
      <c r="H46">
        <v>39</v>
      </c>
      <c r="I46">
        <v>2</v>
      </c>
      <c r="J46" s="9" t="str">
        <f t="shared" si="0"/>
        <v>Mujer</v>
      </c>
      <c r="K46">
        <v>3</v>
      </c>
      <c r="L46" s="9" t="str">
        <f t="shared" si="1"/>
        <v>Casado</v>
      </c>
      <c r="M46">
        <v>20</v>
      </c>
      <c r="N46">
        <v>3</v>
      </c>
      <c r="O46" s="9" t="str">
        <f t="shared" si="2"/>
        <v>Obrero o empleado</v>
      </c>
      <c r="P46">
        <v>4</v>
      </c>
      <c r="Q46">
        <v>360</v>
      </c>
      <c r="R46">
        <v>1</v>
      </c>
      <c r="S46">
        <v>2</v>
      </c>
      <c r="T46" s="9" t="str">
        <f t="shared" si="3"/>
        <v>Nacional</v>
      </c>
      <c r="U46">
        <v>1</v>
      </c>
      <c r="V46">
        <v>2</v>
      </c>
      <c r="W46" s="9" t="str">
        <f t="shared" si="4"/>
        <v>Departamento</v>
      </c>
      <c r="X46">
        <v>2</v>
      </c>
      <c r="Y46">
        <v>3</v>
      </c>
      <c r="Z46" s="9" t="str">
        <f t="shared" si="5"/>
        <v>Inquilino o arrendatario de la vivienda</v>
      </c>
      <c r="AA46">
        <v>1</v>
      </c>
      <c r="AB46">
        <v>1</v>
      </c>
      <c r="AC46">
        <v>0</v>
      </c>
    </row>
    <row r="47" spans="1:29" x14ac:dyDescent="0.25">
      <c r="A47" s="60" t="s">
        <v>189</v>
      </c>
      <c r="B47" t="s">
        <v>335</v>
      </c>
      <c r="D47" s="55" t="s">
        <v>309</v>
      </c>
      <c r="G47">
        <v>46</v>
      </c>
      <c r="H47">
        <v>38</v>
      </c>
      <c r="I47">
        <v>2</v>
      </c>
      <c r="J47" s="9" t="str">
        <f t="shared" si="0"/>
        <v>Mujer</v>
      </c>
      <c r="K47">
        <v>4</v>
      </c>
      <c r="L47" s="9" t="str">
        <f t="shared" si="1"/>
        <v>Separado/Divorciado</v>
      </c>
      <c r="M47">
        <v>30</v>
      </c>
      <c r="N47">
        <v>3</v>
      </c>
      <c r="O47" s="9" t="str">
        <f t="shared" si="2"/>
        <v>Obrero o empleado</v>
      </c>
      <c r="P47">
        <v>5</v>
      </c>
      <c r="Q47">
        <v>250</v>
      </c>
      <c r="R47">
        <v>1</v>
      </c>
      <c r="S47">
        <v>3</v>
      </c>
      <c r="T47" s="9" t="str">
        <f t="shared" si="3"/>
        <v>Comercial</v>
      </c>
      <c r="U47">
        <v>2</v>
      </c>
      <c r="V47">
        <v>1</v>
      </c>
      <c r="W47" s="9" t="str">
        <f t="shared" si="4"/>
        <v>Casa</v>
      </c>
      <c r="X47">
        <v>3</v>
      </c>
      <c r="Y47">
        <v>1</v>
      </c>
      <c r="Z47" s="9" t="str">
        <f t="shared" si="5"/>
        <v>Propietario de la vivienda y terreno</v>
      </c>
      <c r="AA47">
        <v>3</v>
      </c>
      <c r="AB47">
        <v>1</v>
      </c>
      <c r="AC47">
        <v>2</v>
      </c>
    </row>
    <row r="48" spans="1:29" x14ac:dyDescent="0.25">
      <c r="A48" s="40" t="s">
        <v>330</v>
      </c>
      <c r="B48" s="41">
        <v>30</v>
      </c>
      <c r="D48" s="61">
        <f>GETPIVOTDATA("Esust_Cat",$A$47,"Esust_Cat","Inquilino o arrendatario de la vivienda")/GETPIVOTDATA("Esust_Cat",$A$47)</f>
        <v>0.3</v>
      </c>
      <c r="G48">
        <v>47</v>
      </c>
      <c r="H48">
        <v>32</v>
      </c>
      <c r="I48">
        <v>1</v>
      </c>
      <c r="J48" s="9" t="str">
        <f t="shared" si="0"/>
        <v>Varón</v>
      </c>
      <c r="K48">
        <v>1</v>
      </c>
      <c r="L48" s="9" t="str">
        <f t="shared" si="1"/>
        <v>Soltero</v>
      </c>
      <c r="M48">
        <v>50</v>
      </c>
      <c r="N48">
        <v>1</v>
      </c>
      <c r="O48" s="9" t="str">
        <f t="shared" si="2"/>
        <v>Patrón o empleado</v>
      </c>
      <c r="P48">
        <v>7</v>
      </c>
      <c r="Q48">
        <v>2100</v>
      </c>
      <c r="R48">
        <v>1</v>
      </c>
      <c r="S48">
        <v>1</v>
      </c>
      <c r="T48" s="9" t="str">
        <f t="shared" si="3"/>
        <v>Primario</v>
      </c>
      <c r="U48">
        <v>2</v>
      </c>
      <c r="V48">
        <v>1</v>
      </c>
      <c r="W48" s="9" t="str">
        <f t="shared" si="4"/>
        <v>Casa</v>
      </c>
      <c r="X48">
        <v>1</v>
      </c>
      <c r="Y48">
        <v>3</v>
      </c>
      <c r="Z48" s="9" t="str">
        <f t="shared" si="5"/>
        <v>Inquilino o arrendatario de la vivienda</v>
      </c>
      <c r="AA48">
        <v>3</v>
      </c>
      <c r="AB48">
        <v>1</v>
      </c>
      <c r="AC48">
        <v>2</v>
      </c>
    </row>
    <row r="49" spans="1:29" x14ac:dyDescent="0.25">
      <c r="A49" s="40" t="s">
        <v>331</v>
      </c>
      <c r="B49" s="41">
        <v>1</v>
      </c>
      <c r="D49" s="61">
        <f>GETPIVOTDATA("Esust_Cat",$A$47,"Esust_Cat","Ocupante con relación de dependencia")/GETPIVOTDATA("Esust_Cat",$A$47)</f>
        <v>0.01</v>
      </c>
      <c r="G49">
        <v>48</v>
      </c>
      <c r="H49">
        <v>19</v>
      </c>
      <c r="I49">
        <v>1</v>
      </c>
      <c r="J49" s="9" t="str">
        <f t="shared" si="0"/>
        <v>Varón</v>
      </c>
      <c r="K49">
        <v>1</v>
      </c>
      <c r="L49" s="9" t="str">
        <f t="shared" si="1"/>
        <v>Soltero</v>
      </c>
      <c r="M49">
        <v>18</v>
      </c>
      <c r="N49">
        <v>2</v>
      </c>
      <c r="O49" s="9" t="str">
        <f t="shared" si="2"/>
        <v>Trabajador por su cuenta</v>
      </c>
      <c r="P49">
        <v>1</v>
      </c>
      <c r="Q49">
        <v>240</v>
      </c>
      <c r="R49">
        <v>1</v>
      </c>
      <c r="S49">
        <v>8</v>
      </c>
      <c r="T49" s="9" t="str">
        <f t="shared" si="3"/>
        <v>Universitaria</v>
      </c>
      <c r="U49">
        <v>2</v>
      </c>
      <c r="V49">
        <v>1</v>
      </c>
      <c r="W49" s="9" t="str">
        <f t="shared" si="4"/>
        <v>Casa</v>
      </c>
      <c r="X49">
        <v>4</v>
      </c>
      <c r="Y49">
        <v>1</v>
      </c>
      <c r="Z49" s="9" t="str">
        <f t="shared" si="5"/>
        <v>Propietario de la vivienda y terreno</v>
      </c>
      <c r="AA49">
        <v>3</v>
      </c>
      <c r="AB49">
        <v>2</v>
      </c>
      <c r="AC49">
        <v>1</v>
      </c>
    </row>
    <row r="50" spans="1:29" x14ac:dyDescent="0.25">
      <c r="A50" s="40" t="s">
        <v>332</v>
      </c>
      <c r="B50" s="41">
        <v>8</v>
      </c>
      <c r="D50" s="61">
        <f>GETPIVOTDATA("Esust_Cat",$A$47,"Esust_Cat","Ocupante gratuito")/GETPIVOTDATA("Esust_Cat",$A$47)</f>
        <v>0.08</v>
      </c>
      <c r="G50">
        <v>49</v>
      </c>
      <c r="H50">
        <v>46</v>
      </c>
      <c r="I50">
        <v>1</v>
      </c>
      <c r="J50" s="9" t="str">
        <f t="shared" si="0"/>
        <v>Varón</v>
      </c>
      <c r="K50">
        <v>3</v>
      </c>
      <c r="L50" s="9" t="str">
        <f t="shared" si="1"/>
        <v>Casado</v>
      </c>
      <c r="M50">
        <v>55</v>
      </c>
      <c r="N50">
        <v>1</v>
      </c>
      <c r="O50" s="9" t="str">
        <f t="shared" si="2"/>
        <v>Patrón o empleado</v>
      </c>
      <c r="P50">
        <v>6</v>
      </c>
      <c r="Q50">
        <v>1500</v>
      </c>
      <c r="R50">
        <v>1</v>
      </c>
      <c r="S50">
        <v>8</v>
      </c>
      <c r="T50" s="9" t="str">
        <f t="shared" si="3"/>
        <v>Universitaria</v>
      </c>
      <c r="U50">
        <v>2</v>
      </c>
      <c r="V50">
        <v>1</v>
      </c>
      <c r="W50" s="9" t="str">
        <f t="shared" si="4"/>
        <v>Casa</v>
      </c>
      <c r="X50">
        <v>3</v>
      </c>
      <c r="Y50">
        <v>1</v>
      </c>
      <c r="Z50" s="9" t="str">
        <f t="shared" si="5"/>
        <v>Propietario de la vivienda y terreno</v>
      </c>
      <c r="AA50">
        <v>2</v>
      </c>
      <c r="AB50">
        <v>1</v>
      </c>
      <c r="AC50">
        <v>1</v>
      </c>
    </row>
    <row r="51" spans="1:29" x14ac:dyDescent="0.25">
      <c r="A51" s="40" t="s">
        <v>333</v>
      </c>
      <c r="B51" s="41">
        <v>3</v>
      </c>
      <c r="D51" s="61">
        <f>GETPIVOTDATA("Esust_Cat",$A$47,"Esust_Cat","Propietario de la vivienda solamente")/GETPIVOTDATA("Esust_Cat",$A$47)</f>
        <v>0.03</v>
      </c>
      <c r="G51">
        <v>50</v>
      </c>
      <c r="H51">
        <v>26</v>
      </c>
      <c r="I51">
        <v>1</v>
      </c>
      <c r="J51" s="9" t="str">
        <f t="shared" si="0"/>
        <v>Varón</v>
      </c>
      <c r="K51">
        <v>1</v>
      </c>
      <c r="L51" s="9" t="str">
        <f t="shared" si="1"/>
        <v>Soltero</v>
      </c>
      <c r="M51">
        <v>28</v>
      </c>
      <c r="N51">
        <v>3</v>
      </c>
      <c r="O51" s="9" t="str">
        <f t="shared" si="2"/>
        <v>Obrero o empleado</v>
      </c>
      <c r="P51">
        <v>2</v>
      </c>
      <c r="Q51">
        <v>590</v>
      </c>
      <c r="R51">
        <v>1</v>
      </c>
      <c r="S51">
        <v>8</v>
      </c>
      <c r="T51" s="9" t="str">
        <f t="shared" si="3"/>
        <v>Universitaria</v>
      </c>
      <c r="U51">
        <v>1</v>
      </c>
      <c r="V51">
        <v>2</v>
      </c>
      <c r="W51" s="9" t="str">
        <f t="shared" si="4"/>
        <v>Departamento</v>
      </c>
      <c r="X51">
        <v>3</v>
      </c>
      <c r="Y51">
        <v>3</v>
      </c>
      <c r="Z51" s="9" t="str">
        <f t="shared" si="5"/>
        <v>Inquilino o arrendatario de la vivienda</v>
      </c>
      <c r="AA51">
        <v>5</v>
      </c>
      <c r="AB51">
        <v>1</v>
      </c>
      <c r="AC51">
        <v>4</v>
      </c>
    </row>
    <row r="52" spans="1:29" x14ac:dyDescent="0.25">
      <c r="A52" s="40" t="s">
        <v>334</v>
      </c>
      <c r="B52" s="41">
        <v>58</v>
      </c>
      <c r="D52" s="61">
        <f>GETPIVOTDATA("Esust_Cat",$A$47,"Esust_Cat","Propietario de la vivienda y terreno")/GETPIVOTDATA("Esust_Cat",$A$47)</f>
        <v>0.57999999999999996</v>
      </c>
      <c r="G52">
        <v>51</v>
      </c>
      <c r="H52">
        <v>40</v>
      </c>
      <c r="I52">
        <v>1</v>
      </c>
      <c r="J52" s="9" t="str">
        <f t="shared" si="0"/>
        <v>Varón</v>
      </c>
      <c r="K52">
        <v>3</v>
      </c>
      <c r="L52" s="9" t="str">
        <f t="shared" si="1"/>
        <v>Casado</v>
      </c>
      <c r="M52">
        <v>35</v>
      </c>
      <c r="N52">
        <v>3</v>
      </c>
      <c r="O52" s="9" t="str">
        <f t="shared" si="2"/>
        <v>Obrero o empleado</v>
      </c>
      <c r="P52">
        <v>14</v>
      </c>
      <c r="Q52">
        <v>870</v>
      </c>
      <c r="R52">
        <v>1</v>
      </c>
      <c r="S52">
        <v>2</v>
      </c>
      <c r="T52" s="9" t="str">
        <f t="shared" si="3"/>
        <v>Nacional</v>
      </c>
      <c r="U52">
        <v>2</v>
      </c>
      <c r="V52">
        <v>1</v>
      </c>
      <c r="W52" s="9" t="str">
        <f t="shared" si="4"/>
        <v>Casa</v>
      </c>
      <c r="X52">
        <v>2</v>
      </c>
      <c r="Y52">
        <v>3</v>
      </c>
      <c r="Z52" s="9" t="str">
        <f t="shared" si="5"/>
        <v>Inquilino o arrendatario de la vivienda</v>
      </c>
      <c r="AA52">
        <v>2</v>
      </c>
      <c r="AB52">
        <v>2</v>
      </c>
      <c r="AC52">
        <v>0</v>
      </c>
    </row>
    <row r="53" spans="1:29" x14ac:dyDescent="0.25">
      <c r="A53" s="40" t="s">
        <v>190</v>
      </c>
      <c r="B53" s="41">
        <v>100</v>
      </c>
      <c r="G53">
        <v>52</v>
      </c>
      <c r="H53">
        <v>25</v>
      </c>
      <c r="I53">
        <v>2</v>
      </c>
      <c r="J53" s="9" t="str">
        <f t="shared" si="0"/>
        <v>Mujer</v>
      </c>
      <c r="K53">
        <v>1</v>
      </c>
      <c r="L53" s="9" t="str">
        <f t="shared" si="1"/>
        <v>Soltero</v>
      </c>
      <c r="M53">
        <v>35</v>
      </c>
      <c r="N53">
        <v>2</v>
      </c>
      <c r="O53" s="9" t="str">
        <f t="shared" si="2"/>
        <v>Trabajador por su cuenta</v>
      </c>
      <c r="P53">
        <v>12</v>
      </c>
      <c r="Q53">
        <v>650</v>
      </c>
      <c r="R53">
        <v>1</v>
      </c>
      <c r="S53">
        <v>3</v>
      </c>
      <c r="T53" s="9" t="str">
        <f t="shared" si="3"/>
        <v>Comercial</v>
      </c>
      <c r="U53">
        <v>2</v>
      </c>
      <c r="V53">
        <v>2</v>
      </c>
      <c r="W53" s="9" t="str">
        <f t="shared" si="4"/>
        <v>Departamento</v>
      </c>
      <c r="X53">
        <v>1</v>
      </c>
      <c r="Y53">
        <v>1</v>
      </c>
      <c r="Z53" s="9" t="str">
        <f t="shared" si="5"/>
        <v>Propietario de la vivienda y terreno</v>
      </c>
      <c r="AA53">
        <v>1</v>
      </c>
      <c r="AB53">
        <v>1</v>
      </c>
      <c r="AC53">
        <v>0</v>
      </c>
    </row>
    <row r="54" spans="1:29" x14ac:dyDescent="0.25">
      <c r="G54">
        <v>53</v>
      </c>
      <c r="H54">
        <v>55</v>
      </c>
      <c r="I54">
        <v>2</v>
      </c>
      <c r="J54" s="9" t="str">
        <f t="shared" si="0"/>
        <v>Mujer</v>
      </c>
      <c r="K54">
        <v>3</v>
      </c>
      <c r="L54" s="9" t="str">
        <f t="shared" si="1"/>
        <v>Casado</v>
      </c>
      <c r="M54">
        <v>10</v>
      </c>
      <c r="N54">
        <v>3</v>
      </c>
      <c r="O54" s="9" t="str">
        <f t="shared" si="2"/>
        <v>Obrero o empleado</v>
      </c>
      <c r="P54">
        <v>30</v>
      </c>
      <c r="Q54">
        <v>500</v>
      </c>
      <c r="R54">
        <v>2</v>
      </c>
      <c r="S54">
        <v>0</v>
      </c>
      <c r="T54" s="9" t="str">
        <f t="shared" si="3"/>
        <v>No sabe leer ni escribir</v>
      </c>
      <c r="U54">
        <v>0</v>
      </c>
      <c r="V54">
        <v>7</v>
      </c>
      <c r="W54" s="9" t="str">
        <f t="shared" si="4"/>
        <v>Vivienda en villa</v>
      </c>
      <c r="X54">
        <v>4</v>
      </c>
      <c r="Y54">
        <v>2</v>
      </c>
      <c r="Z54" s="9" t="str">
        <f t="shared" si="5"/>
        <v>Propietario de la vivienda solamente</v>
      </c>
      <c r="AA54">
        <v>5</v>
      </c>
      <c r="AB54">
        <v>3</v>
      </c>
      <c r="AC54">
        <v>2</v>
      </c>
    </row>
    <row r="55" spans="1:29" x14ac:dyDescent="0.25">
      <c r="G55">
        <v>54</v>
      </c>
      <c r="H55">
        <v>37</v>
      </c>
      <c r="I55">
        <v>1</v>
      </c>
      <c r="J55" s="9" t="str">
        <f t="shared" si="0"/>
        <v>Varón</v>
      </c>
      <c r="K55">
        <v>1</v>
      </c>
      <c r="L55" s="9" t="str">
        <f t="shared" si="1"/>
        <v>Soltero</v>
      </c>
      <c r="M55">
        <v>35</v>
      </c>
      <c r="N55">
        <v>3</v>
      </c>
      <c r="O55" s="9" t="str">
        <f t="shared" si="2"/>
        <v>Obrero o empleado</v>
      </c>
      <c r="P55">
        <v>8</v>
      </c>
      <c r="Q55">
        <v>390</v>
      </c>
      <c r="R55">
        <v>1</v>
      </c>
      <c r="S55">
        <v>8</v>
      </c>
      <c r="T55" s="9" t="str">
        <f t="shared" si="3"/>
        <v>Universitaria</v>
      </c>
      <c r="U55">
        <v>2</v>
      </c>
      <c r="V55">
        <v>1</v>
      </c>
      <c r="W55" s="9" t="str">
        <f t="shared" si="4"/>
        <v>Casa</v>
      </c>
      <c r="X55">
        <v>3</v>
      </c>
      <c r="Y55">
        <v>3</v>
      </c>
      <c r="Z55" s="9" t="str">
        <f t="shared" si="5"/>
        <v>Inquilino o arrendatario de la vivienda</v>
      </c>
      <c r="AA55">
        <v>2</v>
      </c>
      <c r="AB55">
        <v>2</v>
      </c>
      <c r="AC55">
        <v>0</v>
      </c>
    </row>
    <row r="56" spans="1:29" x14ac:dyDescent="0.25">
      <c r="G56">
        <v>55</v>
      </c>
      <c r="H56">
        <v>42</v>
      </c>
      <c r="I56">
        <v>2</v>
      </c>
      <c r="J56" s="9" t="str">
        <f t="shared" si="0"/>
        <v>Mujer</v>
      </c>
      <c r="K56">
        <v>3</v>
      </c>
      <c r="L56" s="9" t="str">
        <f t="shared" si="1"/>
        <v>Casado</v>
      </c>
      <c r="M56">
        <v>40</v>
      </c>
      <c r="N56">
        <v>2</v>
      </c>
      <c r="O56" s="9" t="str">
        <f t="shared" si="2"/>
        <v>Trabajador por su cuenta</v>
      </c>
      <c r="P56">
        <v>35</v>
      </c>
      <c r="Q56">
        <v>900</v>
      </c>
      <c r="R56">
        <v>1</v>
      </c>
      <c r="S56">
        <v>8</v>
      </c>
      <c r="T56" s="9" t="str">
        <f t="shared" si="3"/>
        <v>Universitaria</v>
      </c>
      <c r="U56">
        <v>1</v>
      </c>
      <c r="V56">
        <v>1</v>
      </c>
      <c r="W56" s="9" t="str">
        <f t="shared" si="4"/>
        <v>Casa</v>
      </c>
      <c r="X56">
        <v>3</v>
      </c>
      <c r="Y56">
        <v>1</v>
      </c>
      <c r="Z56" s="9" t="str">
        <f t="shared" si="5"/>
        <v>Propietario de la vivienda y terreno</v>
      </c>
      <c r="AA56">
        <v>2</v>
      </c>
      <c r="AB56">
        <v>1</v>
      </c>
      <c r="AC56">
        <v>1</v>
      </c>
    </row>
    <row r="57" spans="1:29" x14ac:dyDescent="0.25">
      <c r="G57">
        <v>56</v>
      </c>
      <c r="H57">
        <v>54</v>
      </c>
      <c r="I57">
        <v>2</v>
      </c>
      <c r="J57" s="9" t="str">
        <f t="shared" si="0"/>
        <v>Mujer</v>
      </c>
      <c r="K57">
        <v>5</v>
      </c>
      <c r="L57" s="9" t="str">
        <f t="shared" si="1"/>
        <v>Viudo</v>
      </c>
      <c r="M57">
        <v>35</v>
      </c>
      <c r="N57">
        <v>3</v>
      </c>
      <c r="O57" s="9" t="str">
        <f t="shared" si="2"/>
        <v>Obrero o empleado</v>
      </c>
      <c r="P57">
        <v>34</v>
      </c>
      <c r="Q57">
        <v>670</v>
      </c>
      <c r="R57">
        <v>1</v>
      </c>
      <c r="S57">
        <v>3</v>
      </c>
      <c r="T57" s="9" t="str">
        <f t="shared" si="3"/>
        <v>Comercial</v>
      </c>
      <c r="U57">
        <v>2</v>
      </c>
      <c r="V57">
        <v>1</v>
      </c>
      <c r="W57" s="9" t="str">
        <f t="shared" si="4"/>
        <v>Casa</v>
      </c>
      <c r="X57">
        <v>5</v>
      </c>
      <c r="Y57">
        <v>1</v>
      </c>
      <c r="Z57" s="9" t="str">
        <f t="shared" si="5"/>
        <v>Propietario de la vivienda y terreno</v>
      </c>
      <c r="AA57">
        <v>4</v>
      </c>
      <c r="AB57">
        <v>1</v>
      </c>
      <c r="AC57">
        <v>3</v>
      </c>
    </row>
    <row r="58" spans="1:29" x14ac:dyDescent="0.25">
      <c r="G58">
        <v>57</v>
      </c>
      <c r="H58">
        <v>21</v>
      </c>
      <c r="I58">
        <v>2</v>
      </c>
      <c r="J58" s="9" t="str">
        <f t="shared" si="0"/>
        <v>Mujer</v>
      </c>
      <c r="K58">
        <v>1</v>
      </c>
      <c r="L58" s="9" t="str">
        <f t="shared" si="1"/>
        <v>Soltero</v>
      </c>
      <c r="M58">
        <v>20</v>
      </c>
      <c r="N58">
        <v>3</v>
      </c>
      <c r="O58" s="9" t="str">
        <f t="shared" si="2"/>
        <v>Obrero o empleado</v>
      </c>
      <c r="P58">
        <v>2</v>
      </c>
      <c r="Q58">
        <v>370</v>
      </c>
      <c r="R58">
        <v>1</v>
      </c>
      <c r="S58">
        <v>1</v>
      </c>
      <c r="T58" s="9" t="str">
        <f t="shared" si="3"/>
        <v>Primario</v>
      </c>
      <c r="U58">
        <v>2</v>
      </c>
      <c r="V58">
        <v>7</v>
      </c>
      <c r="W58" s="9" t="str">
        <f t="shared" si="4"/>
        <v>Vivienda en villa</v>
      </c>
      <c r="X58">
        <v>4</v>
      </c>
      <c r="Y58">
        <v>2</v>
      </c>
      <c r="Z58" s="9" t="str">
        <f t="shared" si="5"/>
        <v>Propietario de la vivienda solamente</v>
      </c>
      <c r="AA58">
        <v>5</v>
      </c>
      <c r="AB58">
        <v>3</v>
      </c>
      <c r="AC58">
        <v>2</v>
      </c>
    </row>
    <row r="59" spans="1:29" x14ac:dyDescent="0.25">
      <c r="G59">
        <v>58</v>
      </c>
      <c r="H59">
        <v>37</v>
      </c>
      <c r="I59">
        <v>1</v>
      </c>
      <c r="J59" s="9" t="str">
        <f t="shared" si="0"/>
        <v>Varón</v>
      </c>
      <c r="K59">
        <v>3</v>
      </c>
      <c r="L59" s="9" t="str">
        <f t="shared" si="1"/>
        <v>Casado</v>
      </c>
      <c r="M59">
        <v>38</v>
      </c>
      <c r="N59">
        <v>3</v>
      </c>
      <c r="O59" s="9" t="str">
        <f t="shared" si="2"/>
        <v>Obrero o empleado</v>
      </c>
      <c r="P59">
        <v>9</v>
      </c>
      <c r="Q59">
        <v>420</v>
      </c>
      <c r="R59">
        <v>1</v>
      </c>
      <c r="S59">
        <v>3</v>
      </c>
      <c r="T59" s="9" t="str">
        <f t="shared" si="3"/>
        <v>Comercial</v>
      </c>
      <c r="U59">
        <v>1</v>
      </c>
      <c r="V59">
        <v>1</v>
      </c>
      <c r="W59" s="9" t="str">
        <f t="shared" si="4"/>
        <v>Casa</v>
      </c>
      <c r="X59">
        <v>5</v>
      </c>
      <c r="Y59">
        <v>1</v>
      </c>
      <c r="Z59" s="9" t="str">
        <f t="shared" si="5"/>
        <v>Propietario de la vivienda y terreno</v>
      </c>
      <c r="AA59">
        <v>3</v>
      </c>
      <c r="AB59">
        <v>2</v>
      </c>
      <c r="AC59">
        <v>1</v>
      </c>
    </row>
    <row r="60" spans="1:29" x14ac:dyDescent="0.25">
      <c r="G60">
        <v>59</v>
      </c>
      <c r="H60">
        <v>24</v>
      </c>
      <c r="I60">
        <v>1</v>
      </c>
      <c r="J60" s="9" t="str">
        <f t="shared" si="0"/>
        <v>Varón</v>
      </c>
      <c r="K60">
        <v>1</v>
      </c>
      <c r="L60" s="9" t="str">
        <f t="shared" si="1"/>
        <v>Soltero</v>
      </c>
      <c r="M60">
        <v>15</v>
      </c>
      <c r="N60">
        <v>3</v>
      </c>
      <c r="O60" s="9" t="str">
        <f t="shared" si="2"/>
        <v>Obrero o empleado</v>
      </c>
      <c r="P60">
        <v>4</v>
      </c>
      <c r="Q60">
        <v>290</v>
      </c>
      <c r="R60">
        <v>1</v>
      </c>
      <c r="S60">
        <v>4</v>
      </c>
      <c r="T60" s="9" t="str">
        <f t="shared" si="3"/>
        <v>Normal</v>
      </c>
      <c r="U60">
        <v>1</v>
      </c>
      <c r="V60">
        <v>1</v>
      </c>
      <c r="W60" s="9" t="str">
        <f t="shared" si="4"/>
        <v>Casa</v>
      </c>
      <c r="X60">
        <v>5</v>
      </c>
      <c r="Y60">
        <v>1</v>
      </c>
      <c r="Z60" s="9" t="str">
        <f t="shared" si="5"/>
        <v>Propietario de la vivienda y terreno</v>
      </c>
      <c r="AA60">
        <v>4</v>
      </c>
      <c r="AB60">
        <v>3</v>
      </c>
      <c r="AC60">
        <v>1</v>
      </c>
    </row>
    <row r="61" spans="1:29" x14ac:dyDescent="0.25">
      <c r="G61">
        <v>60</v>
      </c>
      <c r="H61">
        <v>52</v>
      </c>
      <c r="I61">
        <v>1</v>
      </c>
      <c r="J61" s="9" t="str">
        <f t="shared" si="0"/>
        <v>Varón</v>
      </c>
      <c r="K61">
        <v>3</v>
      </c>
      <c r="L61" s="9" t="str">
        <f t="shared" si="1"/>
        <v>Casado</v>
      </c>
      <c r="M61">
        <v>64</v>
      </c>
      <c r="N61">
        <v>2</v>
      </c>
      <c r="O61" s="9" t="str">
        <f t="shared" si="2"/>
        <v>Trabajador por su cuenta</v>
      </c>
      <c r="P61">
        <v>5</v>
      </c>
      <c r="Q61">
        <v>850</v>
      </c>
      <c r="R61">
        <v>2</v>
      </c>
      <c r="S61">
        <v>0</v>
      </c>
      <c r="T61" s="9" t="str">
        <f t="shared" si="3"/>
        <v>No sabe leer ni escribir</v>
      </c>
      <c r="U61">
        <v>0</v>
      </c>
      <c r="V61">
        <v>6</v>
      </c>
      <c r="W61" s="9" t="str">
        <f t="shared" si="4"/>
        <v>Construcción no destinada a fines habitacionales</v>
      </c>
      <c r="X61">
        <v>4</v>
      </c>
      <c r="Y61">
        <v>5</v>
      </c>
      <c r="Z61" s="9" t="str">
        <f t="shared" si="5"/>
        <v>Ocupante gratuito</v>
      </c>
      <c r="AA61">
        <v>5</v>
      </c>
      <c r="AB61">
        <v>3</v>
      </c>
      <c r="AC61">
        <v>2</v>
      </c>
    </row>
    <row r="62" spans="1:29" x14ac:dyDescent="0.25">
      <c r="G62">
        <v>61</v>
      </c>
      <c r="H62">
        <v>36</v>
      </c>
      <c r="I62">
        <v>1</v>
      </c>
      <c r="J62" s="9" t="str">
        <f t="shared" si="0"/>
        <v>Varón</v>
      </c>
      <c r="K62">
        <v>1</v>
      </c>
      <c r="L62" s="9" t="str">
        <f t="shared" si="1"/>
        <v>Soltero</v>
      </c>
      <c r="M62">
        <v>63</v>
      </c>
      <c r="N62">
        <v>3</v>
      </c>
      <c r="O62" s="9" t="str">
        <f t="shared" si="2"/>
        <v>Obrero o empleado</v>
      </c>
      <c r="P62">
        <v>13</v>
      </c>
      <c r="Q62">
        <v>800</v>
      </c>
      <c r="R62">
        <v>1</v>
      </c>
      <c r="S62">
        <v>8</v>
      </c>
      <c r="T62" s="9" t="str">
        <f t="shared" si="3"/>
        <v>Universitaria</v>
      </c>
      <c r="U62">
        <v>1</v>
      </c>
      <c r="V62">
        <v>2</v>
      </c>
      <c r="W62" s="9" t="str">
        <f t="shared" si="4"/>
        <v>Departamento</v>
      </c>
      <c r="X62">
        <v>3</v>
      </c>
      <c r="Y62">
        <v>3</v>
      </c>
      <c r="Z62" s="9" t="str">
        <f t="shared" si="5"/>
        <v>Inquilino o arrendatario de la vivienda</v>
      </c>
      <c r="AA62">
        <v>1</v>
      </c>
      <c r="AB62">
        <v>1</v>
      </c>
      <c r="AC62">
        <v>0</v>
      </c>
    </row>
    <row r="63" spans="1:29" x14ac:dyDescent="0.25">
      <c r="G63">
        <v>62</v>
      </c>
      <c r="H63">
        <v>20</v>
      </c>
      <c r="I63">
        <v>1</v>
      </c>
      <c r="J63" s="9" t="str">
        <f t="shared" si="0"/>
        <v>Varón</v>
      </c>
      <c r="K63">
        <v>1</v>
      </c>
      <c r="L63" s="9" t="str">
        <f t="shared" si="1"/>
        <v>Soltero</v>
      </c>
      <c r="M63">
        <v>28</v>
      </c>
      <c r="N63">
        <v>3</v>
      </c>
      <c r="O63" s="9" t="str">
        <f t="shared" si="2"/>
        <v>Obrero o empleado</v>
      </c>
      <c r="P63">
        <v>1</v>
      </c>
      <c r="Q63">
        <v>320</v>
      </c>
      <c r="R63">
        <v>1</v>
      </c>
      <c r="S63">
        <v>2</v>
      </c>
      <c r="T63" s="9" t="str">
        <f t="shared" si="3"/>
        <v>Nacional</v>
      </c>
      <c r="U63">
        <v>2</v>
      </c>
      <c r="V63">
        <v>2</v>
      </c>
      <c r="W63" s="9" t="str">
        <f t="shared" si="4"/>
        <v>Departamento</v>
      </c>
      <c r="X63">
        <v>3</v>
      </c>
      <c r="Y63">
        <v>3</v>
      </c>
      <c r="Z63" s="9" t="str">
        <f t="shared" si="5"/>
        <v>Inquilino o arrendatario de la vivienda</v>
      </c>
      <c r="AA63">
        <v>1</v>
      </c>
      <c r="AB63">
        <v>1</v>
      </c>
      <c r="AC63">
        <v>0</v>
      </c>
    </row>
    <row r="64" spans="1:29" x14ac:dyDescent="0.25">
      <c r="G64">
        <v>63</v>
      </c>
      <c r="H64">
        <v>48</v>
      </c>
      <c r="I64">
        <v>1</v>
      </c>
      <c r="J64" s="9" t="str">
        <f t="shared" si="0"/>
        <v>Varón</v>
      </c>
      <c r="K64">
        <v>4</v>
      </c>
      <c r="L64" s="9" t="str">
        <f t="shared" si="1"/>
        <v>Separado/Divorciado</v>
      </c>
      <c r="M64">
        <v>40</v>
      </c>
      <c r="N64">
        <v>3</v>
      </c>
      <c r="O64" s="9" t="str">
        <f t="shared" si="2"/>
        <v>Obrero o empleado</v>
      </c>
      <c r="P64">
        <v>14</v>
      </c>
      <c r="Q64">
        <v>480</v>
      </c>
      <c r="R64">
        <v>1</v>
      </c>
      <c r="S64">
        <v>4</v>
      </c>
      <c r="T64" s="9" t="str">
        <f t="shared" si="3"/>
        <v>Normal</v>
      </c>
      <c r="U64">
        <v>2</v>
      </c>
      <c r="V64">
        <v>1</v>
      </c>
      <c r="W64" s="9" t="str">
        <f t="shared" si="4"/>
        <v>Casa</v>
      </c>
      <c r="X64">
        <v>4</v>
      </c>
      <c r="Y64">
        <v>1</v>
      </c>
      <c r="Z64" s="9" t="str">
        <f t="shared" si="5"/>
        <v>Propietario de la vivienda y terreno</v>
      </c>
      <c r="AA64">
        <v>4</v>
      </c>
      <c r="AB64">
        <v>2</v>
      </c>
      <c r="AC64">
        <v>2</v>
      </c>
    </row>
    <row r="65" spans="1:29" x14ac:dyDescent="0.25">
      <c r="G65">
        <v>64</v>
      </c>
      <c r="H65">
        <v>57</v>
      </c>
      <c r="I65">
        <v>2</v>
      </c>
      <c r="J65" s="9" t="str">
        <f t="shared" si="0"/>
        <v>Mujer</v>
      </c>
      <c r="K65">
        <v>4</v>
      </c>
      <c r="L65" s="9" t="str">
        <f t="shared" si="1"/>
        <v>Separado/Divorciado</v>
      </c>
      <c r="M65">
        <v>35</v>
      </c>
      <c r="N65">
        <v>3</v>
      </c>
      <c r="O65" s="9" t="str">
        <f t="shared" si="2"/>
        <v>Obrero o empleado</v>
      </c>
      <c r="P65">
        <v>26</v>
      </c>
      <c r="Q65">
        <v>540</v>
      </c>
      <c r="R65">
        <v>1</v>
      </c>
      <c r="S65">
        <v>8</v>
      </c>
      <c r="T65" s="9" t="str">
        <f t="shared" si="3"/>
        <v>Universitaria</v>
      </c>
      <c r="U65">
        <v>2</v>
      </c>
      <c r="V65">
        <v>1</v>
      </c>
      <c r="W65" s="9" t="str">
        <f t="shared" si="4"/>
        <v>Casa</v>
      </c>
      <c r="X65">
        <v>4</v>
      </c>
      <c r="Y65">
        <v>1</v>
      </c>
      <c r="Z65" s="9" t="str">
        <f t="shared" si="5"/>
        <v>Propietario de la vivienda y terreno</v>
      </c>
      <c r="AA65">
        <v>4</v>
      </c>
      <c r="AB65">
        <v>2</v>
      </c>
      <c r="AC65">
        <v>2</v>
      </c>
    </row>
    <row r="66" spans="1:29" x14ac:dyDescent="0.25">
      <c r="G66">
        <v>65</v>
      </c>
      <c r="H66">
        <v>35</v>
      </c>
      <c r="I66">
        <v>1</v>
      </c>
      <c r="J66" s="9" t="str">
        <f t="shared" si="0"/>
        <v>Varón</v>
      </c>
      <c r="K66">
        <v>2</v>
      </c>
      <c r="L66" s="9" t="str">
        <f t="shared" si="1"/>
        <v>Unido</v>
      </c>
      <c r="M66">
        <v>43</v>
      </c>
      <c r="N66">
        <v>3</v>
      </c>
      <c r="O66" s="9" t="str">
        <f t="shared" si="2"/>
        <v>Obrero o empleado</v>
      </c>
      <c r="P66">
        <v>14</v>
      </c>
      <c r="Q66">
        <v>430</v>
      </c>
      <c r="R66">
        <v>1</v>
      </c>
      <c r="S66">
        <v>1</v>
      </c>
      <c r="T66" s="9" t="str">
        <f t="shared" si="3"/>
        <v>Primario</v>
      </c>
      <c r="U66">
        <v>1</v>
      </c>
      <c r="V66">
        <v>6</v>
      </c>
      <c r="W66" s="9" t="str">
        <f t="shared" si="4"/>
        <v>Construcción no destinada a fines habitacionales</v>
      </c>
      <c r="X66">
        <v>3</v>
      </c>
      <c r="Y66">
        <v>5</v>
      </c>
      <c r="Z66" s="9" t="str">
        <f t="shared" si="5"/>
        <v>Ocupante gratuito</v>
      </c>
      <c r="AA66">
        <v>4</v>
      </c>
      <c r="AB66">
        <v>2</v>
      </c>
      <c r="AC66">
        <v>2</v>
      </c>
    </row>
    <row r="67" spans="1:29" x14ac:dyDescent="0.25">
      <c r="G67">
        <v>66</v>
      </c>
      <c r="H67">
        <v>33</v>
      </c>
      <c r="I67">
        <v>2</v>
      </c>
      <c r="J67" s="9" t="str">
        <f t="shared" ref="J67:J101" si="6">IF(I67=1,"Varón","Mujer")</f>
        <v>Mujer</v>
      </c>
      <c r="K67">
        <v>5</v>
      </c>
      <c r="L67" s="9" t="str">
        <f t="shared" ref="L67:L101" si="7">IF(K67=1,"Soltero",IF(K67=2,"Unido",IF(K67=3,"Casado",IF(K67=4,"Separado/Divorciado","Viudo"))))</f>
        <v>Viudo</v>
      </c>
      <c r="M67">
        <v>45</v>
      </c>
      <c r="N67">
        <v>2</v>
      </c>
      <c r="O67" s="9" t="str">
        <f t="shared" ref="O67:O101" si="8">IF(N67=1,"Patrón o empleado",IF(N67=2,"Trabajador por su cuenta",IF(N67=3,"Obrero o empleado","Trabajador sin salario")))</f>
        <v>Trabajador por su cuenta</v>
      </c>
      <c r="P67">
        <v>14</v>
      </c>
      <c r="Q67">
        <v>650</v>
      </c>
      <c r="R67">
        <v>1</v>
      </c>
      <c r="S67">
        <v>8</v>
      </c>
      <c r="T67" s="9" t="str">
        <f t="shared" ref="T67:T101" si="9">IF(S67=1,"Primario",IF(S67=2,"Nacional",IF(S67=3,"Comercial",IF(S67=4,"Normal",IF(S67=5,"Técnica",IF(S67=6,"Otra enseñanza media",IF(S67=7,"Superior",IF(S67=8,"Universitaria","No sabe leer ni escribir"))))))))</f>
        <v>Universitaria</v>
      </c>
      <c r="U67">
        <v>1</v>
      </c>
      <c r="V67">
        <v>1</v>
      </c>
      <c r="W67" s="9" t="str">
        <f t="shared" ref="W67:W101" si="10">IF(V67=1,"Casa",IF(V67=2,"Departamento",IF(V67=3,"Vivienda en lugar de trabajo",IF(V67=4,"Inquilinato",IF(V67=5,"Hotel o pensión",IF(V67=6,"Construcción no destinada a fines habitacionales",IF(V67=7,"Vivienda en villa","Otros")))))))</f>
        <v>Casa</v>
      </c>
      <c r="X67">
        <v>4</v>
      </c>
      <c r="Y67">
        <v>1</v>
      </c>
      <c r="Z67" s="9" t="str">
        <f t="shared" ref="Z67:Z101" si="11">IF(Y67=1,"Propietario de la vivienda y terreno",IF(Y67=2,"Propietario de la vivienda solamente",IF(Y67=3,"Inquilino o arrendatario de la vivienda",IF(Y67=4,"Ocupante con relación de dependencia",IF(Y67=5,"Ocupante gratuito","Otros")))))</f>
        <v>Propietario de la vivienda y terreno</v>
      </c>
      <c r="AA67">
        <v>4</v>
      </c>
      <c r="AB67">
        <v>2</v>
      </c>
      <c r="AC67">
        <v>2</v>
      </c>
    </row>
    <row r="68" spans="1:29" x14ac:dyDescent="0.25">
      <c r="G68">
        <v>67</v>
      </c>
      <c r="H68">
        <v>24</v>
      </c>
      <c r="I68">
        <v>2</v>
      </c>
      <c r="J68" s="9" t="str">
        <f t="shared" si="6"/>
        <v>Mujer</v>
      </c>
      <c r="K68">
        <v>1</v>
      </c>
      <c r="L68" s="9" t="str">
        <f t="shared" si="7"/>
        <v>Soltero</v>
      </c>
      <c r="M68">
        <v>18</v>
      </c>
      <c r="N68">
        <v>3</v>
      </c>
      <c r="O68" s="9" t="str">
        <f t="shared" si="8"/>
        <v>Obrero o empleado</v>
      </c>
      <c r="P68">
        <v>3</v>
      </c>
      <c r="Q68">
        <v>460</v>
      </c>
      <c r="R68">
        <v>1</v>
      </c>
      <c r="S68">
        <v>7</v>
      </c>
      <c r="T68" s="9" t="str">
        <f t="shared" si="9"/>
        <v>Superior</v>
      </c>
      <c r="U68">
        <v>1</v>
      </c>
      <c r="V68">
        <v>1</v>
      </c>
      <c r="W68" s="9" t="str">
        <f t="shared" si="10"/>
        <v>Casa</v>
      </c>
      <c r="X68">
        <v>2</v>
      </c>
      <c r="Y68">
        <v>5</v>
      </c>
      <c r="Z68" s="9" t="str">
        <f t="shared" si="11"/>
        <v>Ocupante gratuito</v>
      </c>
      <c r="AA68">
        <v>3</v>
      </c>
      <c r="AB68">
        <v>1</v>
      </c>
      <c r="AC68">
        <v>2</v>
      </c>
    </row>
    <row r="69" spans="1:29" x14ac:dyDescent="0.25">
      <c r="G69">
        <v>68</v>
      </c>
      <c r="H69">
        <v>34</v>
      </c>
      <c r="I69">
        <v>1</v>
      </c>
      <c r="J69" s="9" t="str">
        <f t="shared" si="6"/>
        <v>Varón</v>
      </c>
      <c r="K69">
        <v>3</v>
      </c>
      <c r="L69" s="9" t="str">
        <f t="shared" si="7"/>
        <v>Casado</v>
      </c>
      <c r="M69">
        <v>44</v>
      </c>
      <c r="N69">
        <v>2</v>
      </c>
      <c r="O69" s="9" t="str">
        <f t="shared" si="8"/>
        <v>Trabajador por su cuenta</v>
      </c>
      <c r="P69">
        <v>10</v>
      </c>
      <c r="Q69">
        <v>300</v>
      </c>
      <c r="R69">
        <v>1</v>
      </c>
      <c r="S69">
        <v>3</v>
      </c>
      <c r="T69" s="9" t="str">
        <f t="shared" si="9"/>
        <v>Comercial</v>
      </c>
      <c r="U69">
        <v>1</v>
      </c>
      <c r="V69">
        <v>1</v>
      </c>
      <c r="W69" s="9" t="str">
        <f t="shared" si="10"/>
        <v>Casa</v>
      </c>
      <c r="X69">
        <v>3</v>
      </c>
      <c r="Y69">
        <v>1</v>
      </c>
      <c r="Z69" s="9" t="str">
        <f t="shared" si="11"/>
        <v>Propietario de la vivienda y terreno</v>
      </c>
      <c r="AA69">
        <v>4</v>
      </c>
      <c r="AB69">
        <v>2</v>
      </c>
      <c r="AC69">
        <v>2</v>
      </c>
    </row>
    <row r="70" spans="1:29" x14ac:dyDescent="0.25">
      <c r="A70" s="1" t="s">
        <v>337</v>
      </c>
      <c r="G70">
        <v>69</v>
      </c>
      <c r="H70">
        <v>20</v>
      </c>
      <c r="I70">
        <v>2</v>
      </c>
      <c r="J70" s="9" t="str">
        <f t="shared" si="6"/>
        <v>Mujer</v>
      </c>
      <c r="K70">
        <v>1</v>
      </c>
      <c r="L70" s="9" t="str">
        <f t="shared" si="7"/>
        <v>Soltero</v>
      </c>
      <c r="M70">
        <v>20</v>
      </c>
      <c r="N70">
        <v>3</v>
      </c>
      <c r="O70" s="9" t="str">
        <f t="shared" si="8"/>
        <v>Obrero o empleado</v>
      </c>
      <c r="P70">
        <v>1</v>
      </c>
      <c r="Q70">
        <v>280</v>
      </c>
      <c r="R70">
        <v>1</v>
      </c>
      <c r="S70">
        <v>8</v>
      </c>
      <c r="T70" s="9" t="str">
        <f t="shared" si="9"/>
        <v>Universitaria</v>
      </c>
      <c r="U70">
        <v>2</v>
      </c>
      <c r="V70">
        <v>1</v>
      </c>
      <c r="W70" s="9" t="str">
        <f t="shared" si="10"/>
        <v>Casa</v>
      </c>
      <c r="X70">
        <v>3</v>
      </c>
      <c r="Y70">
        <v>1</v>
      </c>
      <c r="Z70" s="9" t="str">
        <f t="shared" si="11"/>
        <v>Propietario de la vivienda y terreno</v>
      </c>
      <c r="AA70">
        <v>2</v>
      </c>
      <c r="AB70">
        <v>2</v>
      </c>
      <c r="AC70">
        <v>0</v>
      </c>
    </row>
    <row r="71" spans="1:29" x14ac:dyDescent="0.25">
      <c r="G71">
        <v>70</v>
      </c>
      <c r="H71">
        <v>19</v>
      </c>
      <c r="I71">
        <v>1</v>
      </c>
      <c r="J71" s="9" t="str">
        <f t="shared" si="6"/>
        <v>Varón</v>
      </c>
      <c r="K71">
        <v>1</v>
      </c>
      <c r="L71" s="9" t="str">
        <f t="shared" si="7"/>
        <v>Soltero</v>
      </c>
      <c r="M71">
        <v>20</v>
      </c>
      <c r="N71">
        <v>3</v>
      </c>
      <c r="O71" s="9" t="str">
        <f t="shared" si="8"/>
        <v>Obrero o empleado</v>
      </c>
      <c r="P71">
        <v>1</v>
      </c>
      <c r="Q71">
        <v>320</v>
      </c>
      <c r="R71">
        <v>1</v>
      </c>
      <c r="S71">
        <v>2</v>
      </c>
      <c r="T71" s="9" t="str">
        <f t="shared" si="9"/>
        <v>Nacional</v>
      </c>
      <c r="U71">
        <v>2</v>
      </c>
      <c r="V71">
        <v>1</v>
      </c>
      <c r="W71" s="9" t="str">
        <f t="shared" si="10"/>
        <v>Casa</v>
      </c>
      <c r="X71">
        <v>3</v>
      </c>
      <c r="Y71">
        <v>1</v>
      </c>
      <c r="Z71" s="9" t="str">
        <f t="shared" si="11"/>
        <v>Propietario de la vivienda y terreno</v>
      </c>
      <c r="AA71">
        <v>4</v>
      </c>
      <c r="AB71">
        <v>2</v>
      </c>
      <c r="AC71">
        <v>2</v>
      </c>
    </row>
    <row r="72" spans="1:29" x14ac:dyDescent="0.25">
      <c r="A72" s="60" t="s">
        <v>189</v>
      </c>
      <c r="B72" t="s">
        <v>342</v>
      </c>
      <c r="D72" s="55" t="s">
        <v>309</v>
      </c>
      <c r="G72">
        <v>71</v>
      </c>
      <c r="H72">
        <v>29</v>
      </c>
      <c r="I72">
        <v>2</v>
      </c>
      <c r="J72" s="9" t="str">
        <f t="shared" si="6"/>
        <v>Mujer</v>
      </c>
      <c r="K72">
        <v>2</v>
      </c>
      <c r="L72" s="9" t="str">
        <f t="shared" si="7"/>
        <v>Unido</v>
      </c>
      <c r="M72">
        <v>36</v>
      </c>
      <c r="N72">
        <v>1</v>
      </c>
      <c r="O72" s="9" t="str">
        <f t="shared" si="8"/>
        <v>Patrón o empleado</v>
      </c>
      <c r="P72">
        <v>6</v>
      </c>
      <c r="Q72">
        <v>370</v>
      </c>
      <c r="R72">
        <v>1</v>
      </c>
      <c r="S72">
        <v>2</v>
      </c>
      <c r="T72" s="9" t="str">
        <f t="shared" si="9"/>
        <v>Nacional</v>
      </c>
      <c r="U72">
        <v>2</v>
      </c>
      <c r="V72">
        <v>1</v>
      </c>
      <c r="W72" s="9" t="str">
        <f t="shared" si="10"/>
        <v>Casa</v>
      </c>
      <c r="X72">
        <v>3</v>
      </c>
      <c r="Y72">
        <v>1</v>
      </c>
      <c r="Z72" s="9" t="str">
        <f t="shared" si="11"/>
        <v>Propietario de la vivienda y terreno</v>
      </c>
      <c r="AA72">
        <v>4</v>
      </c>
      <c r="AB72">
        <v>2</v>
      </c>
      <c r="AC72">
        <v>2</v>
      </c>
    </row>
    <row r="73" spans="1:29" x14ac:dyDescent="0.25">
      <c r="A73" s="40" t="s">
        <v>338</v>
      </c>
      <c r="B73" s="41">
        <v>66</v>
      </c>
      <c r="D73" s="61">
        <f>GETPIVOTDATA("Usted_Cat",$A$72,"Usted_Cat","Obrero o empleado")/GETPIVOTDATA("Usted_Cat",$A$72)</f>
        <v>0.66</v>
      </c>
      <c r="G73">
        <v>72</v>
      </c>
      <c r="H73">
        <v>51</v>
      </c>
      <c r="I73">
        <v>2</v>
      </c>
      <c r="J73" s="9" t="str">
        <f t="shared" si="6"/>
        <v>Mujer</v>
      </c>
      <c r="K73">
        <v>5</v>
      </c>
      <c r="L73" s="9" t="str">
        <f t="shared" si="7"/>
        <v>Viudo</v>
      </c>
      <c r="M73">
        <v>40</v>
      </c>
      <c r="N73">
        <v>3</v>
      </c>
      <c r="O73" s="9" t="str">
        <f t="shared" si="8"/>
        <v>Obrero o empleado</v>
      </c>
      <c r="P73">
        <v>24</v>
      </c>
      <c r="Q73">
        <v>800</v>
      </c>
      <c r="R73">
        <v>1</v>
      </c>
      <c r="S73">
        <v>7</v>
      </c>
      <c r="T73" s="9" t="str">
        <f t="shared" si="9"/>
        <v>Superior</v>
      </c>
      <c r="U73">
        <v>1</v>
      </c>
      <c r="V73">
        <v>1</v>
      </c>
      <c r="W73" s="9" t="str">
        <f t="shared" si="10"/>
        <v>Casa</v>
      </c>
      <c r="X73">
        <v>3</v>
      </c>
      <c r="Y73">
        <v>1</v>
      </c>
      <c r="Z73" s="9" t="str">
        <f t="shared" si="11"/>
        <v>Propietario de la vivienda y terreno</v>
      </c>
      <c r="AA73">
        <v>3</v>
      </c>
      <c r="AB73">
        <v>1</v>
      </c>
      <c r="AC73">
        <v>2</v>
      </c>
    </row>
    <row r="74" spans="1:29" x14ac:dyDescent="0.25">
      <c r="A74" s="40" t="s">
        <v>339</v>
      </c>
      <c r="B74" s="41">
        <v>9</v>
      </c>
      <c r="D74" s="61">
        <f>GETPIVOTDATA("Usted_Cat",$A$72,"Usted_Cat","Patrón o empleado")/GETPIVOTDATA("Usted_Cat",$A$72)</f>
        <v>0.09</v>
      </c>
      <c r="G74">
        <v>73</v>
      </c>
      <c r="H74">
        <v>40</v>
      </c>
      <c r="I74">
        <v>1</v>
      </c>
      <c r="J74" s="9" t="str">
        <f t="shared" si="6"/>
        <v>Varón</v>
      </c>
      <c r="K74">
        <v>3</v>
      </c>
      <c r="L74" s="9" t="str">
        <f t="shared" si="7"/>
        <v>Casado</v>
      </c>
      <c r="M74">
        <v>58</v>
      </c>
      <c r="N74">
        <v>3</v>
      </c>
      <c r="O74" s="9" t="str">
        <f t="shared" si="8"/>
        <v>Obrero o empleado</v>
      </c>
      <c r="P74">
        <v>20</v>
      </c>
      <c r="Q74">
        <v>2000</v>
      </c>
      <c r="R74">
        <v>1</v>
      </c>
      <c r="S74">
        <v>8</v>
      </c>
      <c r="T74" s="9" t="str">
        <f t="shared" si="9"/>
        <v>Universitaria</v>
      </c>
      <c r="U74">
        <v>2</v>
      </c>
      <c r="V74">
        <v>1</v>
      </c>
      <c r="W74" s="9" t="str">
        <f t="shared" si="10"/>
        <v>Casa</v>
      </c>
      <c r="X74">
        <v>3</v>
      </c>
      <c r="Y74">
        <v>3</v>
      </c>
      <c r="Z74" s="9" t="str">
        <f t="shared" si="11"/>
        <v>Inquilino o arrendatario de la vivienda</v>
      </c>
      <c r="AA74">
        <v>4</v>
      </c>
      <c r="AB74">
        <v>1</v>
      </c>
      <c r="AC74">
        <v>3</v>
      </c>
    </row>
    <row r="75" spans="1:29" x14ac:dyDescent="0.25">
      <c r="A75" s="40" t="s">
        <v>340</v>
      </c>
      <c r="B75" s="41">
        <v>21</v>
      </c>
      <c r="D75" s="61">
        <f>GETPIVOTDATA("Usted_Cat",$A$72,"Usted_Cat","Trabajador por su cuenta")/GETPIVOTDATA("Usted_Cat",$A$72)</f>
        <v>0.21</v>
      </c>
      <c r="G75">
        <v>74</v>
      </c>
      <c r="H75">
        <v>49</v>
      </c>
      <c r="I75">
        <v>2</v>
      </c>
      <c r="J75" s="9" t="str">
        <f t="shared" si="6"/>
        <v>Mujer</v>
      </c>
      <c r="K75">
        <v>3</v>
      </c>
      <c r="L75" s="9" t="str">
        <f t="shared" si="7"/>
        <v>Casado</v>
      </c>
      <c r="M75">
        <v>15</v>
      </c>
      <c r="N75">
        <v>3</v>
      </c>
      <c r="O75" s="9" t="str">
        <f t="shared" si="8"/>
        <v>Obrero o empleado</v>
      </c>
      <c r="P75">
        <v>3</v>
      </c>
      <c r="Q75">
        <v>320</v>
      </c>
      <c r="R75">
        <v>1</v>
      </c>
      <c r="S75">
        <v>7</v>
      </c>
      <c r="T75" s="9" t="str">
        <f t="shared" si="9"/>
        <v>Superior</v>
      </c>
      <c r="U75">
        <v>1</v>
      </c>
      <c r="V75">
        <v>1</v>
      </c>
      <c r="W75" s="9" t="str">
        <f t="shared" si="10"/>
        <v>Casa</v>
      </c>
      <c r="X75">
        <v>5</v>
      </c>
      <c r="Y75">
        <v>1</v>
      </c>
      <c r="Z75" s="9" t="str">
        <f t="shared" si="11"/>
        <v>Propietario de la vivienda y terreno</v>
      </c>
      <c r="AA75">
        <v>3</v>
      </c>
      <c r="AB75">
        <v>1</v>
      </c>
      <c r="AC75">
        <v>2</v>
      </c>
    </row>
    <row r="76" spans="1:29" x14ac:dyDescent="0.25">
      <c r="A76" s="40" t="s">
        <v>341</v>
      </c>
      <c r="B76" s="41">
        <v>4</v>
      </c>
      <c r="D76" s="61">
        <f>GETPIVOTDATA("Usted_Cat",$A$72,"Usted_Cat","Trabajador sin salario")/GETPIVOTDATA("Usted_Cat",$A$72)</f>
        <v>0.04</v>
      </c>
      <c r="G76">
        <v>75</v>
      </c>
      <c r="H76">
        <v>58</v>
      </c>
      <c r="I76">
        <v>2</v>
      </c>
      <c r="J76" s="9" t="str">
        <f t="shared" si="6"/>
        <v>Mujer</v>
      </c>
      <c r="K76">
        <v>3</v>
      </c>
      <c r="L76" s="9" t="str">
        <f t="shared" si="7"/>
        <v>Casado</v>
      </c>
      <c r="M76">
        <v>20</v>
      </c>
      <c r="N76">
        <v>3</v>
      </c>
      <c r="O76" s="9" t="str">
        <f t="shared" si="8"/>
        <v>Obrero o empleado</v>
      </c>
      <c r="P76">
        <v>23</v>
      </c>
      <c r="Q76">
        <v>430</v>
      </c>
      <c r="R76">
        <v>1</v>
      </c>
      <c r="S76">
        <v>1</v>
      </c>
      <c r="T76" s="9" t="str">
        <f t="shared" si="9"/>
        <v>Primario</v>
      </c>
      <c r="U76">
        <v>2</v>
      </c>
      <c r="V76">
        <v>1</v>
      </c>
      <c r="W76" s="9" t="str">
        <f t="shared" si="10"/>
        <v>Casa</v>
      </c>
      <c r="X76">
        <v>4</v>
      </c>
      <c r="Y76">
        <v>1</v>
      </c>
      <c r="Z76" s="9" t="str">
        <f t="shared" si="11"/>
        <v>Propietario de la vivienda y terreno</v>
      </c>
      <c r="AA76">
        <v>2</v>
      </c>
      <c r="AB76">
        <v>2</v>
      </c>
      <c r="AC76">
        <v>0</v>
      </c>
    </row>
    <row r="77" spans="1:29" x14ac:dyDescent="0.25">
      <c r="A77" s="40" t="s">
        <v>190</v>
      </c>
      <c r="B77" s="41">
        <v>100</v>
      </c>
      <c r="G77">
        <v>76</v>
      </c>
      <c r="H77">
        <v>34</v>
      </c>
      <c r="I77">
        <v>2</v>
      </c>
      <c r="J77" s="9" t="str">
        <f t="shared" si="6"/>
        <v>Mujer</v>
      </c>
      <c r="K77">
        <v>1</v>
      </c>
      <c r="L77" s="9" t="str">
        <f t="shared" si="7"/>
        <v>Soltero</v>
      </c>
      <c r="M77">
        <v>35</v>
      </c>
      <c r="N77">
        <v>3</v>
      </c>
      <c r="O77" s="9" t="str">
        <f t="shared" si="8"/>
        <v>Obrero o empleado</v>
      </c>
      <c r="P77">
        <v>5</v>
      </c>
      <c r="Q77">
        <v>560</v>
      </c>
      <c r="R77">
        <v>1</v>
      </c>
      <c r="S77">
        <v>2</v>
      </c>
      <c r="T77" s="9" t="str">
        <f t="shared" si="9"/>
        <v>Nacional</v>
      </c>
      <c r="U77">
        <v>2</v>
      </c>
      <c r="V77">
        <v>2</v>
      </c>
      <c r="W77" s="9" t="str">
        <f t="shared" si="10"/>
        <v>Departamento</v>
      </c>
      <c r="X77">
        <v>5</v>
      </c>
      <c r="Y77">
        <v>1</v>
      </c>
      <c r="Z77" s="9" t="str">
        <f t="shared" si="11"/>
        <v>Propietario de la vivienda y terreno</v>
      </c>
      <c r="AA77">
        <v>6</v>
      </c>
      <c r="AB77">
        <v>3</v>
      </c>
      <c r="AC77">
        <v>3</v>
      </c>
    </row>
    <row r="78" spans="1:29" x14ac:dyDescent="0.25">
      <c r="G78">
        <v>77</v>
      </c>
      <c r="H78">
        <v>32</v>
      </c>
      <c r="I78">
        <v>1</v>
      </c>
      <c r="J78" s="9" t="str">
        <f t="shared" si="6"/>
        <v>Varón</v>
      </c>
      <c r="K78">
        <v>1</v>
      </c>
      <c r="L78" s="9" t="str">
        <f t="shared" si="7"/>
        <v>Soltero</v>
      </c>
      <c r="M78">
        <v>20</v>
      </c>
      <c r="N78">
        <v>3</v>
      </c>
      <c r="O78" s="9" t="str">
        <f t="shared" si="8"/>
        <v>Obrero o empleado</v>
      </c>
      <c r="P78">
        <v>6</v>
      </c>
      <c r="Q78">
        <v>430</v>
      </c>
      <c r="R78">
        <v>1</v>
      </c>
      <c r="S78">
        <v>1</v>
      </c>
      <c r="T78" s="9" t="str">
        <f t="shared" si="9"/>
        <v>Primario</v>
      </c>
      <c r="U78">
        <v>2</v>
      </c>
      <c r="V78">
        <v>1</v>
      </c>
      <c r="W78" s="9" t="str">
        <f t="shared" si="10"/>
        <v>Casa</v>
      </c>
      <c r="X78">
        <v>4</v>
      </c>
      <c r="Y78">
        <v>1</v>
      </c>
      <c r="Z78" s="9" t="str">
        <f t="shared" si="11"/>
        <v>Propietario de la vivienda y terreno</v>
      </c>
      <c r="AA78">
        <v>9</v>
      </c>
      <c r="AB78">
        <v>1</v>
      </c>
      <c r="AC78">
        <v>8</v>
      </c>
    </row>
    <row r="79" spans="1:29" x14ac:dyDescent="0.25">
      <c r="A79" s="1" t="s">
        <v>337</v>
      </c>
      <c r="G79">
        <v>78</v>
      </c>
      <c r="H79">
        <v>38</v>
      </c>
      <c r="I79">
        <v>2</v>
      </c>
      <c r="J79" s="9" t="str">
        <f t="shared" si="6"/>
        <v>Mujer</v>
      </c>
      <c r="K79">
        <v>1</v>
      </c>
      <c r="L79" s="9" t="str">
        <f t="shared" si="7"/>
        <v>Soltero</v>
      </c>
      <c r="M79">
        <v>35</v>
      </c>
      <c r="N79">
        <v>3</v>
      </c>
      <c r="O79" s="9" t="str">
        <f t="shared" si="8"/>
        <v>Obrero o empleado</v>
      </c>
      <c r="P79">
        <v>10</v>
      </c>
      <c r="Q79">
        <v>700</v>
      </c>
      <c r="R79">
        <v>1</v>
      </c>
      <c r="S79">
        <v>3</v>
      </c>
      <c r="T79" s="9" t="str">
        <f t="shared" si="9"/>
        <v>Comercial</v>
      </c>
      <c r="U79">
        <v>2</v>
      </c>
      <c r="V79">
        <v>1</v>
      </c>
      <c r="W79" s="9" t="str">
        <f t="shared" si="10"/>
        <v>Casa</v>
      </c>
      <c r="X79">
        <v>2</v>
      </c>
      <c r="Y79">
        <v>1</v>
      </c>
      <c r="Z79" s="9" t="str">
        <f t="shared" si="11"/>
        <v>Propietario de la vivienda y terreno</v>
      </c>
      <c r="AA79">
        <v>6</v>
      </c>
      <c r="AB79">
        <v>2</v>
      </c>
      <c r="AC79">
        <v>4</v>
      </c>
    </row>
    <row r="80" spans="1:29" x14ac:dyDescent="0.25">
      <c r="G80">
        <v>79</v>
      </c>
      <c r="H80">
        <v>41</v>
      </c>
      <c r="I80">
        <v>1</v>
      </c>
      <c r="J80" s="9" t="str">
        <f t="shared" si="6"/>
        <v>Varón</v>
      </c>
      <c r="K80">
        <v>3</v>
      </c>
      <c r="L80" s="9" t="str">
        <f t="shared" si="7"/>
        <v>Casado</v>
      </c>
      <c r="M80">
        <v>40</v>
      </c>
      <c r="N80">
        <v>1</v>
      </c>
      <c r="O80" s="9" t="str">
        <f t="shared" si="8"/>
        <v>Patrón o empleado</v>
      </c>
      <c r="P80">
        <v>15</v>
      </c>
      <c r="Q80">
        <v>1400</v>
      </c>
      <c r="R80">
        <v>1</v>
      </c>
      <c r="S80">
        <v>5</v>
      </c>
      <c r="T80" s="9" t="str">
        <f t="shared" si="9"/>
        <v>Técnica</v>
      </c>
      <c r="U80">
        <v>1</v>
      </c>
      <c r="V80">
        <v>1</v>
      </c>
      <c r="W80" s="9" t="str">
        <f t="shared" si="10"/>
        <v>Casa</v>
      </c>
      <c r="X80">
        <v>2</v>
      </c>
      <c r="Y80">
        <v>1</v>
      </c>
      <c r="Z80" s="9" t="str">
        <f t="shared" si="11"/>
        <v>Propietario de la vivienda y terreno</v>
      </c>
      <c r="AA80">
        <v>4</v>
      </c>
      <c r="AB80">
        <v>2</v>
      </c>
      <c r="AC80">
        <v>2</v>
      </c>
    </row>
    <row r="81" spans="1:29" x14ac:dyDescent="0.25">
      <c r="A81" t="s">
        <v>343</v>
      </c>
      <c r="B81">
        <f>MIN(H2:H101)</f>
        <v>18</v>
      </c>
      <c r="G81">
        <v>80</v>
      </c>
      <c r="H81">
        <v>39</v>
      </c>
      <c r="I81">
        <v>2</v>
      </c>
      <c r="J81" s="9" t="str">
        <f t="shared" si="6"/>
        <v>Mujer</v>
      </c>
      <c r="K81">
        <v>5</v>
      </c>
      <c r="L81" s="9" t="str">
        <f t="shared" si="7"/>
        <v>Viudo</v>
      </c>
      <c r="M81">
        <v>35</v>
      </c>
      <c r="N81">
        <v>2</v>
      </c>
      <c r="O81" s="9" t="str">
        <f t="shared" si="8"/>
        <v>Trabajador por su cuenta</v>
      </c>
      <c r="P81">
        <v>8</v>
      </c>
      <c r="Q81">
        <v>780</v>
      </c>
      <c r="R81">
        <v>1</v>
      </c>
      <c r="S81">
        <v>2</v>
      </c>
      <c r="T81" s="9" t="str">
        <f t="shared" si="9"/>
        <v>Nacional</v>
      </c>
      <c r="U81">
        <v>2</v>
      </c>
      <c r="V81">
        <v>2</v>
      </c>
      <c r="W81" s="9" t="str">
        <f t="shared" si="10"/>
        <v>Departamento</v>
      </c>
      <c r="X81">
        <v>4</v>
      </c>
      <c r="Y81">
        <v>1</v>
      </c>
      <c r="Z81" s="9" t="str">
        <f t="shared" si="11"/>
        <v>Propietario de la vivienda y terreno</v>
      </c>
      <c r="AA81">
        <v>4</v>
      </c>
      <c r="AB81">
        <v>1</v>
      </c>
      <c r="AC81">
        <v>3</v>
      </c>
    </row>
    <row r="82" spans="1:29" x14ac:dyDescent="0.25">
      <c r="A82" t="s">
        <v>344</v>
      </c>
      <c r="B82">
        <f>MAX(H2:H101)</f>
        <v>69</v>
      </c>
      <c r="G82">
        <v>81</v>
      </c>
      <c r="H82">
        <v>22</v>
      </c>
      <c r="I82">
        <v>2</v>
      </c>
      <c r="J82" s="9" t="str">
        <f t="shared" si="6"/>
        <v>Mujer</v>
      </c>
      <c r="K82">
        <v>1</v>
      </c>
      <c r="L82" s="9" t="str">
        <f t="shared" si="7"/>
        <v>Soltero</v>
      </c>
      <c r="M82">
        <v>18</v>
      </c>
      <c r="N82">
        <v>3</v>
      </c>
      <c r="O82" s="9" t="str">
        <f t="shared" si="8"/>
        <v>Obrero o empleado</v>
      </c>
      <c r="P82">
        <v>3</v>
      </c>
      <c r="Q82">
        <v>460</v>
      </c>
      <c r="R82">
        <v>1</v>
      </c>
      <c r="S82">
        <v>3</v>
      </c>
      <c r="T82" s="9" t="str">
        <f t="shared" si="9"/>
        <v>Comercial</v>
      </c>
      <c r="U82">
        <v>1</v>
      </c>
      <c r="V82">
        <v>2</v>
      </c>
      <c r="W82" s="9" t="str">
        <f t="shared" si="10"/>
        <v>Departamento</v>
      </c>
      <c r="X82">
        <v>3</v>
      </c>
      <c r="Y82">
        <v>1</v>
      </c>
      <c r="Z82" s="9" t="str">
        <f t="shared" si="11"/>
        <v>Propietario de la vivienda y terreno</v>
      </c>
      <c r="AA82">
        <v>4</v>
      </c>
      <c r="AB82">
        <v>2</v>
      </c>
      <c r="AC82">
        <v>2</v>
      </c>
    </row>
    <row r="83" spans="1:29" x14ac:dyDescent="0.25">
      <c r="G83">
        <v>82</v>
      </c>
      <c r="H83">
        <v>45</v>
      </c>
      <c r="I83">
        <v>1</v>
      </c>
      <c r="J83" s="9" t="str">
        <f t="shared" si="6"/>
        <v>Varón</v>
      </c>
      <c r="K83">
        <v>4</v>
      </c>
      <c r="L83" s="9" t="str">
        <f t="shared" si="7"/>
        <v>Separado/Divorciado</v>
      </c>
      <c r="M83">
        <v>30</v>
      </c>
      <c r="N83">
        <v>3</v>
      </c>
      <c r="O83" s="9" t="str">
        <f t="shared" si="8"/>
        <v>Obrero o empleado</v>
      </c>
      <c r="P83">
        <v>12</v>
      </c>
      <c r="Q83">
        <v>280</v>
      </c>
      <c r="R83">
        <v>1</v>
      </c>
      <c r="S83">
        <v>4</v>
      </c>
      <c r="T83" s="9" t="str">
        <f t="shared" si="9"/>
        <v>Normal</v>
      </c>
      <c r="U83">
        <v>2</v>
      </c>
      <c r="V83">
        <v>2</v>
      </c>
      <c r="W83" s="9" t="str">
        <f t="shared" si="10"/>
        <v>Departamento</v>
      </c>
      <c r="X83">
        <v>3</v>
      </c>
      <c r="Y83">
        <v>1</v>
      </c>
      <c r="Z83" s="9" t="str">
        <f t="shared" si="11"/>
        <v>Propietario de la vivienda y terreno</v>
      </c>
      <c r="AA83">
        <v>7</v>
      </c>
      <c r="AB83">
        <v>3</v>
      </c>
      <c r="AC83">
        <v>4</v>
      </c>
    </row>
    <row r="84" spans="1:29" x14ac:dyDescent="0.25">
      <c r="A84" s="1" t="s">
        <v>345</v>
      </c>
      <c r="G84">
        <v>83</v>
      </c>
      <c r="H84">
        <v>26</v>
      </c>
      <c r="I84">
        <v>1</v>
      </c>
      <c r="J84" s="9" t="str">
        <f t="shared" si="6"/>
        <v>Varón</v>
      </c>
      <c r="K84">
        <v>1</v>
      </c>
      <c r="L84" s="9" t="str">
        <f t="shared" si="7"/>
        <v>Soltero</v>
      </c>
      <c r="M84">
        <v>30</v>
      </c>
      <c r="N84">
        <v>3</v>
      </c>
      <c r="O84" s="9" t="str">
        <f t="shared" si="8"/>
        <v>Obrero o empleado</v>
      </c>
      <c r="P84">
        <v>5</v>
      </c>
      <c r="Q84">
        <v>450</v>
      </c>
      <c r="R84">
        <v>1</v>
      </c>
      <c r="S84">
        <v>5</v>
      </c>
      <c r="T84" s="9" t="str">
        <f t="shared" si="9"/>
        <v>Técnica</v>
      </c>
      <c r="U84">
        <v>1</v>
      </c>
      <c r="V84">
        <v>1</v>
      </c>
      <c r="W84" s="9" t="str">
        <f t="shared" si="10"/>
        <v>Casa</v>
      </c>
      <c r="X84">
        <v>3</v>
      </c>
      <c r="Y84">
        <v>1</v>
      </c>
      <c r="Z84" s="9" t="str">
        <f t="shared" si="11"/>
        <v>Propietario de la vivienda y terreno</v>
      </c>
      <c r="AA84">
        <v>6</v>
      </c>
      <c r="AB84">
        <v>1</v>
      </c>
      <c r="AC84">
        <v>5</v>
      </c>
    </row>
    <row r="85" spans="1:29" x14ac:dyDescent="0.25">
      <c r="B85" s="1" t="s">
        <v>132</v>
      </c>
      <c r="C85" s="1" t="s">
        <v>353</v>
      </c>
      <c r="G85">
        <v>84</v>
      </c>
      <c r="H85">
        <v>21</v>
      </c>
      <c r="I85">
        <v>2</v>
      </c>
      <c r="J85" s="9" t="str">
        <f t="shared" si="6"/>
        <v>Mujer</v>
      </c>
      <c r="K85">
        <v>1</v>
      </c>
      <c r="L85" s="9" t="str">
        <f t="shared" si="7"/>
        <v>Soltero</v>
      </c>
      <c r="M85">
        <v>18</v>
      </c>
      <c r="N85">
        <v>3</v>
      </c>
      <c r="O85" s="9" t="str">
        <f t="shared" si="8"/>
        <v>Obrero o empleado</v>
      </c>
      <c r="P85">
        <v>2</v>
      </c>
      <c r="Q85">
        <v>240</v>
      </c>
      <c r="R85">
        <v>1</v>
      </c>
      <c r="S85">
        <v>6</v>
      </c>
      <c r="T85" s="9" t="str">
        <f t="shared" si="9"/>
        <v>Otra enseñanza media</v>
      </c>
      <c r="U85">
        <v>1</v>
      </c>
      <c r="V85">
        <v>1</v>
      </c>
      <c r="W85" s="9" t="str">
        <f t="shared" si="10"/>
        <v>Casa</v>
      </c>
      <c r="X85">
        <v>4</v>
      </c>
      <c r="Y85">
        <v>1</v>
      </c>
      <c r="Z85" s="9" t="str">
        <f t="shared" si="11"/>
        <v>Propietario de la vivienda y terreno</v>
      </c>
      <c r="AA85">
        <v>5</v>
      </c>
      <c r="AB85">
        <v>1</v>
      </c>
      <c r="AC85">
        <v>4</v>
      </c>
    </row>
    <row r="86" spans="1:29" x14ac:dyDescent="0.25">
      <c r="A86">
        <v>20</v>
      </c>
      <c r="B86" t="s">
        <v>346</v>
      </c>
      <c r="C86">
        <f t="array" ref="C86:C92">FREQUENCY(H2:H101,A86:A91)</f>
        <v>10</v>
      </c>
      <c r="G86">
        <v>85</v>
      </c>
      <c r="H86">
        <v>26</v>
      </c>
      <c r="I86">
        <v>1</v>
      </c>
      <c r="J86" s="9" t="str">
        <f t="shared" si="6"/>
        <v>Varón</v>
      </c>
      <c r="K86">
        <v>1</v>
      </c>
      <c r="L86" s="9" t="str">
        <f t="shared" si="7"/>
        <v>Soltero</v>
      </c>
      <c r="M86">
        <v>25</v>
      </c>
      <c r="N86">
        <v>3</v>
      </c>
      <c r="O86" s="9" t="str">
        <f t="shared" si="8"/>
        <v>Obrero o empleado</v>
      </c>
      <c r="P86">
        <v>3</v>
      </c>
      <c r="Q86">
        <v>460</v>
      </c>
      <c r="R86">
        <v>1</v>
      </c>
      <c r="S86">
        <v>6</v>
      </c>
      <c r="T86" s="9" t="str">
        <f t="shared" si="9"/>
        <v>Otra enseñanza media</v>
      </c>
      <c r="U86">
        <v>2</v>
      </c>
      <c r="V86">
        <v>2</v>
      </c>
      <c r="W86" s="9" t="str">
        <f t="shared" si="10"/>
        <v>Departamento</v>
      </c>
      <c r="X86">
        <v>2</v>
      </c>
      <c r="Y86">
        <v>3</v>
      </c>
      <c r="Z86" s="9" t="str">
        <f t="shared" si="11"/>
        <v>Inquilino o arrendatario de la vivienda</v>
      </c>
      <c r="AA86">
        <v>1</v>
      </c>
      <c r="AB86">
        <v>1</v>
      </c>
      <c r="AC86">
        <v>0</v>
      </c>
    </row>
    <row r="87" spans="1:29" x14ac:dyDescent="0.25">
      <c r="A87">
        <v>30</v>
      </c>
      <c r="B87" t="s">
        <v>347</v>
      </c>
      <c r="C87">
        <v>26</v>
      </c>
      <c r="G87">
        <v>86</v>
      </c>
      <c r="H87">
        <v>59</v>
      </c>
      <c r="I87">
        <v>2</v>
      </c>
      <c r="J87" s="9" t="str">
        <f t="shared" si="6"/>
        <v>Mujer</v>
      </c>
      <c r="K87">
        <v>5</v>
      </c>
      <c r="L87" s="9" t="str">
        <f t="shared" si="7"/>
        <v>Viudo</v>
      </c>
      <c r="M87">
        <v>30</v>
      </c>
      <c r="N87">
        <v>3</v>
      </c>
      <c r="O87" s="9" t="str">
        <f t="shared" si="8"/>
        <v>Obrero o empleado</v>
      </c>
      <c r="P87">
        <v>20</v>
      </c>
      <c r="Q87">
        <v>390</v>
      </c>
      <c r="R87">
        <v>1</v>
      </c>
      <c r="S87">
        <v>1</v>
      </c>
      <c r="T87" s="9" t="str">
        <f t="shared" si="9"/>
        <v>Primario</v>
      </c>
      <c r="U87">
        <v>2</v>
      </c>
      <c r="V87">
        <v>1</v>
      </c>
      <c r="W87" s="9" t="str">
        <f t="shared" si="10"/>
        <v>Casa</v>
      </c>
      <c r="X87">
        <v>3</v>
      </c>
      <c r="Y87">
        <v>1</v>
      </c>
      <c r="Z87" s="9" t="str">
        <f t="shared" si="11"/>
        <v>Propietario de la vivienda y terreno</v>
      </c>
      <c r="AA87">
        <v>4</v>
      </c>
      <c r="AB87">
        <v>2</v>
      </c>
      <c r="AC87">
        <v>2</v>
      </c>
    </row>
    <row r="88" spans="1:29" x14ac:dyDescent="0.25">
      <c r="A88">
        <v>40</v>
      </c>
      <c r="B88" t="s">
        <v>348</v>
      </c>
      <c r="C88">
        <v>23</v>
      </c>
      <c r="G88">
        <v>87</v>
      </c>
      <c r="H88">
        <v>33</v>
      </c>
      <c r="I88">
        <v>1</v>
      </c>
      <c r="J88" s="9" t="str">
        <f t="shared" si="6"/>
        <v>Varón</v>
      </c>
      <c r="K88">
        <v>3</v>
      </c>
      <c r="L88" s="9" t="str">
        <f t="shared" si="7"/>
        <v>Casado</v>
      </c>
      <c r="M88">
        <v>35</v>
      </c>
      <c r="N88">
        <v>3</v>
      </c>
      <c r="O88" s="9" t="str">
        <f t="shared" si="8"/>
        <v>Obrero o empleado</v>
      </c>
      <c r="P88">
        <v>9</v>
      </c>
      <c r="Q88">
        <v>400</v>
      </c>
      <c r="R88">
        <v>1</v>
      </c>
      <c r="S88">
        <v>2</v>
      </c>
      <c r="T88" s="9" t="str">
        <f t="shared" si="9"/>
        <v>Nacional</v>
      </c>
      <c r="U88">
        <v>1</v>
      </c>
      <c r="V88">
        <v>1</v>
      </c>
      <c r="W88" s="9" t="str">
        <f t="shared" si="10"/>
        <v>Casa</v>
      </c>
      <c r="X88">
        <v>5</v>
      </c>
      <c r="Y88">
        <v>1</v>
      </c>
      <c r="Z88" s="9" t="str">
        <f t="shared" si="11"/>
        <v>Propietario de la vivienda y terreno</v>
      </c>
      <c r="AA88">
        <v>2</v>
      </c>
      <c r="AB88">
        <v>1</v>
      </c>
      <c r="AC88">
        <v>1</v>
      </c>
    </row>
    <row r="89" spans="1:29" x14ac:dyDescent="0.25">
      <c r="A89">
        <v>50</v>
      </c>
      <c r="B89" t="s">
        <v>349</v>
      </c>
      <c r="C89">
        <v>24</v>
      </c>
      <c r="G89">
        <v>88</v>
      </c>
      <c r="H89">
        <v>32</v>
      </c>
      <c r="I89">
        <v>2</v>
      </c>
      <c r="J89" s="9" t="str">
        <f t="shared" si="6"/>
        <v>Mujer</v>
      </c>
      <c r="K89">
        <v>1</v>
      </c>
      <c r="L89" s="9" t="str">
        <f t="shared" si="7"/>
        <v>Soltero</v>
      </c>
      <c r="M89">
        <v>25</v>
      </c>
      <c r="N89">
        <v>2</v>
      </c>
      <c r="O89" s="9" t="str">
        <f t="shared" si="8"/>
        <v>Trabajador por su cuenta</v>
      </c>
      <c r="P89">
        <v>4</v>
      </c>
      <c r="Q89">
        <v>560</v>
      </c>
      <c r="R89">
        <v>1</v>
      </c>
      <c r="S89">
        <v>3</v>
      </c>
      <c r="T89" s="9" t="str">
        <f t="shared" si="9"/>
        <v>Comercial</v>
      </c>
      <c r="U89">
        <v>2</v>
      </c>
      <c r="V89">
        <v>7</v>
      </c>
      <c r="W89" s="9" t="str">
        <f t="shared" si="10"/>
        <v>Vivienda en villa</v>
      </c>
      <c r="X89">
        <v>2</v>
      </c>
      <c r="Y89">
        <v>2</v>
      </c>
      <c r="Z89" s="9" t="str">
        <f t="shared" si="11"/>
        <v>Propietario de la vivienda solamente</v>
      </c>
      <c r="AA89">
        <v>2</v>
      </c>
      <c r="AB89">
        <v>1</v>
      </c>
      <c r="AC89">
        <v>1</v>
      </c>
    </row>
    <row r="90" spans="1:29" x14ac:dyDescent="0.25">
      <c r="A90">
        <v>60</v>
      </c>
      <c r="B90" t="s">
        <v>350</v>
      </c>
      <c r="C90">
        <v>13</v>
      </c>
      <c r="G90">
        <v>89</v>
      </c>
      <c r="H90">
        <v>51</v>
      </c>
      <c r="I90">
        <v>2</v>
      </c>
      <c r="J90" s="9" t="str">
        <f t="shared" si="6"/>
        <v>Mujer</v>
      </c>
      <c r="K90">
        <v>5</v>
      </c>
      <c r="L90" s="9" t="str">
        <f t="shared" si="7"/>
        <v>Viudo</v>
      </c>
      <c r="M90">
        <v>30</v>
      </c>
      <c r="N90">
        <v>3</v>
      </c>
      <c r="O90" s="9" t="str">
        <f t="shared" si="8"/>
        <v>Obrero o empleado</v>
      </c>
      <c r="P90">
        <v>18</v>
      </c>
      <c r="Q90">
        <v>670</v>
      </c>
      <c r="R90">
        <v>1</v>
      </c>
      <c r="S90">
        <v>3</v>
      </c>
      <c r="T90" s="9" t="str">
        <f t="shared" si="9"/>
        <v>Comercial</v>
      </c>
      <c r="U90">
        <v>2</v>
      </c>
      <c r="V90">
        <v>1</v>
      </c>
      <c r="W90" s="9" t="str">
        <f t="shared" si="10"/>
        <v>Casa</v>
      </c>
      <c r="X90">
        <v>1</v>
      </c>
      <c r="Y90">
        <v>1</v>
      </c>
      <c r="Z90" s="9" t="str">
        <f t="shared" si="11"/>
        <v>Propietario de la vivienda y terreno</v>
      </c>
      <c r="AA90">
        <v>3</v>
      </c>
      <c r="AB90">
        <v>1</v>
      </c>
      <c r="AC90">
        <v>2</v>
      </c>
    </row>
    <row r="91" spans="1:29" x14ac:dyDescent="0.25">
      <c r="A91">
        <v>70</v>
      </c>
      <c r="B91" t="s">
        <v>351</v>
      </c>
      <c r="C91">
        <v>4</v>
      </c>
      <c r="G91">
        <v>90</v>
      </c>
      <c r="H91">
        <v>42</v>
      </c>
      <c r="I91">
        <v>2</v>
      </c>
      <c r="J91" s="9" t="str">
        <f t="shared" si="6"/>
        <v>Mujer</v>
      </c>
      <c r="K91">
        <v>5</v>
      </c>
      <c r="L91" s="9" t="str">
        <f t="shared" si="7"/>
        <v>Viudo</v>
      </c>
      <c r="M91">
        <v>35</v>
      </c>
      <c r="N91">
        <v>3</v>
      </c>
      <c r="O91" s="9" t="str">
        <f t="shared" si="8"/>
        <v>Obrero o empleado</v>
      </c>
      <c r="P91">
        <v>10</v>
      </c>
      <c r="Q91">
        <v>320</v>
      </c>
      <c r="R91">
        <v>1</v>
      </c>
      <c r="S91">
        <v>3</v>
      </c>
      <c r="T91" s="9" t="str">
        <f t="shared" si="9"/>
        <v>Comercial</v>
      </c>
      <c r="U91">
        <v>1</v>
      </c>
      <c r="V91">
        <v>1</v>
      </c>
      <c r="W91" s="9" t="str">
        <f t="shared" si="10"/>
        <v>Casa</v>
      </c>
      <c r="X91">
        <v>3</v>
      </c>
      <c r="Y91">
        <v>1</v>
      </c>
      <c r="Z91" s="9" t="str">
        <f t="shared" si="11"/>
        <v>Propietario de la vivienda y terreno</v>
      </c>
      <c r="AA91">
        <v>5</v>
      </c>
      <c r="AB91">
        <v>2</v>
      </c>
      <c r="AC91">
        <v>3</v>
      </c>
    </row>
    <row r="92" spans="1:29" x14ac:dyDescent="0.25">
      <c r="B92" t="s">
        <v>352</v>
      </c>
      <c r="C92">
        <v>0</v>
      </c>
      <c r="G92">
        <v>91</v>
      </c>
      <c r="H92">
        <v>49</v>
      </c>
      <c r="I92">
        <v>2</v>
      </c>
      <c r="J92" s="9" t="str">
        <f t="shared" si="6"/>
        <v>Mujer</v>
      </c>
      <c r="K92">
        <v>1</v>
      </c>
      <c r="L92" s="9" t="str">
        <f t="shared" si="7"/>
        <v>Soltero</v>
      </c>
      <c r="M92">
        <v>50</v>
      </c>
      <c r="N92">
        <v>3</v>
      </c>
      <c r="O92" s="9" t="str">
        <f t="shared" si="8"/>
        <v>Obrero o empleado</v>
      </c>
      <c r="P92">
        <v>25</v>
      </c>
      <c r="Q92">
        <v>1500</v>
      </c>
      <c r="R92">
        <v>1</v>
      </c>
      <c r="S92">
        <v>8</v>
      </c>
      <c r="T92" s="9" t="str">
        <f t="shared" si="9"/>
        <v>Universitaria</v>
      </c>
      <c r="U92">
        <v>1</v>
      </c>
      <c r="V92">
        <v>3</v>
      </c>
      <c r="W92" s="9" t="str">
        <f t="shared" si="10"/>
        <v>Vivienda en lugar de trabajo</v>
      </c>
      <c r="X92">
        <v>6</v>
      </c>
      <c r="Y92">
        <v>1</v>
      </c>
      <c r="Z92" s="9" t="str">
        <f t="shared" si="11"/>
        <v>Propietario de la vivienda y terreno</v>
      </c>
      <c r="AA92">
        <v>6</v>
      </c>
      <c r="AB92">
        <v>2</v>
      </c>
      <c r="AC92">
        <v>4</v>
      </c>
    </row>
    <row r="93" spans="1:29" x14ac:dyDescent="0.25">
      <c r="G93">
        <v>92</v>
      </c>
      <c r="H93">
        <v>47</v>
      </c>
      <c r="I93">
        <v>2</v>
      </c>
      <c r="J93" s="9" t="str">
        <f t="shared" si="6"/>
        <v>Mujer</v>
      </c>
      <c r="K93">
        <v>4</v>
      </c>
      <c r="L93" s="9" t="str">
        <f t="shared" si="7"/>
        <v>Separado/Divorciado</v>
      </c>
      <c r="M93">
        <v>35</v>
      </c>
      <c r="N93">
        <v>3</v>
      </c>
      <c r="O93" s="9" t="str">
        <f t="shared" si="8"/>
        <v>Obrero o empleado</v>
      </c>
      <c r="P93">
        <v>11</v>
      </c>
      <c r="Q93">
        <v>400</v>
      </c>
      <c r="R93">
        <v>1</v>
      </c>
      <c r="S93">
        <v>3</v>
      </c>
      <c r="T93" s="9" t="str">
        <f t="shared" si="9"/>
        <v>Comercial</v>
      </c>
      <c r="U93">
        <v>1</v>
      </c>
      <c r="V93">
        <v>1</v>
      </c>
      <c r="W93" s="9" t="str">
        <f t="shared" si="10"/>
        <v>Casa</v>
      </c>
      <c r="X93">
        <v>3</v>
      </c>
      <c r="Y93">
        <v>1</v>
      </c>
      <c r="Z93" s="9" t="str">
        <f t="shared" si="11"/>
        <v>Propietario de la vivienda y terreno</v>
      </c>
      <c r="AA93">
        <v>1</v>
      </c>
      <c r="AB93">
        <v>1</v>
      </c>
      <c r="AC93">
        <v>0</v>
      </c>
    </row>
    <row r="94" spans="1:29" x14ac:dyDescent="0.25">
      <c r="G94">
        <v>93</v>
      </c>
      <c r="H94">
        <v>23</v>
      </c>
      <c r="I94">
        <v>2</v>
      </c>
      <c r="J94" s="9" t="str">
        <f t="shared" si="6"/>
        <v>Mujer</v>
      </c>
      <c r="K94">
        <v>1</v>
      </c>
      <c r="L94" s="9" t="str">
        <f t="shared" si="7"/>
        <v>Soltero</v>
      </c>
      <c r="M94">
        <v>40</v>
      </c>
      <c r="N94">
        <v>3</v>
      </c>
      <c r="O94" s="9" t="str">
        <f t="shared" si="8"/>
        <v>Obrero o empleado</v>
      </c>
      <c r="P94">
        <v>3</v>
      </c>
      <c r="Q94">
        <v>500</v>
      </c>
      <c r="R94">
        <v>1</v>
      </c>
      <c r="S94">
        <v>2</v>
      </c>
      <c r="T94" s="9" t="str">
        <f t="shared" si="9"/>
        <v>Nacional</v>
      </c>
      <c r="U94">
        <v>1</v>
      </c>
      <c r="V94">
        <v>1</v>
      </c>
      <c r="W94" s="9" t="str">
        <f t="shared" si="10"/>
        <v>Casa</v>
      </c>
      <c r="X94">
        <v>1</v>
      </c>
      <c r="Y94">
        <v>3</v>
      </c>
      <c r="Z94" s="9" t="str">
        <f t="shared" si="11"/>
        <v>Inquilino o arrendatario de la vivienda</v>
      </c>
      <c r="AA94">
        <v>2</v>
      </c>
      <c r="AB94">
        <v>1</v>
      </c>
      <c r="AC94">
        <v>1</v>
      </c>
    </row>
    <row r="95" spans="1:29" x14ac:dyDescent="0.25">
      <c r="G95">
        <v>94</v>
      </c>
      <c r="H95">
        <v>47</v>
      </c>
      <c r="I95">
        <v>2</v>
      </c>
      <c r="J95" s="9" t="str">
        <f t="shared" si="6"/>
        <v>Mujer</v>
      </c>
      <c r="K95">
        <v>3</v>
      </c>
      <c r="L95" s="9" t="str">
        <f t="shared" si="7"/>
        <v>Casado</v>
      </c>
      <c r="M95">
        <v>20</v>
      </c>
      <c r="N95">
        <v>3</v>
      </c>
      <c r="O95" s="9" t="str">
        <f t="shared" si="8"/>
        <v>Obrero o empleado</v>
      </c>
      <c r="P95">
        <v>7</v>
      </c>
      <c r="Q95">
        <v>440</v>
      </c>
      <c r="R95">
        <v>1</v>
      </c>
      <c r="S95">
        <v>8</v>
      </c>
      <c r="T95" s="9" t="str">
        <f t="shared" si="9"/>
        <v>Universitaria</v>
      </c>
      <c r="U95">
        <v>1</v>
      </c>
      <c r="V95">
        <v>1</v>
      </c>
      <c r="W95" s="9" t="str">
        <f t="shared" si="10"/>
        <v>Casa</v>
      </c>
      <c r="X95">
        <v>6</v>
      </c>
      <c r="Y95">
        <v>1</v>
      </c>
      <c r="Z95" s="9" t="str">
        <f t="shared" si="11"/>
        <v>Propietario de la vivienda y terreno</v>
      </c>
      <c r="AA95">
        <v>5</v>
      </c>
      <c r="AB95">
        <v>2</v>
      </c>
      <c r="AC95">
        <v>3</v>
      </c>
    </row>
    <row r="96" spans="1:29" x14ac:dyDescent="0.25">
      <c r="G96">
        <v>95</v>
      </c>
      <c r="H96">
        <v>44</v>
      </c>
      <c r="I96">
        <v>2</v>
      </c>
      <c r="J96" s="9" t="str">
        <f t="shared" si="6"/>
        <v>Mujer</v>
      </c>
      <c r="K96">
        <v>1</v>
      </c>
      <c r="L96" s="9" t="str">
        <f t="shared" si="7"/>
        <v>Soltero</v>
      </c>
      <c r="M96">
        <v>30</v>
      </c>
      <c r="N96">
        <v>2</v>
      </c>
      <c r="O96" s="9" t="str">
        <f t="shared" si="8"/>
        <v>Trabajador por su cuenta</v>
      </c>
      <c r="P96">
        <v>8</v>
      </c>
      <c r="Q96">
        <v>320</v>
      </c>
      <c r="R96">
        <v>2</v>
      </c>
      <c r="S96">
        <v>0</v>
      </c>
      <c r="T96" s="9" t="str">
        <f t="shared" si="9"/>
        <v>No sabe leer ni escribir</v>
      </c>
      <c r="U96">
        <v>0</v>
      </c>
      <c r="V96">
        <v>2</v>
      </c>
      <c r="W96" s="9" t="str">
        <f t="shared" si="10"/>
        <v>Departamento</v>
      </c>
      <c r="X96">
        <v>2</v>
      </c>
      <c r="Y96">
        <v>3</v>
      </c>
      <c r="Z96" s="9" t="str">
        <f t="shared" si="11"/>
        <v>Inquilino o arrendatario de la vivienda</v>
      </c>
      <c r="AA96">
        <v>2</v>
      </c>
      <c r="AB96">
        <v>2</v>
      </c>
      <c r="AC96">
        <v>0</v>
      </c>
    </row>
    <row r="97" spans="7:29" x14ac:dyDescent="0.25">
      <c r="G97">
        <v>96</v>
      </c>
      <c r="H97">
        <v>41</v>
      </c>
      <c r="I97">
        <v>2</v>
      </c>
      <c r="J97" s="9" t="str">
        <f t="shared" si="6"/>
        <v>Mujer</v>
      </c>
      <c r="K97">
        <v>1</v>
      </c>
      <c r="L97" s="9" t="str">
        <f t="shared" si="7"/>
        <v>Soltero</v>
      </c>
      <c r="M97">
        <v>45</v>
      </c>
      <c r="N97">
        <v>3</v>
      </c>
      <c r="O97" s="9" t="str">
        <f t="shared" si="8"/>
        <v>Obrero o empleado</v>
      </c>
      <c r="P97">
        <v>12</v>
      </c>
      <c r="Q97">
        <v>850</v>
      </c>
      <c r="R97">
        <v>1</v>
      </c>
      <c r="S97">
        <v>4</v>
      </c>
      <c r="T97" s="9" t="str">
        <f t="shared" si="9"/>
        <v>Normal</v>
      </c>
      <c r="U97">
        <v>2</v>
      </c>
      <c r="V97">
        <v>1</v>
      </c>
      <c r="W97" s="9" t="str">
        <f t="shared" si="10"/>
        <v>Casa</v>
      </c>
      <c r="X97">
        <v>5</v>
      </c>
      <c r="Y97">
        <v>1</v>
      </c>
      <c r="Z97" s="9" t="str">
        <f t="shared" si="11"/>
        <v>Propietario de la vivienda y terreno</v>
      </c>
      <c r="AA97">
        <v>5</v>
      </c>
      <c r="AB97">
        <v>1</v>
      </c>
      <c r="AC97">
        <v>4</v>
      </c>
    </row>
    <row r="98" spans="7:29" x14ac:dyDescent="0.25">
      <c r="G98">
        <v>97</v>
      </c>
      <c r="H98">
        <v>50</v>
      </c>
      <c r="I98">
        <v>1</v>
      </c>
      <c r="J98" s="9" t="str">
        <f t="shared" si="6"/>
        <v>Varón</v>
      </c>
      <c r="K98">
        <v>3</v>
      </c>
      <c r="L98" s="9" t="str">
        <f t="shared" si="7"/>
        <v>Casado</v>
      </c>
      <c r="M98">
        <v>35</v>
      </c>
      <c r="N98">
        <v>2</v>
      </c>
      <c r="O98" s="9" t="str">
        <f t="shared" si="8"/>
        <v>Trabajador por su cuenta</v>
      </c>
      <c r="P98">
        <v>20</v>
      </c>
      <c r="Q98">
        <v>320</v>
      </c>
      <c r="R98">
        <v>1</v>
      </c>
      <c r="S98">
        <v>1</v>
      </c>
      <c r="T98" s="9" t="str">
        <f t="shared" si="9"/>
        <v>Primario</v>
      </c>
      <c r="U98">
        <v>2</v>
      </c>
      <c r="V98">
        <v>1</v>
      </c>
      <c r="W98" s="9" t="str">
        <f t="shared" si="10"/>
        <v>Casa</v>
      </c>
      <c r="X98">
        <v>3</v>
      </c>
      <c r="Y98">
        <v>1</v>
      </c>
      <c r="Z98" s="9" t="str">
        <f t="shared" si="11"/>
        <v>Propietario de la vivienda y terreno</v>
      </c>
      <c r="AA98">
        <v>4</v>
      </c>
      <c r="AB98">
        <v>2</v>
      </c>
      <c r="AC98">
        <v>2</v>
      </c>
    </row>
    <row r="99" spans="7:29" x14ac:dyDescent="0.25">
      <c r="G99">
        <v>98</v>
      </c>
      <c r="H99">
        <v>18</v>
      </c>
      <c r="I99">
        <v>1</v>
      </c>
      <c r="J99" s="9" t="str">
        <f t="shared" si="6"/>
        <v>Varón</v>
      </c>
      <c r="K99">
        <v>1</v>
      </c>
      <c r="L99" s="9" t="str">
        <f t="shared" si="7"/>
        <v>Soltero</v>
      </c>
      <c r="M99">
        <v>25</v>
      </c>
      <c r="N99">
        <v>3</v>
      </c>
      <c r="O99" s="9" t="str">
        <f t="shared" si="8"/>
        <v>Obrero o empleado</v>
      </c>
      <c r="P99">
        <v>1</v>
      </c>
      <c r="Q99">
        <v>280</v>
      </c>
      <c r="R99">
        <v>1</v>
      </c>
      <c r="S99">
        <v>5</v>
      </c>
      <c r="T99" s="9" t="str">
        <f t="shared" si="9"/>
        <v>Técnica</v>
      </c>
      <c r="U99">
        <v>2</v>
      </c>
      <c r="V99">
        <v>1</v>
      </c>
      <c r="W99" s="9" t="str">
        <f t="shared" si="10"/>
        <v>Casa</v>
      </c>
      <c r="X99">
        <v>2</v>
      </c>
      <c r="Y99">
        <v>4</v>
      </c>
      <c r="Z99" s="9" t="str">
        <f t="shared" si="11"/>
        <v>Ocupante con relación de dependencia</v>
      </c>
      <c r="AA99">
        <v>4</v>
      </c>
      <c r="AB99">
        <v>2</v>
      </c>
      <c r="AC99">
        <v>2</v>
      </c>
    </row>
    <row r="100" spans="7:29" x14ac:dyDescent="0.25">
      <c r="G100">
        <v>99</v>
      </c>
      <c r="H100">
        <v>46</v>
      </c>
      <c r="I100">
        <v>2</v>
      </c>
      <c r="J100" s="9" t="str">
        <f t="shared" si="6"/>
        <v>Mujer</v>
      </c>
      <c r="K100">
        <v>3</v>
      </c>
      <c r="L100" s="9" t="str">
        <f t="shared" si="7"/>
        <v>Casado</v>
      </c>
      <c r="M100">
        <v>30</v>
      </c>
      <c r="N100">
        <v>3</v>
      </c>
      <c r="O100" s="9" t="str">
        <f t="shared" si="8"/>
        <v>Obrero o empleado</v>
      </c>
      <c r="P100">
        <v>15</v>
      </c>
      <c r="Q100">
        <v>420</v>
      </c>
      <c r="R100">
        <v>1</v>
      </c>
      <c r="S100">
        <v>7</v>
      </c>
      <c r="T100" s="9" t="str">
        <f t="shared" si="9"/>
        <v>Superior</v>
      </c>
      <c r="U100">
        <v>1</v>
      </c>
      <c r="V100">
        <v>2</v>
      </c>
      <c r="W100" s="9" t="str">
        <f t="shared" si="10"/>
        <v>Departamento</v>
      </c>
      <c r="X100">
        <v>1</v>
      </c>
      <c r="Y100">
        <v>3</v>
      </c>
      <c r="Z100" s="9" t="str">
        <f t="shared" si="11"/>
        <v>Inquilino o arrendatario de la vivienda</v>
      </c>
      <c r="AA100">
        <v>1</v>
      </c>
      <c r="AB100">
        <v>1</v>
      </c>
      <c r="AC100">
        <v>0</v>
      </c>
    </row>
    <row r="101" spans="7:29" x14ac:dyDescent="0.25">
      <c r="G101">
        <v>100</v>
      </c>
      <c r="H101">
        <v>28</v>
      </c>
      <c r="I101">
        <v>2</v>
      </c>
      <c r="J101" s="9" t="str">
        <f t="shared" si="6"/>
        <v>Mujer</v>
      </c>
      <c r="K101">
        <v>3</v>
      </c>
      <c r="L101" s="9" t="str">
        <f t="shared" si="7"/>
        <v>Casado</v>
      </c>
      <c r="M101">
        <v>35</v>
      </c>
      <c r="N101">
        <v>1</v>
      </c>
      <c r="O101" s="9" t="str">
        <f t="shared" si="8"/>
        <v>Patrón o empleado</v>
      </c>
      <c r="P101">
        <v>5</v>
      </c>
      <c r="Q101">
        <v>970</v>
      </c>
      <c r="R101">
        <v>1</v>
      </c>
      <c r="S101">
        <v>3</v>
      </c>
      <c r="T101" s="9" t="str">
        <f t="shared" si="9"/>
        <v>Comercial</v>
      </c>
      <c r="U101">
        <v>1</v>
      </c>
      <c r="V101">
        <v>1</v>
      </c>
      <c r="W101" s="9" t="str">
        <f t="shared" si="10"/>
        <v>Casa</v>
      </c>
      <c r="X101">
        <v>2</v>
      </c>
      <c r="Y101">
        <v>1</v>
      </c>
      <c r="Z101" s="9" t="str">
        <f t="shared" si="11"/>
        <v>Propietario de la vivienda y terreno</v>
      </c>
      <c r="AA101">
        <v>1</v>
      </c>
      <c r="AB101">
        <v>1</v>
      </c>
      <c r="AC101">
        <v>0</v>
      </c>
    </row>
  </sheetData>
  <pageMargins left="0.7" right="0.7" top="0.75" bottom="0.75" header="0.3" footer="0.3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Ej 16</vt:lpstr>
      <vt:lpstr>Ej 17</vt:lpstr>
      <vt:lpstr>Ej 18</vt:lpstr>
      <vt:lpstr>Ej 19</vt:lpstr>
      <vt:lpstr>Ej 20</vt:lpstr>
      <vt:lpstr>Ej 21</vt:lpstr>
      <vt:lpstr>Ej 22</vt:lpstr>
      <vt:lpstr>Ej 23</vt:lpstr>
      <vt:lpstr>Ej 24</vt:lpstr>
      <vt:lpstr>Ej 25</vt:lpstr>
      <vt:lpstr>Ej 26</vt:lpstr>
      <vt:lpstr>Ej 27</vt:lpstr>
      <vt:lpstr>Ej 28</vt:lpstr>
      <vt:lpstr>Ej 29</vt:lpstr>
    </vt:vector>
  </TitlesOfParts>
  <Company>Banco Central de la República Argentina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</dc:creator>
  <cp:lastModifiedBy>BCRA</cp:lastModifiedBy>
  <dcterms:created xsi:type="dcterms:W3CDTF">2016-07-25T14:07:47Z</dcterms:created>
  <dcterms:modified xsi:type="dcterms:W3CDTF">2018-03-28T16:00:35Z</dcterms:modified>
</cp:coreProperties>
</file>