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avid\Downloads\MATERIAL IMSS PLATAFORMAS TECNOLOGICAS\"/>
    </mc:Choice>
  </mc:AlternateContent>
  <xr:revisionPtr revIDLastSave="0" documentId="13_ncr:1_{E05DFE3D-9A4E-4190-9F89-FBF8A35480B6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VACA." sheetId="8" r:id="rId1"/>
    <sheet name="EJEMPLO PER." sheetId="2" r:id="rId2"/>
    <sheet name="ejemplo SBC" sheetId="1" r:id="rId3"/>
    <sheet name="CyV2025" sheetId="3" r:id="rId4"/>
    <sheet name="IMSS OBR." sheetId="5" r:id="rId5"/>
    <sheet name="IMSS PAT." sheetId="4" r:id="rId6"/>
    <sheet name="IMSS MASIVO" sheetId="6" state="hidden" r:id="rId7"/>
    <sheet name="INFON" sheetId="7" r:id="rId8"/>
    <sheet name="FALTA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J8" i="3"/>
  <c r="G8" i="3"/>
  <c r="K11" i="3"/>
  <c r="G17" i="4"/>
  <c r="E5" i="4"/>
  <c r="H5" i="5"/>
  <c r="G5" i="5"/>
  <c r="F5" i="5"/>
  <c r="G5" i="3"/>
  <c r="G11" i="3" s="1"/>
  <c r="H27" i="1"/>
  <c r="H23" i="1"/>
  <c r="H28" i="1" s="1"/>
  <c r="H22" i="1"/>
  <c r="H21" i="1"/>
  <c r="E54" i="7" l="1"/>
  <c r="D48" i="7"/>
  <c r="D50" i="7" s="1"/>
  <c r="D52" i="7" s="1"/>
  <c r="D54" i="7" s="1"/>
  <c r="D15" i="7"/>
  <c r="D29" i="7"/>
  <c r="D31" i="7" s="1"/>
  <c r="D33" i="7" s="1"/>
  <c r="E33" i="7"/>
  <c r="E15" i="7"/>
  <c r="D6" i="4"/>
  <c r="C6" i="4"/>
  <c r="H13" i="5"/>
  <c r="J13" i="5" s="1"/>
  <c r="D79" i="2"/>
  <c r="B74" i="2"/>
  <c r="B75" i="2" s="1"/>
  <c r="D60" i="2"/>
  <c r="C60" i="2"/>
  <c r="E60" i="2" s="1"/>
  <c r="D59" i="2"/>
  <c r="C59" i="2"/>
  <c r="E59" i="2" s="1"/>
  <c r="D58" i="2"/>
  <c r="C58" i="2"/>
  <c r="D57" i="2"/>
  <c r="C57" i="2"/>
  <c r="D56" i="2"/>
  <c r="C56" i="2"/>
  <c r="E56" i="2" s="1"/>
  <c r="B36" i="2"/>
  <c r="C36" i="2" s="1"/>
  <c r="D36" i="2" s="1"/>
  <c r="B32" i="2"/>
  <c r="C32" i="2" s="1"/>
  <c r="K24" i="2"/>
  <c r="B22" i="2"/>
  <c r="C22" i="2" s="1"/>
  <c r="K21" i="2"/>
  <c r="K20" i="2"/>
  <c r="K19" i="2"/>
  <c r="K18" i="2"/>
  <c r="K17" i="2"/>
  <c r="B17" i="2"/>
  <c r="B27" i="2" s="1"/>
  <c r="C27" i="2" s="1"/>
  <c r="E58" i="2" l="1"/>
  <c r="E57" i="2"/>
  <c r="L19" i="2"/>
  <c r="B6" i="2"/>
  <c r="L21" i="2"/>
  <c r="B5" i="2"/>
  <c r="B7" i="2"/>
  <c r="L20" i="2"/>
  <c r="L24" i="2"/>
  <c r="B8" i="2"/>
  <c r="L18" i="2"/>
  <c r="C17" i="2"/>
  <c r="D74" i="2"/>
  <c r="L17" i="2" l="1"/>
  <c r="L22" i="2" s="1"/>
  <c r="B4" i="2"/>
  <c r="B11" i="2" l="1"/>
  <c r="C4" i="2"/>
  <c r="C10" i="2" s="1"/>
  <c r="B13" i="2" s="1"/>
  <c r="E13" i="2" s="1"/>
  <c r="F13" i="2" s="1"/>
  <c r="L26" i="2"/>
  <c r="O22" i="2"/>
  <c r="H12" i="8" l="1"/>
  <c r="H13" i="8" s="1"/>
  <c r="H15" i="8" s="1"/>
  <c r="J18" i="8" s="1"/>
  <c r="C12" i="8"/>
  <c r="C13" i="8" s="1"/>
  <c r="C15" i="8" s="1"/>
  <c r="E18" i="8" s="1"/>
  <c r="D20" i="4"/>
  <c r="G18" i="4"/>
  <c r="G15" i="4"/>
  <c r="G14" i="4"/>
  <c r="G13" i="4"/>
  <c r="G11" i="4"/>
  <c r="G10" i="4"/>
  <c r="F5" i="4"/>
  <c r="G5" i="4" s="1"/>
  <c r="E19" i="5"/>
  <c r="H17" i="5"/>
  <c r="H12" i="5"/>
  <c r="J12" i="5" s="1"/>
  <c r="G12" i="4" l="1"/>
  <c r="H16" i="5"/>
  <c r="H14" i="5"/>
  <c r="J14" i="5" s="1"/>
  <c r="J18" i="5" s="1"/>
  <c r="G26" i="4" s="1"/>
  <c r="H15" i="5"/>
  <c r="J15" i="5" s="1"/>
  <c r="H20" i="4" l="1"/>
  <c r="H26" i="4" s="1"/>
  <c r="I26" i="4" s="1"/>
  <c r="H19" i="5"/>
  <c r="J14" i="3" l="1"/>
  <c r="O11" i="1"/>
  <c r="N12" i="1" s="1"/>
  <c r="N13" i="1" s="1"/>
  <c r="N5" i="1" s="1"/>
  <c r="O5" i="1" s="1"/>
  <c r="P5" i="1" s="1"/>
  <c r="H5" i="1"/>
  <c r="L5" i="1" s="1"/>
  <c r="K14" i="3" l="1"/>
  <c r="L14" i="3" s="1"/>
  <c r="G16" i="4" l="1"/>
  <c r="G20" i="4" s="1"/>
  <c r="L16" i="3"/>
</calcChain>
</file>

<file path=xl/sharedStrings.xml><?xml version="1.0" encoding="utf-8"?>
<sst xmlns="http://schemas.openxmlformats.org/spreadsheetml/2006/main" count="384" uniqueCount="244">
  <si>
    <t>Trabajador</t>
  </si>
  <si>
    <t xml:space="preserve">Alan Becerra </t>
  </si>
  <si>
    <t>Horas Extras</t>
  </si>
  <si>
    <t>Descanso laborado</t>
  </si>
  <si>
    <t>compensacion salarial</t>
  </si>
  <si>
    <t>comisiones</t>
  </si>
  <si>
    <t xml:space="preserve">Bono de producción </t>
  </si>
  <si>
    <t>suma de perc. Bimestrales</t>
  </si>
  <si>
    <t>BIMESTRE: MARZO - ABRIL</t>
  </si>
  <si>
    <t>Dias bimestre</t>
  </si>
  <si>
    <t xml:space="preserve">Menos faltas </t>
  </si>
  <si>
    <t>Días netos trabajados</t>
  </si>
  <si>
    <t>promedio</t>
  </si>
  <si>
    <t>(b)</t>
  </si>
  <si>
    <t>(a) / (b)</t>
  </si>
  <si>
    <t>(a)</t>
  </si>
  <si>
    <r>
      <t>¿Qué es el salario nominal? El salario nominal es la </t>
    </r>
    <r>
      <rPr>
        <sz val="10"/>
        <rFont val="Arial"/>
        <family val="2"/>
      </rPr>
      <t>cantidad que un empleado recibe por la realización de sus tareas durante la jornada de trabajo</t>
    </r>
    <r>
      <rPr>
        <sz val="10"/>
        <rFont val="Arial"/>
        <family val="2"/>
      </rPr>
      <t>. El que sale reflejado en su nómina. El salario nominal permite establecer una idea del nivel o valor real del salario en relación con las tareas desarrolladas.</t>
    </r>
  </si>
  <si>
    <t>Salario nominal al día 01 del bimestre</t>
  </si>
  <si>
    <t>factor de integración</t>
  </si>
  <si>
    <t>sbc fijo</t>
  </si>
  <si>
    <t>(d)</t>
  </si>
  <si>
    <t>días año</t>
  </si>
  <si>
    <t>Aguinaldo</t>
  </si>
  <si>
    <t>vacaciones</t>
  </si>
  <si>
    <t>prima v.</t>
  </si>
  <si>
    <t>total</t>
  </si>
  <si>
    <t>Factor</t>
  </si>
  <si>
    <t>Nuevo SBC MIXTO</t>
  </si>
  <si>
    <t>(d) x ( e)</t>
  </si>
  <si>
    <t>(f)</t>
  </si>
  <si>
    <t>( c) + (f)</t>
  </si>
  <si>
    <t>( e)</t>
  </si>
  <si>
    <t>ANALISIS SALARIO BASE DE COTIZACION MENSUAL</t>
  </si>
  <si>
    <t>PERCEPCIONES</t>
  </si>
  <si>
    <t>SALARIO BASE DE COTIZACIÓN Art. 27 LSS</t>
  </si>
  <si>
    <t>PAGO  SALARIO</t>
  </si>
  <si>
    <t>DESPENSA</t>
  </si>
  <si>
    <t>Especie</t>
  </si>
  <si>
    <t>PUNTUALIDAD</t>
  </si>
  <si>
    <t>ASISTENCIA</t>
  </si>
  <si>
    <t>HORAS EXTRAS</t>
  </si>
  <si>
    <t>SALARIO BASE DE COTIZACIÓN</t>
  </si>
  <si>
    <t>PERCEPCION MENSUAL</t>
  </si>
  <si>
    <t>SDI</t>
  </si>
  <si>
    <t>INTEGRACION DE SALARIO</t>
  </si>
  <si>
    <t>SALARIO FIJO</t>
  </si>
  <si>
    <t>DIARIO</t>
  </si>
  <si>
    <t>MENSUAL SE DIVIDE ENTRE 30 DIAS ART. 29 F-II LSS, ART. 89 LFT</t>
  </si>
  <si>
    <t>INGRESOS MENSUALES</t>
  </si>
  <si>
    <t>SALARIO VARIABLE</t>
  </si>
  <si>
    <t>ART. 30 LSS</t>
  </si>
  <si>
    <t>ISN NOMINAS</t>
  </si>
  <si>
    <t>MENSUAL</t>
  </si>
  <si>
    <t>ART.27 F-VI -40%SMG</t>
  </si>
  <si>
    <t>INGRESOS TOTALES</t>
  </si>
  <si>
    <t>ART.109 F-I LISR</t>
  </si>
  <si>
    <t>EXENTO 50% HR EXTRA</t>
  </si>
  <si>
    <t xml:space="preserve"> - 5 VSM SEMANAL</t>
  </si>
  <si>
    <t>INGRESOS GRAVABLES</t>
  </si>
  <si>
    <t>ART.113 LISR</t>
  </si>
  <si>
    <t>ART.27 F-VII -10%SBC</t>
  </si>
  <si>
    <t>POR HORA</t>
  </si>
  <si>
    <t>SEMANAL</t>
  </si>
  <si>
    <t>ART.27 F-IX DENTRO LSS</t>
  </si>
  <si>
    <t>ART.68 LFT 9 HRS SEMANA</t>
  </si>
  <si>
    <t>SUELDO DIARIO MIXTO</t>
  </si>
  <si>
    <t>ART.30 F-III LSS (ELEMENTOS)</t>
  </si>
  <si>
    <t xml:space="preserve">                                 (F Y V)</t>
  </si>
  <si>
    <t>SE EXCLUYEN (art. 27 LSS )</t>
  </si>
  <si>
    <r>
      <rPr>
        <sz val="11"/>
        <color rgb="FF00B050"/>
        <rFont val="Calibri"/>
        <family val="2"/>
        <scheme val="minor"/>
      </rPr>
      <t xml:space="preserve">Fracción I  </t>
    </r>
    <r>
      <rPr>
        <sz val="11"/>
        <color theme="1"/>
        <rFont val="Calibri"/>
        <family val="2"/>
        <scheme val="minor"/>
      </rPr>
      <t xml:space="preserve">  * Instrumentos de Trabajo (ya que son gastos para la empresa, se entregan en especie)</t>
    </r>
  </si>
  <si>
    <r>
      <rPr>
        <sz val="11"/>
        <color rgb="FF00B050"/>
        <rFont val="Calibri"/>
        <family val="2"/>
        <scheme val="minor"/>
      </rPr>
      <t xml:space="preserve">Fracción II  </t>
    </r>
    <r>
      <rPr>
        <sz val="11"/>
        <color theme="1"/>
        <rFont val="Calibri"/>
        <family val="2"/>
        <scheme val="minor"/>
      </rPr>
      <t xml:space="preserve"> * Fondo de ahorro (primero es descuento solo se entrega 2 veces al año)</t>
    </r>
  </si>
  <si>
    <r>
      <rPr>
        <sz val="11"/>
        <color rgb="FF00B050"/>
        <rFont val="Calibri"/>
        <family val="2"/>
        <scheme val="minor"/>
      </rPr>
      <t>Fracción III</t>
    </r>
    <r>
      <rPr>
        <sz val="11"/>
        <color theme="1"/>
        <rFont val="Calibri"/>
        <family val="2"/>
        <scheme val="minor"/>
      </rPr>
      <t xml:space="preserve">  * Cuotas de seguro de retiro, cesantía en edad avanzada, vejez</t>
    </r>
  </si>
  <si>
    <r>
      <rPr>
        <sz val="11"/>
        <color rgb="FF00B050"/>
        <rFont val="Calibri"/>
        <family val="2"/>
        <scheme val="minor"/>
      </rPr>
      <t xml:space="preserve">Fracción VI </t>
    </r>
    <r>
      <rPr>
        <sz val="11"/>
        <color theme="1"/>
        <rFont val="Calibri"/>
        <family val="2"/>
        <scheme val="minor"/>
      </rPr>
      <t xml:space="preserve"> * Cuotas Infonavit y PTU (PTU una vez al año)</t>
    </r>
  </si>
  <si>
    <r>
      <rPr>
        <sz val="11"/>
        <color rgb="FF00B050"/>
        <rFont val="Calibri"/>
        <family val="2"/>
        <scheme val="minor"/>
      </rPr>
      <t xml:space="preserve">Fracción V  </t>
    </r>
    <r>
      <rPr>
        <sz val="11"/>
        <color theme="1"/>
        <rFont val="Calibri"/>
        <family val="2"/>
        <scheme val="minor"/>
      </rPr>
      <t xml:space="preserve"> * Alimentación y habitación (se descuenta el 20% SMG, se entregan en especie)</t>
    </r>
  </si>
  <si>
    <r>
      <rPr>
        <sz val="11"/>
        <color rgb="FF00B050"/>
        <rFont val="Calibri"/>
        <family val="2"/>
        <scheme val="minor"/>
      </rPr>
      <t xml:space="preserve">Fracción VIII  </t>
    </r>
    <r>
      <rPr>
        <sz val="11"/>
        <color theme="1"/>
        <rFont val="Calibri"/>
        <family val="2"/>
        <scheme val="minor"/>
      </rPr>
      <t>* Fondos de planes de Pensiones con requisitos establecidos por la CONSAR</t>
    </r>
  </si>
  <si>
    <t>FACTOR PARA INTEGRACIÓN DE SALARIO</t>
  </si>
  <si>
    <t>SUELDO</t>
  </si>
  <si>
    <t>PRIMA VACACIONAL</t>
  </si>
  <si>
    <t>AGUINALDO</t>
  </si>
  <si>
    <t>FACTOR</t>
  </si>
  <si>
    <t>0 A 0.99 AÑOS</t>
  </si>
  <si>
    <t>1 A 1.99 AÑOS</t>
  </si>
  <si>
    <t>2 A 2.99 AÑOS</t>
  </si>
  <si>
    <t>3 A 3.99 AÑOS</t>
  </si>
  <si>
    <t>4 A 8.99 AÑOS</t>
  </si>
  <si>
    <t>Lim Inf</t>
  </si>
  <si>
    <t>Lim Sup</t>
  </si>
  <si>
    <t>% % 2023</t>
  </si>
  <si>
    <t>SALARIO NOMINAL</t>
  </si>
  <si>
    <t xml:space="preserve">SMG </t>
  </si>
  <si>
    <t>SMG RFN</t>
  </si>
  <si>
    <t>PARA CALCULO DE SBC</t>
  </si>
  <si>
    <t>SALARIO A USAR:</t>
  </si>
  <si>
    <t>FACTOR DE INTEGRACIÓN</t>
  </si>
  <si>
    <t>SBC</t>
  </si>
  <si>
    <t>CUOTAS DE CyV</t>
  </si>
  <si>
    <t>CUOTAS A PAGAR</t>
  </si>
  <si>
    <t>ENERO</t>
  </si>
  <si>
    <t>FEBRERO</t>
  </si>
  <si>
    <t xml:space="preserve">Proporción SBC / UMA </t>
  </si>
  <si>
    <t>PORCENTAJE</t>
  </si>
  <si>
    <t>CUOTA CyV</t>
  </si>
  <si>
    <t>TOTAL A CARGO</t>
  </si>
  <si>
    <t>ACTUALIZAR UMA CADA AÑO</t>
  </si>
  <si>
    <t>3(UMA)</t>
  </si>
  <si>
    <t>EXCEDENTE</t>
  </si>
  <si>
    <t>Dias Laborados</t>
  </si>
  <si>
    <t>UMA</t>
  </si>
  <si>
    <t>SD</t>
  </si>
  <si>
    <t xml:space="preserve">En este apartado poner el SBC y se generaran automaticamente el IMSS  a pagar en el periodo </t>
  </si>
  <si>
    <t>Tabla de clase de prima media</t>
  </si>
  <si>
    <t>salario mensual</t>
  </si>
  <si>
    <t>Prima media</t>
  </si>
  <si>
    <t>En por cientos</t>
  </si>
  <si>
    <t>Clase I</t>
  </si>
  <si>
    <t xml:space="preserve">Seguro </t>
  </si>
  <si>
    <t xml:space="preserve">prestaciones </t>
  </si>
  <si>
    <t>cuotas trabajador</t>
  </si>
  <si>
    <t>base salarial</t>
  </si>
  <si>
    <t xml:space="preserve">importe </t>
  </si>
  <si>
    <t>Clase II</t>
  </si>
  <si>
    <t>riesgos de treabajo</t>
  </si>
  <si>
    <t xml:space="preserve">en especie y dinero </t>
  </si>
  <si>
    <t>salario base de cotizacion (SBC)</t>
  </si>
  <si>
    <t>Clase III</t>
  </si>
  <si>
    <t xml:space="preserve">enfermedades y maternidad </t>
  </si>
  <si>
    <t>en especie</t>
  </si>
  <si>
    <t>Cuota fija por cada trabajador hasta por tres SMGVDF (UMA)</t>
  </si>
  <si>
    <t>SMGVDF (UMA)</t>
  </si>
  <si>
    <t>Clase IV</t>
  </si>
  <si>
    <t>cuota adicional por la diferencia del SBC y de tres VSMGVDF (UMA)</t>
  </si>
  <si>
    <t>SBC VS 3 UMA</t>
  </si>
  <si>
    <t>Clase V</t>
  </si>
  <si>
    <t>Gastos medicos para pensionados y beneficiarios</t>
  </si>
  <si>
    <t xml:space="preserve">En dinero </t>
  </si>
  <si>
    <t>Invalidez y vida</t>
  </si>
  <si>
    <t>Retiro, cesantia en edad avanzada y vejez (cv)</t>
  </si>
  <si>
    <t>retiro</t>
  </si>
  <si>
    <t>CV</t>
  </si>
  <si>
    <t>guarderias y prestaciones sociales</t>
  </si>
  <si>
    <t>Monto a pagar</t>
  </si>
  <si>
    <t>INFO</t>
  </si>
  <si>
    <t>PRIMA DE RIESGO</t>
  </si>
  <si>
    <t>Colocar Prima asignada por el IMSS</t>
  </si>
  <si>
    <t>cuotas patron</t>
  </si>
  <si>
    <t>conforme a su siniestro</t>
  </si>
  <si>
    <t>en es´pecie</t>
  </si>
  <si>
    <t>cv</t>
  </si>
  <si>
    <t>Infonavit</t>
  </si>
  <si>
    <t xml:space="preserve">VACACIONES VIGENTE </t>
  </si>
  <si>
    <t>REFORMA 2023</t>
  </si>
  <si>
    <t>DÍAS AÑO</t>
  </si>
  <si>
    <t>VACACIONES</t>
  </si>
  <si>
    <t>FACTOR VACACIONAL</t>
  </si>
  <si>
    <t>TOTAL</t>
  </si>
  <si>
    <t>FACTOR INTEGRACIÓN</t>
  </si>
  <si>
    <t xml:space="preserve">SALARIO DIARIO </t>
  </si>
  <si>
    <t xml:space="preserve">SALARIO BASE COTIZACIÓN </t>
  </si>
  <si>
    <t>INTEGRACION DE VALES DE DESPENSA</t>
  </si>
  <si>
    <t xml:space="preserve">UMA </t>
  </si>
  <si>
    <t>EXENTA 40% UMA</t>
  </si>
  <si>
    <t xml:space="preserve">DIAS MENSUALES </t>
  </si>
  <si>
    <t>EMPLEADO A</t>
  </si>
  <si>
    <t>EMPLEADO B</t>
  </si>
  <si>
    <t>VALES DE DESPENSA</t>
  </si>
  <si>
    <t>PARTE EXENTA (UMA)</t>
  </si>
  <si>
    <t>PARTE GRAVABLE</t>
  </si>
  <si>
    <t>SI GRAVA</t>
  </si>
  <si>
    <t>SI EXENTA</t>
  </si>
  <si>
    <t xml:space="preserve">FORMULA PARA PARTE EXENTA </t>
  </si>
  <si>
    <t xml:space="preserve">$ 103.74 X 30 </t>
  </si>
  <si>
    <t>ART. 71 Y 74 LSS</t>
  </si>
  <si>
    <t>art. 106-I</t>
  </si>
  <si>
    <t>art. 106-II</t>
  </si>
  <si>
    <t>ART. 25</t>
  </si>
  <si>
    <t>ART. 107-I Y II</t>
  </si>
  <si>
    <t>ART. 147</t>
  </si>
  <si>
    <t>LSS</t>
  </si>
  <si>
    <t>ART. 168-I</t>
  </si>
  <si>
    <t>ART. 168 -II</t>
  </si>
  <si>
    <t>ART. 211</t>
  </si>
  <si>
    <t>EMPLEADO: GREGORIO ALAN BECERRA TORRES</t>
  </si>
  <si>
    <t>DATOS:</t>
  </si>
  <si>
    <t xml:space="preserve">VALOR DE DESCUENTO </t>
  </si>
  <si>
    <t>SALARIO BASE DE APORTACIÓN</t>
  </si>
  <si>
    <t>DÍAS LABORADOS EN EL PERIODO</t>
  </si>
  <si>
    <t>CALCULO DE AMORTIZACIÓN</t>
  </si>
  <si>
    <t>X</t>
  </si>
  <si>
    <t>=</t>
  </si>
  <si>
    <t>x</t>
  </si>
  <si>
    <t>+</t>
  </si>
  <si>
    <t>IMPORTE DIARIO</t>
  </si>
  <si>
    <t>DIAS LABORADOS</t>
  </si>
  <si>
    <t>IMPORTE DEL PERIODO</t>
  </si>
  <si>
    <t>SEGURO DAÑOS</t>
  </si>
  <si>
    <t>SIGNO</t>
  </si>
  <si>
    <t>DESCUENTO INFONAVIT % 2023</t>
  </si>
  <si>
    <t>%</t>
  </si>
  <si>
    <t>CUOTA FIJO</t>
  </si>
  <si>
    <t>VECES DE SALARIO MINIMO</t>
  </si>
  <si>
    <t xml:space="preserve">AVISO DE RETENCIÓN </t>
  </si>
  <si>
    <t>TIPO DE NOMINA</t>
  </si>
  <si>
    <t>15 PESOS BIMESTRAL</t>
  </si>
  <si>
    <t>IMPORTE A CARGO</t>
  </si>
  <si>
    <t>TIPO DE DESCUENTO</t>
  </si>
  <si>
    <t>CUOTA FIJA</t>
  </si>
  <si>
    <t>VALOR DE DESCUENTO</t>
  </si>
  <si>
    <t>CALCULO DE DESCUENTO</t>
  </si>
  <si>
    <t>/</t>
  </si>
  <si>
    <t>DIAS MES</t>
  </si>
  <si>
    <t>IMPORTE MENSUAL</t>
  </si>
  <si>
    <t>VSMG</t>
  </si>
  <si>
    <t>UNIDAD MIXTA INFONAVIT UMI</t>
  </si>
  <si>
    <t xml:space="preserve">UNIDAD MIXTA INFONAVIT UMI </t>
  </si>
  <si>
    <t>IMPORTE MES</t>
  </si>
  <si>
    <t>DIAS LABORADOS PERIODO</t>
  </si>
  <si>
    <t>UMI SE CONOCE CADA AÑO APLICACIÓN 01 DE ENERO CADA AÑO</t>
  </si>
  <si>
    <t>UMI</t>
  </si>
  <si>
    <t>BIMESTRE</t>
  </si>
  <si>
    <t xml:space="preserve">RESUMEN </t>
  </si>
  <si>
    <t>CUOTA OBRERA</t>
  </si>
  <si>
    <t>CUOTA PATRONAL</t>
  </si>
  <si>
    <t>TABLA</t>
  </si>
  <si>
    <t>CAMBIAR EJEMPLO</t>
  </si>
  <si>
    <t>PRESTACIONES FIJAS</t>
  </si>
  <si>
    <t>SALARIO MINIMO</t>
  </si>
  <si>
    <t>(+)</t>
  </si>
  <si>
    <t xml:space="preserve">Aguinaldo </t>
  </si>
  <si>
    <t>prima vacacional</t>
  </si>
  <si>
    <t>(=)</t>
  </si>
  <si>
    <t>30 X 207.44 / 365</t>
  </si>
  <si>
    <t>12 X 207.44 X 25% / 365</t>
  </si>
  <si>
    <t>Prestaciones variables</t>
  </si>
  <si>
    <t>comisiones (sep - octubre)</t>
  </si>
  <si>
    <t>se pagan en septiembre</t>
  </si>
  <si>
    <t>SBC A PARTIR DEL 01 DE NOVIEMBRE 2023</t>
  </si>
  <si>
    <t>(-) FALTAS O INCAPACIDADES</t>
  </si>
  <si>
    <t>1 ER BIMESTRE 2025 ENERO + FEBRERO</t>
  </si>
  <si>
    <t>UMA 2024</t>
  </si>
  <si>
    <t>UMA 2025</t>
  </si>
  <si>
    <t>Calculo Cuotas IMSS obrero 2025</t>
  </si>
  <si>
    <t>TABLAS PARA CALCULO CyV 2025</t>
  </si>
  <si>
    <t xml:space="preserve">MARZO </t>
  </si>
  <si>
    <t xml:space="preserve">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</si>
</sst>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#,##0.0000"/>
    <numFmt numFmtId="166" formatCode="0.0"/>
    <numFmt numFmtId="167" formatCode="_-[$$-80A]* #,##0.00_-;\-[$$-80A]* #,##0.00_-;_-[$$-80A]* &quot;-&quot;??_-;_-@_-"/>
    <numFmt numFmtId="168" formatCode="0.000%"/>
    <numFmt numFmtId="169" formatCode="_-[$$-80A]* #,##0.000_-;\-[$$-80A]* #,##0.000_-;_-[$$-80A]* &quot;-&quot;?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800000"/>
      <name val="Segoe UI"/>
      <family val="2"/>
    </font>
    <font>
      <b/>
      <sz val="12"/>
      <color rgb="FF3A3A3A"/>
      <name val="Segoe UI"/>
      <family val="2"/>
    </font>
    <font>
      <sz val="12"/>
      <color rgb="FF3A3A3A"/>
      <name val="Segoe UI"/>
      <family val="2"/>
    </font>
    <font>
      <b/>
      <sz val="11"/>
      <color rgb="FFFF0000"/>
      <name val="Calibri"/>
      <family val="2"/>
      <charset val="1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44" fontId="0" fillId="0" borderId="0" xfId="2" applyFont="1"/>
    <xf numFmtId="44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44" fontId="0" fillId="0" borderId="1" xfId="2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44" fontId="0" fillId="0" borderId="1" xfId="0" applyNumberFormat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2" applyNumberFormat="1" applyFont="1" applyFill="1" applyBorder="1" applyAlignment="1">
      <alignment horizontal="center"/>
    </xf>
    <xf numFmtId="9" fontId="0" fillId="0" borderId="0" xfId="0" applyNumberFormat="1"/>
    <xf numFmtId="0" fontId="0" fillId="3" borderId="0" xfId="0" applyFill="1"/>
    <xf numFmtId="16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44" fontId="0" fillId="6" borderId="1" xfId="0" applyNumberFormat="1" applyFill="1" applyBorder="1"/>
    <xf numFmtId="0" fontId="9" fillId="5" borderId="1" xfId="0" applyFont="1" applyFill="1" applyBorder="1" applyAlignment="1">
      <alignment horizontal="center" vertical="center" wrapText="1"/>
    </xf>
    <xf numFmtId="44" fontId="9" fillId="5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11" fillId="7" borderId="0" xfId="0" applyFont="1" applyFill="1"/>
    <xf numFmtId="44" fontId="0" fillId="7" borderId="0" xfId="2" applyFont="1" applyFill="1"/>
    <xf numFmtId="0" fontId="0" fillId="7" borderId="0" xfId="0" applyFill="1"/>
    <xf numFmtId="0" fontId="4" fillId="7" borderId="0" xfId="0" applyFont="1" applyFill="1"/>
    <xf numFmtId="0" fontId="11" fillId="0" borderId="0" xfId="0" applyFont="1"/>
    <xf numFmtId="0" fontId="12" fillId="0" borderId="0" xfId="0" applyFont="1"/>
    <xf numFmtId="0" fontId="4" fillId="7" borderId="3" xfId="0" applyFont="1" applyFill="1" applyBorder="1"/>
    <xf numFmtId="44" fontId="4" fillId="7" borderId="3" xfId="0" applyNumberFormat="1" applyFont="1" applyFill="1" applyBorder="1"/>
    <xf numFmtId="0" fontId="4" fillId="7" borderId="4" xfId="0" applyFont="1" applyFill="1" applyBorder="1"/>
    <xf numFmtId="44" fontId="4" fillId="7" borderId="5" xfId="0" applyNumberFormat="1" applyFont="1" applyFill="1" applyBorder="1"/>
    <xf numFmtId="0" fontId="4" fillId="7" borderId="6" xfId="0" applyFont="1" applyFill="1" applyBorder="1" applyAlignment="1">
      <alignment horizontal="center"/>
    </xf>
    <xf numFmtId="44" fontId="0" fillId="7" borderId="7" xfId="0" applyNumberFormat="1" applyFill="1" applyBorder="1"/>
    <xf numFmtId="0" fontId="5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14" fillId="0" borderId="0" xfId="2" applyFont="1"/>
    <xf numFmtId="44" fontId="5" fillId="0" borderId="0" xfId="0" applyNumberFormat="1" applyFont="1"/>
    <xf numFmtId="0" fontId="2" fillId="0" borderId="0" xfId="0" applyFont="1"/>
    <xf numFmtId="44" fontId="2" fillId="0" borderId="0" xfId="0" applyNumberFormat="1" applyFont="1"/>
    <xf numFmtId="0" fontId="15" fillId="0" borderId="0" xfId="0" applyFont="1" applyAlignment="1">
      <alignment horizontal="center"/>
    </xf>
    <xf numFmtId="44" fontId="12" fillId="0" borderId="0" xfId="0" applyNumberFormat="1" applyFont="1"/>
    <xf numFmtId="44" fontId="5" fillId="0" borderId="0" xfId="2" applyFont="1" applyAlignment="1">
      <alignment horizontal="center"/>
    </xf>
    <xf numFmtId="44" fontId="3" fillId="0" borderId="0" xfId="2" applyFont="1"/>
    <xf numFmtId="0" fontId="15" fillId="0" borderId="0" xfId="0" applyFont="1"/>
    <xf numFmtId="0" fontId="16" fillId="0" borderId="0" xfId="0" applyFont="1"/>
    <xf numFmtId="1" fontId="18" fillId="0" borderId="1" xfId="0" applyNumberFormat="1" applyFont="1" applyBorder="1"/>
    <xf numFmtId="4" fontId="19" fillId="0" borderId="1" xfId="0" applyNumberFormat="1" applyFont="1" applyBorder="1"/>
    <xf numFmtId="0" fontId="19" fillId="0" borderId="1" xfId="0" applyFont="1" applyBorder="1"/>
    <xf numFmtId="0" fontId="18" fillId="0" borderId="1" xfId="0" applyFont="1" applyBorder="1"/>
    <xf numFmtId="165" fontId="18" fillId="0" borderId="1" xfId="0" applyNumberFormat="1" applyFont="1" applyBorder="1"/>
    <xf numFmtId="9" fontId="0" fillId="2" borderId="1" xfId="0" applyNumberFormat="1" applyFill="1" applyBorder="1" applyAlignment="1">
      <alignment horizontal="center"/>
    </xf>
    <xf numFmtId="14" fontId="6" fillId="2" borderId="0" xfId="0" applyNumberFormat="1" applyFont="1" applyFill="1"/>
    <xf numFmtId="2" fontId="0" fillId="0" borderId="0" xfId="0" applyNumberFormat="1"/>
    <xf numFmtId="0" fontId="6" fillId="0" borderId="0" xfId="0" applyFont="1"/>
    <xf numFmtId="166" fontId="4" fillId="2" borderId="0" xfId="0" applyNumberFormat="1" applyFont="1" applyFill="1"/>
    <xf numFmtId="0" fontId="0" fillId="6" borderId="1" xfId="0" applyFill="1" applyBorder="1" applyAlignment="1">
      <alignment horizontal="center"/>
    </xf>
    <xf numFmtId="10" fontId="0" fillId="6" borderId="0" xfId="0" applyNumberFormat="1" applyFill="1"/>
    <xf numFmtId="44" fontId="0" fillId="6" borderId="0" xfId="0" applyNumberFormat="1" applyFill="1"/>
    <xf numFmtId="0" fontId="0" fillId="0" borderId="8" xfId="0" applyBorder="1"/>
    <xf numFmtId="0" fontId="0" fillId="0" borderId="9" xfId="0" applyBorder="1"/>
    <xf numFmtId="44" fontId="0" fillId="0" borderId="9" xfId="0" applyNumberFormat="1" applyBorder="1"/>
    <xf numFmtId="44" fontId="20" fillId="6" borderId="0" xfId="0" applyNumberFormat="1" applyFont="1" applyFill="1"/>
    <xf numFmtId="44" fontId="0" fillId="2" borderId="0" xfId="2" applyFont="1" applyFill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0" borderId="10" xfId="0" applyBorder="1"/>
    <xf numFmtId="0" fontId="3" fillId="2" borderId="10" xfId="0" applyFon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left"/>
    </xf>
    <xf numFmtId="43" fontId="0" fillId="0" borderId="11" xfId="1" applyFont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0" fontId="22" fillId="4" borderId="1" xfId="0" applyFont="1" applyFill="1" applyBorder="1" applyAlignment="1">
      <alignment wrapText="1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left"/>
    </xf>
    <xf numFmtId="0" fontId="24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wrapText="1"/>
    </xf>
    <xf numFmtId="167" fontId="0" fillId="0" borderId="14" xfId="0" applyNumberFormat="1" applyBorder="1" applyAlignment="1">
      <alignment horizontal="center"/>
    </xf>
    <xf numFmtId="167" fontId="0" fillId="0" borderId="0" xfId="0" applyNumberFormat="1"/>
    <xf numFmtId="0" fontId="25" fillId="7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169" fontId="0" fillId="0" borderId="14" xfId="0" applyNumberFormat="1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0" fillId="2" borderId="10" xfId="0" applyFill="1" applyBorder="1" applyAlignment="1">
      <alignment horizontal="center"/>
    </xf>
    <xf numFmtId="43" fontId="0" fillId="2" borderId="1" xfId="1" applyFont="1" applyFill="1" applyBorder="1" applyAlignment="1" applyProtection="1">
      <alignment horizontal="center"/>
    </xf>
    <xf numFmtId="0" fontId="26" fillId="9" borderId="0" xfId="0" applyFont="1" applyFill="1"/>
    <xf numFmtId="43" fontId="0" fillId="0" borderId="14" xfId="0" applyNumberFormat="1" applyBorder="1" applyAlignment="1">
      <alignment horizontal="center" vertical="center"/>
    </xf>
    <xf numFmtId="43" fontId="0" fillId="0" borderId="14" xfId="0" applyNumberForma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164" fontId="29" fillId="0" borderId="0" xfId="0" applyNumberFormat="1" applyFont="1"/>
    <xf numFmtId="44" fontId="6" fillId="0" borderId="0" xfId="2" applyFont="1"/>
    <xf numFmtId="0" fontId="0" fillId="6" borderId="1" xfId="0" applyFill="1" applyBorder="1"/>
    <xf numFmtId="0" fontId="0" fillId="10" borderId="1" xfId="0" applyFill="1" applyBorder="1"/>
    <xf numFmtId="44" fontId="0" fillId="10" borderId="1" xfId="0" applyNumberFormat="1" applyFill="1" applyBorder="1"/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67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3" borderId="14" xfId="0" applyFill="1" applyBorder="1" applyAlignment="1">
      <alignment vertical="top" wrapText="1"/>
    </xf>
    <xf numFmtId="10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wrapText="1"/>
    </xf>
    <xf numFmtId="168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7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2" borderId="18" xfId="0" applyFill="1" applyBorder="1" applyAlignment="1">
      <alignment horizontal="left" vertical="top"/>
    </xf>
    <xf numFmtId="0" fontId="0" fillId="2" borderId="13" xfId="0" applyFill="1" applyBorder="1"/>
    <xf numFmtId="17" fontId="0" fillId="0" borderId="19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 vertical="center" wrapText="1"/>
    </xf>
    <xf numFmtId="43" fontId="0" fillId="3" borderId="14" xfId="0" applyNumberFormat="1" applyFill="1" applyBorder="1" applyAlignment="1">
      <alignment horizontal="center"/>
    </xf>
    <xf numFmtId="0" fontId="0" fillId="3" borderId="14" xfId="0" applyFill="1" applyBorder="1"/>
    <xf numFmtId="44" fontId="0" fillId="0" borderId="14" xfId="2" applyFont="1" applyBorder="1" applyAlignment="1">
      <alignment horizontal="center"/>
    </xf>
    <xf numFmtId="0" fontId="31" fillId="2" borderId="0" xfId="0" applyFont="1" applyFill="1"/>
    <xf numFmtId="0" fontId="4" fillId="0" borderId="22" xfId="0" applyFont="1" applyBorder="1"/>
    <xf numFmtId="44" fontId="0" fillId="0" borderId="24" xfId="2" applyFont="1" applyBorder="1"/>
    <xf numFmtId="0" fontId="4" fillId="0" borderId="23" xfId="0" applyFont="1" applyBorder="1"/>
    <xf numFmtId="0" fontId="0" fillId="0" borderId="26" xfId="0" applyBorder="1"/>
    <xf numFmtId="0" fontId="4" fillId="0" borderId="24" xfId="0" applyFont="1" applyBorder="1"/>
    <xf numFmtId="9" fontId="4" fillId="0" borderId="22" xfId="0" applyNumberFormat="1" applyFont="1" applyBorder="1"/>
    <xf numFmtId="44" fontId="4" fillId="0" borderId="26" xfId="2" applyFont="1" applyBorder="1"/>
    <xf numFmtId="0" fontId="0" fillId="0" borderId="23" xfId="0" applyBorder="1"/>
    <xf numFmtId="0" fontId="0" fillId="0" borderId="22" xfId="0" applyBorder="1"/>
    <xf numFmtId="9" fontId="0" fillId="0" borderId="20" xfId="0" applyNumberFormat="1" applyBorder="1"/>
    <xf numFmtId="44" fontId="1" fillId="0" borderId="26" xfId="2" applyFont="1" applyBorder="1"/>
    <xf numFmtId="0" fontId="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2" fillId="11" borderId="20" xfId="0" applyFont="1" applyFill="1" applyBorder="1" applyAlignment="1">
      <alignment horizontal="center"/>
    </xf>
    <xf numFmtId="44" fontId="0" fillId="0" borderId="26" xfId="0" applyNumberFormat="1" applyBorder="1"/>
    <xf numFmtId="0" fontId="0" fillId="0" borderId="20" xfId="0" applyBorder="1"/>
    <xf numFmtId="44" fontId="0" fillId="0" borderId="22" xfId="0" applyNumberFormat="1" applyBorder="1"/>
    <xf numFmtId="0" fontId="0" fillId="2" borderId="20" xfId="0" applyFill="1" applyBorder="1"/>
    <xf numFmtId="44" fontId="0" fillId="2" borderId="20" xfId="0" applyNumberFormat="1" applyFill="1" applyBorder="1"/>
    <xf numFmtId="9" fontId="4" fillId="0" borderId="22" xfId="0" applyNumberFormat="1" applyFont="1" applyBorder="1" applyAlignment="1">
      <alignment horizontal="center"/>
    </xf>
    <xf numFmtId="0" fontId="4" fillId="0" borderId="20" xfId="0" applyFont="1" applyBorder="1"/>
    <xf numFmtId="44" fontId="0" fillId="0" borderId="20" xfId="2" applyFont="1" applyBorder="1"/>
    <xf numFmtId="0" fontId="4" fillId="0" borderId="26" xfId="2" applyNumberFormat="1" applyFont="1" applyBorder="1"/>
    <xf numFmtId="43" fontId="34" fillId="2" borderId="0" xfId="0" applyNumberFormat="1" applyFont="1" applyFill="1"/>
    <xf numFmtId="0" fontId="37" fillId="0" borderId="0" xfId="0" applyFont="1"/>
    <xf numFmtId="44" fontId="36" fillId="0" borderId="0" xfId="2" applyFont="1" applyAlignment="1">
      <alignment horizontal="center"/>
    </xf>
    <xf numFmtId="44" fontId="36" fillId="0" borderId="0" xfId="2" applyFont="1"/>
    <xf numFmtId="0" fontId="35" fillId="0" borderId="0" xfId="0" applyFont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center"/>
    </xf>
    <xf numFmtId="43" fontId="8" fillId="2" borderId="1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44" fontId="4" fillId="7" borderId="27" xfId="0" applyNumberFormat="1" applyFont="1" applyFill="1" applyBorder="1"/>
    <xf numFmtId="6" fontId="0" fillId="0" borderId="0" xfId="0" applyNumberFormat="1"/>
    <xf numFmtId="8" fontId="0" fillId="0" borderId="0" xfId="0" applyNumberFormat="1"/>
    <xf numFmtId="44" fontId="0" fillId="2" borderId="0" xfId="0" applyNumberFormat="1" applyFill="1"/>
    <xf numFmtId="0" fontId="38" fillId="0" borderId="0" xfId="0" applyFont="1"/>
    <xf numFmtId="0" fontId="0" fillId="2" borderId="14" xfId="0" applyFill="1" applyBorder="1"/>
    <xf numFmtId="43" fontId="0" fillId="2" borderId="14" xfId="0" applyNumberFormat="1" applyFill="1" applyBorder="1" applyAlignment="1">
      <alignment horizontal="center"/>
    </xf>
    <xf numFmtId="44" fontId="39" fillId="0" borderId="0" xfId="0" applyNumberFormat="1" applyFont="1"/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8" fillId="0" borderId="14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/>
    </xf>
    <xf numFmtId="10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center"/>
    </xf>
    <xf numFmtId="168" fontId="0" fillId="3" borderId="14" xfId="0" applyNumberFormat="1" applyFill="1" applyBorder="1" applyAlignment="1">
      <alignment horizontal="center" vertical="center"/>
    </xf>
    <xf numFmtId="168" fontId="0" fillId="3" borderId="14" xfId="0" applyNumberFormat="1" applyFill="1" applyBorder="1" applyAlignment="1">
      <alignment horizontal="center"/>
    </xf>
    <xf numFmtId="168" fontId="0" fillId="2" borderId="14" xfId="0" applyNumberFormat="1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168" fontId="0" fillId="0" borderId="14" xfId="0" applyNumberFormat="1" applyBorder="1" applyAlignment="1">
      <alignment horizontal="center"/>
    </xf>
    <xf numFmtId="0" fontId="0" fillId="0" borderId="14" xfId="3" applyNumberFormat="1" applyFont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168" fontId="8" fillId="2" borderId="14" xfId="0" applyNumberFormat="1" applyFont="1" applyFill="1" applyBorder="1" applyAlignment="1">
      <alignment horizontal="center"/>
    </xf>
    <xf numFmtId="9" fontId="0" fillId="2" borderId="14" xfId="3" applyFont="1" applyFill="1" applyBorder="1" applyAlignment="1">
      <alignment horizontal="center"/>
    </xf>
    <xf numFmtId="0" fontId="0" fillId="2" borderId="14" xfId="3" applyNumberFormat="1" applyFont="1" applyFill="1" applyBorder="1" applyAlignment="1">
      <alignment horizontal="center"/>
    </xf>
    <xf numFmtId="168" fontId="0" fillId="2" borderId="16" xfId="0" applyNumberFormat="1" applyFill="1" applyBorder="1" applyAlignment="1">
      <alignment horizontal="center"/>
    </xf>
    <xf numFmtId="168" fontId="0" fillId="2" borderId="13" xfId="0" applyNumberFormat="1" applyFill="1" applyBorder="1" applyAlignment="1">
      <alignment horizontal="center"/>
    </xf>
    <xf numFmtId="0" fontId="40" fillId="4" borderId="0" xfId="0" applyFont="1" applyFill="1" applyAlignment="1">
      <alignment horizontal="center"/>
    </xf>
    <xf numFmtId="1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left" vertical="top" wrapText="1"/>
    </xf>
    <xf numFmtId="0" fontId="6" fillId="3" borderId="2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26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26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3" fillId="11" borderId="21" xfId="0" applyFont="1" applyFill="1" applyBorder="1" applyAlignment="1">
      <alignment horizontal="center"/>
    </xf>
    <xf numFmtId="0" fontId="33" fillId="11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0</xdr:row>
      <xdr:rowOff>180975</xdr:rowOff>
    </xdr:from>
    <xdr:to>
      <xdr:col>10</xdr:col>
      <xdr:colOff>695325</xdr:colOff>
      <xdr:row>12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80975"/>
          <a:ext cx="2943225" cy="2190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1</xdr:row>
      <xdr:rowOff>19051</xdr:rowOff>
    </xdr:from>
    <xdr:to>
      <xdr:col>28</xdr:col>
      <xdr:colOff>723900</xdr:colOff>
      <xdr:row>23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102BA5-FA24-BB6C-07D3-5E52AECA7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97" t="30693" r="7163" b="11562"/>
        <a:stretch>
          <a:fillRect/>
        </a:stretch>
      </xdr:blipFill>
      <xdr:spPr>
        <a:xfrm>
          <a:off x="11239500" y="209551"/>
          <a:ext cx="11258550" cy="422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95250</xdr:rowOff>
    </xdr:from>
    <xdr:to>
      <xdr:col>8</xdr:col>
      <xdr:colOff>447675</xdr:colOff>
      <xdr:row>5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6248400" y="1143000"/>
          <a:ext cx="200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18</xdr:row>
      <xdr:rowOff>152400</xdr:rowOff>
    </xdr:from>
    <xdr:to>
      <xdr:col>9</xdr:col>
      <xdr:colOff>0</xdr:colOff>
      <xdr:row>18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848600" y="6134100"/>
          <a:ext cx="676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2</xdr:row>
      <xdr:rowOff>209550</xdr:rowOff>
    </xdr:from>
    <xdr:to>
      <xdr:col>9</xdr:col>
      <xdr:colOff>476250</xdr:colOff>
      <xdr:row>3</xdr:row>
      <xdr:rowOff>161925</xdr:rowOff>
    </xdr:to>
    <xdr:sp macro="" textlink="">
      <xdr:nvSpPr>
        <xdr:cNvPr id="4" name="Flecha doblad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838825" y="590550"/>
          <a:ext cx="3162300" cy="219075"/>
        </a:xfrm>
        <a:prstGeom prst="ben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5</xdr:row>
      <xdr:rowOff>95250</xdr:rowOff>
    </xdr:from>
    <xdr:to>
      <xdr:col>7</xdr:col>
      <xdr:colOff>431800</xdr:colOff>
      <xdr:row>5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7302500" y="1158875"/>
          <a:ext cx="2432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19</xdr:row>
      <xdr:rowOff>152400</xdr:rowOff>
    </xdr:from>
    <xdr:to>
      <xdr:col>8</xdr:col>
      <xdr:colOff>0</xdr:colOff>
      <xdr:row>19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8343900" y="6124575"/>
          <a:ext cx="676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6</xdr:row>
      <xdr:rowOff>190500</xdr:rowOff>
    </xdr:from>
    <xdr:to>
      <xdr:col>7</xdr:col>
      <xdr:colOff>542925</xdr:colOff>
      <xdr:row>9</xdr:row>
      <xdr:rowOff>219075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3705225" y="1847850"/>
          <a:ext cx="5133975" cy="6667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851</xdr:colOff>
      <xdr:row>18</xdr:row>
      <xdr:rowOff>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</xdr:colOff>
      <xdr:row>0</xdr:row>
      <xdr:rowOff>0</xdr:rowOff>
    </xdr:from>
    <xdr:to>
      <xdr:col>15</xdr:col>
      <xdr:colOff>741891</xdr:colOff>
      <xdr:row>17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4" y="0"/>
          <a:ext cx="6028267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18"/>
  <sheetViews>
    <sheetView showGridLines="0" workbookViewId="0">
      <selection activeCell="H1" sqref="H1"/>
    </sheetView>
  </sheetViews>
  <sheetFormatPr baseColWidth="10" defaultRowHeight="15" x14ac:dyDescent="0.25"/>
  <cols>
    <col min="1" max="1" width="2.85546875" customWidth="1"/>
    <col min="2" max="2" width="22.7109375" customWidth="1"/>
    <col min="4" max="4" width="13.5703125" customWidth="1"/>
    <col min="5" max="5" width="14.140625" customWidth="1"/>
    <col min="6" max="6" width="16.140625" customWidth="1"/>
    <col min="7" max="7" width="22.5703125" customWidth="1"/>
  </cols>
  <sheetData>
    <row r="5" spans="2:10" x14ac:dyDescent="0.25">
      <c r="B5" s="183" t="s">
        <v>149</v>
      </c>
      <c r="C5" s="183"/>
      <c r="D5" s="183"/>
      <c r="E5" s="183"/>
      <c r="F5" s="4"/>
      <c r="G5" s="184" t="s">
        <v>150</v>
      </c>
      <c r="H5" s="184"/>
      <c r="I5" s="184"/>
      <c r="J5" s="184"/>
    </row>
    <row r="6" spans="2:10" x14ac:dyDescent="0.25">
      <c r="B6" s="183"/>
      <c r="C6" s="183"/>
      <c r="D6" s="183"/>
      <c r="E6" s="183"/>
      <c r="F6" s="4"/>
      <c r="G6" s="184"/>
      <c r="H6" s="184"/>
      <c r="I6" s="184"/>
      <c r="J6" s="184"/>
    </row>
    <row r="8" spans="2:10" x14ac:dyDescent="0.25">
      <c r="B8" s="3" t="s">
        <v>151</v>
      </c>
      <c r="C8" s="107">
        <v>365</v>
      </c>
      <c r="G8" s="3" t="s">
        <v>151</v>
      </c>
      <c r="H8" s="107">
        <v>365</v>
      </c>
    </row>
    <row r="9" spans="2:10" x14ac:dyDescent="0.25">
      <c r="B9" s="3" t="s">
        <v>78</v>
      </c>
      <c r="C9" s="107">
        <v>15</v>
      </c>
      <c r="G9" s="3" t="s">
        <v>78</v>
      </c>
      <c r="H9" s="107">
        <v>15</v>
      </c>
    </row>
    <row r="10" spans="2:10" x14ac:dyDescent="0.25">
      <c r="B10" s="3" t="s">
        <v>152</v>
      </c>
      <c r="C10">
        <v>6</v>
      </c>
      <c r="G10" s="3" t="s">
        <v>152</v>
      </c>
      <c r="H10">
        <v>12</v>
      </c>
    </row>
    <row r="11" spans="2:10" x14ac:dyDescent="0.25">
      <c r="B11" s="108" t="s">
        <v>77</v>
      </c>
      <c r="C11" s="17">
        <v>0.25</v>
      </c>
      <c r="G11" s="108" t="s">
        <v>77</v>
      </c>
      <c r="H11" s="17">
        <v>0.25</v>
      </c>
    </row>
    <row r="12" spans="2:10" x14ac:dyDescent="0.25">
      <c r="B12" s="109" t="s">
        <v>153</v>
      </c>
      <c r="C12" s="107">
        <f>C10*C11</f>
        <v>1.5</v>
      </c>
      <c r="G12" s="109" t="s">
        <v>153</v>
      </c>
      <c r="H12" s="107">
        <f>H10*H11</f>
        <v>3</v>
      </c>
    </row>
    <row r="13" spans="2:10" x14ac:dyDescent="0.25">
      <c r="B13" s="3" t="s">
        <v>154</v>
      </c>
      <c r="C13">
        <f>C8+C9+C12</f>
        <v>381.5</v>
      </c>
      <c r="G13" s="3" t="s">
        <v>154</v>
      </c>
      <c r="H13">
        <f>H8+H9+H12</f>
        <v>383</v>
      </c>
    </row>
    <row r="14" spans="2:10" x14ac:dyDescent="0.25">
      <c r="B14" s="3" t="s">
        <v>151</v>
      </c>
      <c r="C14" s="69">
        <v>365</v>
      </c>
      <c r="G14" s="3" t="s">
        <v>151</v>
      </c>
      <c r="H14" s="69">
        <v>365</v>
      </c>
    </row>
    <row r="15" spans="2:10" ht="18.75" x14ac:dyDescent="0.3">
      <c r="B15" s="3" t="s">
        <v>155</v>
      </c>
      <c r="C15" s="110">
        <f>C13/C14</f>
        <v>1.0452054794520549</v>
      </c>
      <c r="G15" s="3" t="s">
        <v>155</v>
      </c>
      <c r="H15" s="110">
        <f>H13/H14</f>
        <v>1.0493150684931507</v>
      </c>
    </row>
    <row r="16" spans="2:10" x14ac:dyDescent="0.25">
      <c r="B16" s="3"/>
    </row>
    <row r="17" spans="3:10" x14ac:dyDescent="0.25">
      <c r="C17" t="s">
        <v>156</v>
      </c>
      <c r="E17" s="111">
        <v>250</v>
      </c>
      <c r="H17" t="s">
        <v>156</v>
      </c>
      <c r="J17" s="111">
        <v>250</v>
      </c>
    </row>
    <row r="18" spans="3:10" x14ac:dyDescent="0.25">
      <c r="C18" t="s">
        <v>157</v>
      </c>
      <c r="E18" s="111">
        <f>C15*E17</f>
        <v>261.30136986301375</v>
      </c>
      <c r="H18" t="s">
        <v>157</v>
      </c>
      <c r="J18" s="111">
        <f>H15*J17</f>
        <v>262.32876712328766</v>
      </c>
    </row>
  </sheetData>
  <mergeCells count="2">
    <mergeCell ref="B5:E6"/>
    <mergeCell ref="G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"/>
  <sheetViews>
    <sheetView showGridLines="0" workbookViewId="0">
      <selection activeCell="J2" sqref="J2"/>
    </sheetView>
  </sheetViews>
  <sheetFormatPr baseColWidth="10" defaultRowHeight="15" x14ac:dyDescent="0.25"/>
  <cols>
    <col min="1" max="1" width="26.5703125" bestFit="1" customWidth="1"/>
    <col min="2" max="2" width="23.42578125" customWidth="1"/>
    <col min="3" max="3" width="17.85546875" customWidth="1"/>
    <col min="7" max="7" width="10.85546875" bestFit="1" customWidth="1"/>
    <col min="10" max="10" width="6" customWidth="1"/>
    <col min="11" max="11" width="21" bestFit="1" customWidth="1"/>
    <col min="12" max="12" width="12.140625" bestFit="1" customWidth="1"/>
  </cols>
  <sheetData>
    <row r="1" spans="1:16" x14ac:dyDescent="0.25">
      <c r="B1" s="3" t="s">
        <v>32</v>
      </c>
    </row>
    <row r="2" spans="1:16" x14ac:dyDescent="0.25">
      <c r="B2" s="3"/>
    </row>
    <row r="3" spans="1:16" x14ac:dyDescent="0.25">
      <c r="B3" s="2" t="s">
        <v>33</v>
      </c>
      <c r="C3" s="29" t="s">
        <v>34</v>
      </c>
    </row>
    <row r="4" spans="1:16" x14ac:dyDescent="0.25">
      <c r="A4" s="30" t="s">
        <v>35</v>
      </c>
      <c r="B4" s="5">
        <f>+C17</f>
        <v>30000</v>
      </c>
      <c r="C4" s="6">
        <f>+B4</f>
        <v>30000</v>
      </c>
    </row>
    <row r="5" spans="1:16" x14ac:dyDescent="0.25">
      <c r="A5" s="31" t="s">
        <v>36</v>
      </c>
      <c r="B5" s="32">
        <f>+C22</f>
        <v>2074.4400000000005</v>
      </c>
      <c r="C5" s="33"/>
      <c r="D5" s="33"/>
      <c r="E5" s="34" t="s">
        <v>37</v>
      </c>
      <c r="F5" s="33"/>
    </row>
    <row r="6" spans="1:16" x14ac:dyDescent="0.25">
      <c r="A6" s="35" t="s">
        <v>38</v>
      </c>
      <c r="B6" s="5">
        <f>+C27</f>
        <v>3000</v>
      </c>
      <c r="C6">
        <v>0</v>
      </c>
    </row>
    <row r="7" spans="1:16" x14ac:dyDescent="0.25">
      <c r="A7" s="35" t="s">
        <v>39</v>
      </c>
      <c r="B7" s="5">
        <f>+C32</f>
        <v>3000</v>
      </c>
    </row>
    <row r="8" spans="1:16" x14ac:dyDescent="0.25">
      <c r="A8" s="35" t="s">
        <v>40</v>
      </c>
      <c r="B8" s="5">
        <f>+D36</f>
        <v>4500</v>
      </c>
    </row>
    <row r="9" spans="1:16" ht="15.75" thickBot="1" x14ac:dyDescent="0.3">
      <c r="H9" s="36"/>
      <c r="I9" s="36"/>
      <c r="J9" s="36"/>
      <c r="K9" s="36"/>
      <c r="L9" s="36"/>
    </row>
    <row r="10" spans="1:16" ht="15.75" thickBot="1" x14ac:dyDescent="0.3">
      <c r="A10" s="37" t="s">
        <v>41</v>
      </c>
      <c r="C10" s="38">
        <f>SUM(C4:C9)</f>
        <v>30000</v>
      </c>
      <c r="G10" s="6"/>
      <c r="H10" s="36"/>
      <c r="I10" s="36"/>
      <c r="J10" s="36"/>
      <c r="K10" s="36"/>
      <c r="L10" s="36"/>
    </row>
    <row r="11" spans="1:16" ht="15.75" thickBot="1" x14ac:dyDescent="0.3">
      <c r="A11" s="39" t="s">
        <v>42</v>
      </c>
      <c r="B11" s="40">
        <f>SUM(B4:B10)</f>
        <v>42574.44</v>
      </c>
      <c r="G11" s="6"/>
      <c r="H11" s="36"/>
      <c r="I11" s="36"/>
      <c r="J11" s="36"/>
      <c r="K11" s="36"/>
      <c r="L11" s="36"/>
    </row>
    <row r="12" spans="1:16" x14ac:dyDescent="0.25">
      <c r="E12" s="41" t="s">
        <v>43</v>
      </c>
      <c r="H12" s="36"/>
      <c r="I12" s="36"/>
      <c r="J12" s="36"/>
      <c r="K12" s="36"/>
      <c r="L12" s="36"/>
    </row>
    <row r="13" spans="1:16" ht="15.75" thickBot="1" x14ac:dyDescent="0.3">
      <c r="A13" t="s">
        <v>44</v>
      </c>
      <c r="B13" s="6">
        <f>C10/30</f>
        <v>1000</v>
      </c>
      <c r="E13" s="42">
        <f>B13*F56</f>
        <v>1045.1999999999998</v>
      </c>
      <c r="F13" s="6">
        <f>E13*62</f>
        <v>64802.399999999987</v>
      </c>
      <c r="H13" s="36"/>
      <c r="I13" s="36"/>
      <c r="J13" s="36"/>
      <c r="K13" s="36"/>
      <c r="L13" s="36"/>
    </row>
    <row r="14" spans="1:16" x14ac:dyDescent="0.25">
      <c r="H14" s="36"/>
      <c r="I14" s="36"/>
      <c r="J14" s="36"/>
      <c r="K14" s="43"/>
      <c r="L14" s="43"/>
    </row>
    <row r="15" spans="1:16" x14ac:dyDescent="0.25">
      <c r="H15" s="36"/>
      <c r="I15" s="36"/>
      <c r="J15" s="36"/>
      <c r="K15" s="43"/>
      <c r="L15" s="43"/>
      <c r="M15" s="43"/>
      <c r="N15" s="43"/>
      <c r="O15" s="43"/>
      <c r="P15" s="43"/>
    </row>
    <row r="16" spans="1:16" x14ac:dyDescent="0.25">
      <c r="A16" s="30" t="s">
        <v>45</v>
      </c>
      <c r="B16" s="2" t="s">
        <v>46</v>
      </c>
      <c r="C16" s="44" t="s">
        <v>47</v>
      </c>
      <c r="H16" s="36"/>
      <c r="I16" s="36"/>
      <c r="J16" s="36"/>
      <c r="K16" s="45" t="s">
        <v>48</v>
      </c>
      <c r="L16" s="43"/>
      <c r="M16" s="43"/>
      <c r="N16" s="43"/>
      <c r="O16" s="43"/>
      <c r="P16" s="43"/>
    </row>
    <row r="17" spans="1:16" ht="17.25" x14ac:dyDescent="0.4">
      <c r="B17" s="46">
        <f>30000/30</f>
        <v>1000</v>
      </c>
      <c r="C17" s="5">
        <f>B17*30</f>
        <v>30000</v>
      </c>
      <c r="H17" s="36"/>
      <c r="I17" s="36"/>
      <c r="J17" s="36"/>
      <c r="K17" s="43" t="str">
        <f>+A16</f>
        <v>SALARIO FIJO</v>
      </c>
      <c r="L17" s="47">
        <f>C17</f>
        <v>30000</v>
      </c>
      <c r="M17" s="43"/>
      <c r="N17" s="43"/>
      <c r="O17" s="43"/>
      <c r="P17" s="43"/>
    </row>
    <row r="18" spans="1:16" x14ac:dyDescent="0.25">
      <c r="H18" s="36"/>
      <c r="I18" s="36"/>
      <c r="J18" s="36"/>
      <c r="K18" s="43" t="str">
        <f>A35</f>
        <v>HORAS EXTRAS</v>
      </c>
      <c r="L18" s="47">
        <f>D36</f>
        <v>4500</v>
      </c>
      <c r="M18" s="43"/>
      <c r="N18" s="43"/>
      <c r="O18" s="43"/>
      <c r="P18" s="43"/>
    </row>
    <row r="19" spans="1:16" x14ac:dyDescent="0.25">
      <c r="H19" s="36"/>
      <c r="I19" s="36"/>
      <c r="J19" s="36"/>
      <c r="K19" s="43" t="str">
        <f>A26</f>
        <v>PUNTUALIDAD</v>
      </c>
      <c r="L19" s="47">
        <f>C27</f>
        <v>3000</v>
      </c>
      <c r="M19" s="43"/>
      <c r="N19" s="43"/>
      <c r="O19" s="43"/>
      <c r="P19" s="43"/>
    </row>
    <row r="20" spans="1:16" x14ac:dyDescent="0.25">
      <c r="B20" s="35" t="s">
        <v>49</v>
      </c>
      <c r="C20" t="s">
        <v>50</v>
      </c>
      <c r="E20" s="6"/>
      <c r="H20" s="36"/>
      <c r="I20" s="36"/>
      <c r="J20" s="36"/>
      <c r="K20" s="43" t="str">
        <f>A31</f>
        <v>ASISTENCIA</v>
      </c>
      <c r="L20" s="47">
        <f>C32</f>
        <v>3000</v>
      </c>
      <c r="M20" s="43"/>
      <c r="N20" s="43"/>
      <c r="O20" s="48" t="s">
        <v>51</v>
      </c>
      <c r="P20" s="43"/>
    </row>
    <row r="21" spans="1:16" x14ac:dyDescent="0.25">
      <c r="A21" s="35" t="s">
        <v>36</v>
      </c>
      <c r="B21" s="2" t="s">
        <v>46</v>
      </c>
      <c r="C21" s="2" t="s">
        <v>52</v>
      </c>
      <c r="D21" s="2"/>
      <c r="H21" s="36"/>
      <c r="I21" s="36"/>
      <c r="J21" s="36"/>
      <c r="K21" s="43" t="str">
        <f>A21</f>
        <v>DESPENSA</v>
      </c>
      <c r="L21" s="47">
        <f>C22</f>
        <v>2074.4400000000005</v>
      </c>
      <c r="M21" s="43"/>
      <c r="N21" s="43"/>
      <c r="O21" s="43"/>
      <c r="P21" s="43"/>
    </row>
    <row r="22" spans="1:16" x14ac:dyDescent="0.25">
      <c r="A22" t="s">
        <v>53</v>
      </c>
      <c r="B22" s="5">
        <f>(172.87*0.4)</f>
        <v>69.14800000000001</v>
      </c>
      <c r="C22" s="5">
        <f>B22*30</f>
        <v>2074.4400000000005</v>
      </c>
      <c r="D22" s="6"/>
      <c r="H22" s="36"/>
      <c r="I22" s="36"/>
      <c r="J22" s="36"/>
      <c r="K22" s="48" t="s">
        <v>54</v>
      </c>
      <c r="L22" s="49">
        <f>SUM(L17:L21)</f>
        <v>42574.44</v>
      </c>
      <c r="M22" s="43"/>
      <c r="N22" s="43"/>
      <c r="O22" s="49">
        <f>L22*0.025</f>
        <v>1064.3610000000001</v>
      </c>
      <c r="P22" s="43"/>
    </row>
    <row r="23" spans="1:16" x14ac:dyDescent="0.25">
      <c r="G23" s="2"/>
      <c r="H23" s="50"/>
      <c r="I23" s="36"/>
      <c r="J23" s="36"/>
      <c r="K23" s="43"/>
      <c r="L23" s="43"/>
      <c r="M23" s="43" t="s">
        <v>55</v>
      </c>
      <c r="N23" s="43"/>
      <c r="O23" s="43"/>
      <c r="P23" s="43"/>
    </row>
    <row r="24" spans="1:16" x14ac:dyDescent="0.25">
      <c r="G24" s="6"/>
      <c r="H24" s="51"/>
      <c r="I24" s="36"/>
      <c r="J24" s="36"/>
      <c r="K24" s="52">
        <f>(5*73.04)*4</f>
        <v>1460.8000000000002</v>
      </c>
      <c r="L24" s="47">
        <f>D36/2</f>
        <v>2250</v>
      </c>
      <c r="M24" s="43" t="s">
        <v>56</v>
      </c>
      <c r="N24" s="43"/>
      <c r="O24" s="43"/>
      <c r="P24" s="43"/>
    </row>
    <row r="25" spans="1:16" x14ac:dyDescent="0.25">
      <c r="B25" s="35" t="s">
        <v>49</v>
      </c>
      <c r="E25" s="6"/>
      <c r="H25" s="36"/>
      <c r="I25" s="36"/>
      <c r="J25" s="36"/>
      <c r="K25" s="43"/>
      <c r="L25" s="43"/>
      <c r="M25" s="43" t="s">
        <v>57</v>
      </c>
      <c r="N25" s="43"/>
      <c r="O25" s="43"/>
      <c r="P25" s="43"/>
    </row>
    <row r="26" spans="1:16" x14ac:dyDescent="0.25">
      <c r="A26" s="35" t="s">
        <v>38</v>
      </c>
      <c r="B26" s="2" t="s">
        <v>46</v>
      </c>
      <c r="C26" s="2" t="s">
        <v>52</v>
      </c>
      <c r="D26" s="2"/>
      <c r="E26" s="6"/>
      <c r="H26" s="36"/>
      <c r="I26" s="36"/>
      <c r="J26" s="36"/>
      <c r="K26" s="48" t="s">
        <v>58</v>
      </c>
      <c r="L26" s="49">
        <f>L22-L24</f>
        <v>40324.44</v>
      </c>
      <c r="M26" s="43" t="s">
        <v>59</v>
      </c>
      <c r="N26" s="43"/>
      <c r="O26" s="43"/>
      <c r="P26" s="43"/>
    </row>
    <row r="27" spans="1:16" x14ac:dyDescent="0.25">
      <c r="A27" t="s">
        <v>60</v>
      </c>
      <c r="B27" s="53">
        <f>B17*0.1</f>
        <v>100</v>
      </c>
      <c r="C27" s="5">
        <f>B27*30</f>
        <v>3000</v>
      </c>
      <c r="D27" s="6"/>
      <c r="E27" s="6"/>
      <c r="F27" s="2"/>
      <c r="H27" s="36"/>
      <c r="I27" s="36"/>
      <c r="J27" s="36"/>
      <c r="K27" s="43"/>
      <c r="L27" s="43"/>
    </row>
    <row r="28" spans="1:16" x14ac:dyDescent="0.25">
      <c r="E28" s="6"/>
      <c r="F28" s="6"/>
      <c r="G28" s="2"/>
      <c r="H28" s="50"/>
      <c r="I28" s="36"/>
      <c r="J28" s="36"/>
      <c r="K28" s="36"/>
      <c r="L28" s="36"/>
    </row>
    <row r="29" spans="1:16" x14ac:dyDescent="0.25">
      <c r="E29" s="6"/>
      <c r="G29" s="6"/>
      <c r="H29" s="51"/>
      <c r="I29" s="36"/>
      <c r="J29" s="36"/>
      <c r="K29" s="36"/>
      <c r="L29" s="36"/>
    </row>
    <row r="30" spans="1:16" x14ac:dyDescent="0.25">
      <c r="B30" s="35" t="s">
        <v>49</v>
      </c>
      <c r="E30" s="6"/>
    </row>
    <row r="31" spans="1:16" x14ac:dyDescent="0.25">
      <c r="A31" s="35" t="s">
        <v>39</v>
      </c>
      <c r="B31" s="2" t="s">
        <v>46</v>
      </c>
      <c r="C31" s="2" t="s">
        <v>52</v>
      </c>
      <c r="D31" s="2"/>
      <c r="E31" s="6"/>
    </row>
    <row r="32" spans="1:16" x14ac:dyDescent="0.25">
      <c r="A32" t="s">
        <v>60</v>
      </c>
      <c r="B32" s="53">
        <f>B17*0.1</f>
        <v>100</v>
      </c>
      <c r="C32" s="5">
        <f>B32*30</f>
        <v>3000</v>
      </c>
      <c r="D32" s="6"/>
      <c r="F32" s="2"/>
    </row>
    <row r="33" spans="1:6" x14ac:dyDescent="0.25">
      <c r="F33" s="6"/>
    </row>
    <row r="34" spans="1:6" x14ac:dyDescent="0.25">
      <c r="F34" s="6"/>
    </row>
    <row r="35" spans="1:6" x14ac:dyDescent="0.25">
      <c r="A35" s="35" t="s">
        <v>40</v>
      </c>
      <c r="B35" s="2" t="s">
        <v>61</v>
      </c>
      <c r="C35" s="2" t="s">
        <v>62</v>
      </c>
      <c r="D35" s="2" t="s">
        <v>52</v>
      </c>
      <c r="E35" s="6"/>
    </row>
    <row r="36" spans="1:6" x14ac:dyDescent="0.25">
      <c r="A36" t="s">
        <v>63</v>
      </c>
      <c r="B36" s="6">
        <f>B17/8</f>
        <v>125</v>
      </c>
      <c r="C36" s="6">
        <f>B36*9</f>
        <v>1125</v>
      </c>
      <c r="D36" s="6">
        <f>C36*4</f>
        <v>4500</v>
      </c>
      <c r="E36" s="6"/>
    </row>
    <row r="37" spans="1:6" x14ac:dyDescent="0.25">
      <c r="A37" t="s">
        <v>64</v>
      </c>
      <c r="E37" s="6"/>
    </row>
    <row r="39" spans="1:6" x14ac:dyDescent="0.25">
      <c r="A39" s="54" t="s">
        <v>65</v>
      </c>
    </row>
    <row r="40" spans="1:6" x14ac:dyDescent="0.25">
      <c r="A40" t="s">
        <v>66</v>
      </c>
    </row>
    <row r="41" spans="1:6" x14ac:dyDescent="0.25">
      <c r="A41" t="s">
        <v>67</v>
      </c>
    </row>
    <row r="44" spans="1:6" x14ac:dyDescent="0.25">
      <c r="A44" s="55" t="s">
        <v>68</v>
      </c>
    </row>
    <row r="45" spans="1:6" x14ac:dyDescent="0.25">
      <c r="A45" t="s">
        <v>69</v>
      </c>
    </row>
    <row r="46" spans="1:6" x14ac:dyDescent="0.25">
      <c r="A46" t="s">
        <v>70</v>
      </c>
    </row>
    <row r="47" spans="1:6" x14ac:dyDescent="0.25">
      <c r="A47" t="s">
        <v>71</v>
      </c>
    </row>
    <row r="48" spans="1:6" x14ac:dyDescent="0.25">
      <c r="A48" t="s">
        <v>72</v>
      </c>
    </row>
    <row r="49" spans="1:6" x14ac:dyDescent="0.25">
      <c r="A49" t="s">
        <v>73</v>
      </c>
    </row>
    <row r="50" spans="1:6" x14ac:dyDescent="0.25">
      <c r="A50" t="s">
        <v>74</v>
      </c>
    </row>
    <row r="54" spans="1:6" x14ac:dyDescent="0.25">
      <c r="A54" s="34" t="s">
        <v>75</v>
      </c>
      <c r="B54" s="33"/>
      <c r="E54" s="185" t="s">
        <v>79</v>
      </c>
      <c r="F54" s="185"/>
    </row>
    <row r="55" spans="1:6" x14ac:dyDescent="0.25">
      <c r="A55" s="56"/>
      <c r="B55" s="57" t="s">
        <v>76</v>
      </c>
      <c r="C55" s="58" t="s">
        <v>77</v>
      </c>
      <c r="D55" s="58" t="s">
        <v>78</v>
      </c>
      <c r="E55" s="58">
        <v>2023</v>
      </c>
      <c r="F55" s="58">
        <v>2022</v>
      </c>
    </row>
    <row r="56" spans="1:6" x14ac:dyDescent="0.25">
      <c r="A56" s="59" t="s">
        <v>80</v>
      </c>
      <c r="B56" s="60">
        <v>1</v>
      </c>
      <c r="C56" s="60">
        <f>12/365*0.25</f>
        <v>8.21917808219178E-3</v>
      </c>
      <c r="D56" s="60">
        <f>15/365</f>
        <v>4.1095890410958902E-2</v>
      </c>
      <c r="E56" s="60">
        <f>+B56+C56+D56</f>
        <v>1.0493150684931507</v>
      </c>
      <c r="F56" s="59">
        <v>1.0451999999999999</v>
      </c>
    </row>
    <row r="57" spans="1:6" x14ac:dyDescent="0.25">
      <c r="A57" s="59" t="s">
        <v>81</v>
      </c>
      <c r="B57" s="60">
        <v>1</v>
      </c>
      <c r="C57" s="60">
        <f>14/365*0.25</f>
        <v>9.5890410958904115E-3</v>
      </c>
      <c r="D57" s="60">
        <f>15/365</f>
        <v>4.1095890410958902E-2</v>
      </c>
      <c r="E57" s="60">
        <f>+B57+C57+D57</f>
        <v>1.0506849315068492</v>
      </c>
      <c r="F57" s="59">
        <v>1.0466</v>
      </c>
    </row>
    <row r="58" spans="1:6" x14ac:dyDescent="0.25">
      <c r="A58" s="59" t="s">
        <v>82</v>
      </c>
      <c r="B58" s="60">
        <v>1</v>
      </c>
      <c r="C58" s="60">
        <f>16/365*0.25</f>
        <v>1.0958904109589041E-2</v>
      </c>
      <c r="D58" s="60">
        <f>15/365</f>
        <v>4.1095890410958902E-2</v>
      </c>
      <c r="E58" s="60">
        <f>+B58+C58+D58</f>
        <v>1.0520547945205478</v>
      </c>
      <c r="F58" s="59">
        <v>1.0479000000000001</v>
      </c>
    </row>
    <row r="59" spans="1:6" x14ac:dyDescent="0.25">
      <c r="A59" s="59" t="s">
        <v>83</v>
      </c>
      <c r="B59" s="60">
        <v>1</v>
      </c>
      <c r="C59" s="60">
        <f>18/365*0.25</f>
        <v>1.2328767123287671E-2</v>
      </c>
      <c r="D59" s="60">
        <f>15/365</f>
        <v>4.1095890410958902E-2</v>
      </c>
      <c r="E59" s="60">
        <f>+B59+C59+D59</f>
        <v>1.0534246575342465</v>
      </c>
      <c r="F59" s="59">
        <v>1.0492999999999999</v>
      </c>
    </row>
    <row r="60" spans="1:6" x14ac:dyDescent="0.25">
      <c r="A60" s="59" t="s">
        <v>84</v>
      </c>
      <c r="B60" s="60">
        <v>1</v>
      </c>
      <c r="C60" s="60">
        <f>20/365*0.25</f>
        <v>1.3698630136986301E-2</v>
      </c>
      <c r="D60" s="60">
        <f>15/365</f>
        <v>4.1095890410958902E-2</v>
      </c>
      <c r="E60" s="60">
        <f>+B60+C60+D60</f>
        <v>1.0547945205479452</v>
      </c>
      <c r="F60" s="59">
        <v>1.0507</v>
      </c>
    </row>
    <row r="66" spans="1:5" ht="19.5" x14ac:dyDescent="0.3">
      <c r="A66" s="186" t="s">
        <v>158</v>
      </c>
      <c r="B66" s="186"/>
      <c r="C66" s="186"/>
      <c r="D66" s="186"/>
      <c r="E66" s="186"/>
    </row>
    <row r="68" spans="1:5" x14ac:dyDescent="0.25">
      <c r="A68" t="s">
        <v>159</v>
      </c>
      <c r="B68" s="5">
        <v>103.74</v>
      </c>
      <c r="C68" s="5"/>
      <c r="D68" t="s">
        <v>160</v>
      </c>
      <c r="E68" s="17">
        <v>0.4</v>
      </c>
    </row>
    <row r="69" spans="1:5" x14ac:dyDescent="0.25">
      <c r="A69" t="s">
        <v>161</v>
      </c>
      <c r="B69">
        <v>30</v>
      </c>
    </row>
    <row r="71" spans="1:5" x14ac:dyDescent="0.25">
      <c r="B71" s="112" t="s">
        <v>162</v>
      </c>
      <c r="D71" s="113" t="s">
        <v>163</v>
      </c>
    </row>
    <row r="72" spans="1:5" x14ac:dyDescent="0.25">
      <c r="A72" s="15" t="s">
        <v>164</v>
      </c>
      <c r="B72" s="112">
        <v>1500</v>
      </c>
      <c r="D72" s="113">
        <v>300</v>
      </c>
    </row>
    <row r="73" spans="1:5" x14ac:dyDescent="0.25">
      <c r="A73" s="15"/>
      <c r="B73" s="112"/>
      <c r="D73" s="113"/>
    </row>
    <row r="74" spans="1:5" x14ac:dyDescent="0.25">
      <c r="A74" s="15" t="s">
        <v>165</v>
      </c>
      <c r="B74" s="25">
        <f>B68*B69*E68</f>
        <v>1244.8800000000001</v>
      </c>
      <c r="C74" s="6"/>
      <c r="D74" s="114">
        <f>B74</f>
        <v>1244.8800000000001</v>
      </c>
    </row>
    <row r="75" spans="1:5" x14ac:dyDescent="0.25">
      <c r="A75" t="s">
        <v>166</v>
      </c>
      <c r="B75" s="6">
        <f>B72-B74</f>
        <v>255.11999999999989</v>
      </c>
      <c r="D75" s="6">
        <v>0</v>
      </c>
    </row>
    <row r="76" spans="1:5" x14ac:dyDescent="0.25">
      <c r="B76" s="1" t="s">
        <v>167</v>
      </c>
      <c r="D76" s="1" t="s">
        <v>168</v>
      </c>
    </row>
    <row r="78" spans="1:5" x14ac:dyDescent="0.25">
      <c r="A78" t="s">
        <v>169</v>
      </c>
    </row>
    <row r="79" spans="1:5" x14ac:dyDescent="0.25">
      <c r="A79" s="187" t="s">
        <v>170</v>
      </c>
      <c r="B79" s="187"/>
      <c r="D79" s="188">
        <f>B68*B69*E68</f>
        <v>1244.8800000000001</v>
      </c>
    </row>
    <row r="80" spans="1:5" x14ac:dyDescent="0.25">
      <c r="A80" s="190">
        <v>0.4</v>
      </c>
      <c r="B80" s="191"/>
      <c r="D80" s="189"/>
    </row>
  </sheetData>
  <mergeCells count="5">
    <mergeCell ref="E54:F54"/>
    <mergeCell ref="A66:E66"/>
    <mergeCell ref="A79:B79"/>
    <mergeCell ref="D79:D80"/>
    <mergeCell ref="A80:B8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8"/>
  <sheetViews>
    <sheetView showGridLines="0" workbookViewId="0"/>
  </sheetViews>
  <sheetFormatPr baseColWidth="10" defaultRowHeight="15" x14ac:dyDescent="0.25"/>
  <cols>
    <col min="1" max="1" width="2.42578125" customWidth="1"/>
    <col min="2" max="2" width="12.5703125" bestFit="1" customWidth="1"/>
    <col min="4" max="4" width="13" customWidth="1"/>
    <col min="5" max="5" width="13.7109375" customWidth="1"/>
    <col min="7" max="7" width="21" bestFit="1" customWidth="1"/>
    <col min="8" max="8" width="18.7109375" customWidth="1"/>
    <col min="14" max="14" width="12.5703125" bestFit="1" customWidth="1"/>
  </cols>
  <sheetData>
    <row r="2" spans="2:16" x14ac:dyDescent="0.25">
      <c r="O2" s="28" t="s">
        <v>28</v>
      </c>
    </row>
    <row r="3" spans="2:16" x14ac:dyDescent="0.25">
      <c r="B3" s="193" t="s">
        <v>8</v>
      </c>
      <c r="C3" s="193"/>
      <c r="H3" s="14" t="s">
        <v>15</v>
      </c>
      <c r="K3" s="14" t="s">
        <v>13</v>
      </c>
      <c r="L3" s="14" t="s">
        <v>14</v>
      </c>
      <c r="M3" s="14" t="s">
        <v>20</v>
      </c>
      <c r="N3" s="21" t="s">
        <v>31</v>
      </c>
      <c r="O3" s="14" t="s">
        <v>29</v>
      </c>
      <c r="P3" s="14" t="s">
        <v>30</v>
      </c>
    </row>
    <row r="4" spans="2:16" s="8" customFormat="1" ht="78" customHeight="1" x14ac:dyDescent="0.25">
      <c r="B4" s="9" t="s">
        <v>0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17</v>
      </c>
      <c r="N4" s="9" t="s">
        <v>18</v>
      </c>
      <c r="O4" s="20" t="s">
        <v>19</v>
      </c>
      <c r="P4" s="26" t="s">
        <v>27</v>
      </c>
    </row>
    <row r="5" spans="2:16" x14ac:dyDescent="0.25">
      <c r="B5" s="10" t="s">
        <v>1</v>
      </c>
      <c r="C5" s="11">
        <v>1750</v>
      </c>
      <c r="D5" s="11">
        <v>400</v>
      </c>
      <c r="E5" s="11">
        <v>1250</v>
      </c>
      <c r="F5" s="11">
        <v>2780</v>
      </c>
      <c r="G5" s="11">
        <v>1935</v>
      </c>
      <c r="H5" s="11">
        <f>SUM(C5:G5)</f>
        <v>8115</v>
      </c>
      <c r="I5" s="12">
        <v>63</v>
      </c>
      <c r="J5" s="12">
        <v>2</v>
      </c>
      <c r="K5" s="12">
        <v>61</v>
      </c>
      <c r="L5" s="13">
        <f>H5/K5</f>
        <v>133.03278688524591</v>
      </c>
      <c r="M5" s="16">
        <v>250</v>
      </c>
      <c r="N5" s="24">
        <f>N13</f>
        <v>1.0493150684931507</v>
      </c>
      <c r="O5" s="15">
        <f>M5*N5</f>
        <v>262.32876712328766</v>
      </c>
      <c r="P5" s="27">
        <f>L5+O5</f>
        <v>395.36155400853357</v>
      </c>
    </row>
    <row r="6" spans="2:16" x14ac:dyDescent="0.25">
      <c r="H6" s="6"/>
    </row>
    <row r="8" spans="2:16" x14ac:dyDescent="0.25">
      <c r="M8" t="s">
        <v>21</v>
      </c>
      <c r="N8">
        <v>365</v>
      </c>
    </row>
    <row r="9" spans="2:16" x14ac:dyDescent="0.25">
      <c r="M9" t="s">
        <v>22</v>
      </c>
      <c r="N9" s="4">
        <v>15</v>
      </c>
    </row>
    <row r="10" spans="2:16" x14ac:dyDescent="0.25">
      <c r="M10" t="s">
        <v>23</v>
      </c>
      <c r="N10" s="18">
        <v>12</v>
      </c>
    </row>
    <row r="11" spans="2:16" ht="15" customHeight="1" x14ac:dyDescent="0.25">
      <c r="M11" t="s">
        <v>24</v>
      </c>
      <c r="N11" s="17">
        <v>0.25</v>
      </c>
      <c r="O11" s="4">
        <f>N10*N11</f>
        <v>3</v>
      </c>
    </row>
    <row r="12" spans="2:16" ht="17.25" customHeight="1" x14ac:dyDescent="0.25">
      <c r="M12" t="s">
        <v>25</v>
      </c>
      <c r="N12" s="4">
        <f>N8+N9+O11</f>
        <v>383</v>
      </c>
    </row>
    <row r="13" spans="2:16" ht="18.75" customHeight="1" x14ac:dyDescent="0.25">
      <c r="B13" s="192" t="s">
        <v>16</v>
      </c>
      <c r="C13" s="192"/>
      <c r="D13" s="192"/>
      <c r="E13" s="192"/>
      <c r="F13" s="192"/>
      <c r="G13" s="192"/>
      <c r="H13" s="192"/>
      <c r="M13" s="4" t="s">
        <v>26</v>
      </c>
      <c r="N13" s="19">
        <f>N12/N8</f>
        <v>1.0493150684931507</v>
      </c>
    </row>
    <row r="14" spans="2:16" ht="44.25" customHeight="1" x14ac:dyDescent="0.25">
      <c r="B14" s="192"/>
      <c r="C14" s="192"/>
      <c r="D14" s="192"/>
      <c r="E14" s="192"/>
      <c r="F14" s="192"/>
      <c r="G14" s="192"/>
      <c r="H14" s="192"/>
    </row>
    <row r="15" spans="2:16" ht="4.5" customHeight="1" x14ac:dyDescent="0.25">
      <c r="B15" s="192"/>
      <c r="C15" s="192"/>
      <c r="D15" s="192"/>
      <c r="E15" s="192"/>
      <c r="F15" s="192"/>
      <c r="G15" s="192"/>
      <c r="H15" s="192"/>
    </row>
    <row r="16" spans="2:16" ht="6" hidden="1" customHeight="1" x14ac:dyDescent="0.25">
      <c r="B16" s="192"/>
      <c r="C16" s="192"/>
      <c r="D16" s="192"/>
      <c r="E16" s="192"/>
      <c r="F16" s="192"/>
      <c r="G16" s="192"/>
      <c r="H16" s="192"/>
    </row>
    <row r="17" spans="3:9" s="4" customFormat="1" x14ac:dyDescent="0.25"/>
    <row r="19" spans="3:9" x14ac:dyDescent="0.25">
      <c r="D19" t="s">
        <v>224</v>
      </c>
    </row>
    <row r="20" spans="3:9" x14ac:dyDescent="0.25">
      <c r="D20" t="s">
        <v>225</v>
      </c>
      <c r="H20" s="5">
        <v>207.44</v>
      </c>
    </row>
    <row r="21" spans="3:9" x14ac:dyDescent="0.25">
      <c r="C21" t="s">
        <v>226</v>
      </c>
      <c r="D21" t="s">
        <v>227</v>
      </c>
      <c r="G21" t="s">
        <v>230</v>
      </c>
      <c r="H21" s="63">
        <f>30*207.44/365</f>
        <v>17.04986301369863</v>
      </c>
    </row>
    <row r="22" spans="3:9" s="116" customFormat="1" ht="30" customHeight="1" x14ac:dyDescent="0.25">
      <c r="C22" s="174" t="s">
        <v>226</v>
      </c>
      <c r="D22" s="174" t="s">
        <v>228</v>
      </c>
      <c r="G22" s="116" t="s">
        <v>231</v>
      </c>
      <c r="H22" s="115">
        <f>12*H20*25%/365</f>
        <v>1.7049863013698627</v>
      </c>
    </row>
    <row r="23" spans="3:9" x14ac:dyDescent="0.25">
      <c r="C23" t="s">
        <v>229</v>
      </c>
      <c r="D23" t="s">
        <v>94</v>
      </c>
      <c r="H23" s="175">
        <f>SUM(H20:H22)</f>
        <v>226.1948493150685</v>
      </c>
    </row>
    <row r="26" spans="3:9" x14ac:dyDescent="0.25">
      <c r="D26" t="s">
        <v>232</v>
      </c>
      <c r="G26" t="s">
        <v>234</v>
      </c>
    </row>
    <row r="27" spans="3:9" x14ac:dyDescent="0.25">
      <c r="C27" t="s">
        <v>226</v>
      </c>
      <c r="D27" t="s">
        <v>233</v>
      </c>
      <c r="G27" s="176">
        <v>4000</v>
      </c>
      <c r="H27" s="177">
        <f>G27/61</f>
        <v>65.573770491803273</v>
      </c>
      <c r="I27" t="s">
        <v>236</v>
      </c>
    </row>
    <row r="28" spans="3:9" x14ac:dyDescent="0.25">
      <c r="D28" s="4" t="s">
        <v>235</v>
      </c>
      <c r="E28" s="4"/>
      <c r="F28" s="4"/>
      <c r="G28" s="4"/>
      <c r="H28" s="178">
        <f>H23+H27</f>
        <v>291.76861980687175</v>
      </c>
    </row>
  </sheetData>
  <mergeCells count="2">
    <mergeCell ref="B13:H16"/>
    <mergeCell ref="B3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showGridLines="0" zoomScale="80" zoomScaleNormal="80" workbookViewId="0">
      <selection activeCell="K4" sqref="K4"/>
    </sheetView>
  </sheetViews>
  <sheetFormatPr baseColWidth="10" defaultRowHeight="15" x14ac:dyDescent="0.25"/>
  <cols>
    <col min="1" max="1" width="3.7109375" customWidth="1"/>
    <col min="2" max="2" width="23.7109375" bestFit="1" customWidth="1"/>
    <col min="8" max="8" width="13.5703125" customWidth="1"/>
    <col min="9" max="9" width="4.85546875" customWidth="1"/>
    <col min="12" max="12" width="17.7109375" bestFit="1" customWidth="1"/>
  </cols>
  <sheetData>
    <row r="2" spans="2:12" x14ac:dyDescent="0.25">
      <c r="J2" s="185" t="s">
        <v>96</v>
      </c>
      <c r="K2" s="185"/>
    </row>
    <row r="3" spans="2:12" x14ac:dyDescent="0.25">
      <c r="B3" s="194" t="s">
        <v>241</v>
      </c>
      <c r="C3" s="194"/>
      <c r="D3" s="194"/>
      <c r="F3" t="s">
        <v>237</v>
      </c>
      <c r="J3" s="7" t="s">
        <v>242</v>
      </c>
      <c r="K3" s="7" t="s">
        <v>243</v>
      </c>
    </row>
    <row r="4" spans="2:12" x14ac:dyDescent="0.25">
      <c r="B4" s="23" t="s">
        <v>85</v>
      </c>
      <c r="C4" s="23" t="s">
        <v>86</v>
      </c>
      <c r="D4" s="61" t="s">
        <v>87</v>
      </c>
      <c r="F4" s="64" t="s">
        <v>95</v>
      </c>
      <c r="J4" s="1">
        <v>30</v>
      </c>
      <c r="K4" s="1">
        <v>31</v>
      </c>
      <c r="L4" t="s">
        <v>223</v>
      </c>
    </row>
    <row r="5" spans="2:12" x14ac:dyDescent="0.25">
      <c r="B5" s="22">
        <v>1</v>
      </c>
      <c r="C5" s="22">
        <v>0</v>
      </c>
      <c r="D5" s="22">
        <v>3.15</v>
      </c>
      <c r="F5" s="4" t="s">
        <v>94</v>
      </c>
      <c r="G5" s="73">
        <f>C23</f>
        <v>350</v>
      </c>
    </row>
    <row r="6" spans="2:12" x14ac:dyDescent="0.25">
      <c r="B6" s="23">
        <v>1.01</v>
      </c>
      <c r="C6" s="23">
        <v>1.5</v>
      </c>
      <c r="D6" s="23">
        <v>3.544</v>
      </c>
    </row>
    <row r="7" spans="2:12" x14ac:dyDescent="0.25">
      <c r="B7" s="22">
        <v>1.51</v>
      </c>
      <c r="C7" s="22">
        <v>2</v>
      </c>
      <c r="D7" s="22">
        <v>4.4260000000000002</v>
      </c>
      <c r="F7" t="s">
        <v>99</v>
      </c>
      <c r="H7" t="s">
        <v>100</v>
      </c>
      <c r="J7" t="s">
        <v>101</v>
      </c>
    </row>
    <row r="8" spans="2:12" x14ac:dyDescent="0.25">
      <c r="B8" s="66">
        <v>2.0099999999999998</v>
      </c>
      <c r="C8" s="66">
        <v>2.5</v>
      </c>
      <c r="D8" s="66">
        <v>4.9539999999999997</v>
      </c>
      <c r="F8" s="4" t="s">
        <v>97</v>
      </c>
      <c r="G8" s="65">
        <f>G5/C18</f>
        <v>3.0935124624359203</v>
      </c>
      <c r="H8" s="67">
        <v>5.5590000000000001E-2</v>
      </c>
      <c r="J8" s="68">
        <f>G5*J4*H8</f>
        <v>583.69500000000005</v>
      </c>
    </row>
    <row r="9" spans="2:12" x14ac:dyDescent="0.25">
      <c r="B9" s="22">
        <v>2.5099999999999998</v>
      </c>
      <c r="C9" s="22">
        <v>3</v>
      </c>
      <c r="D9" s="22">
        <v>5.3070000000000004</v>
      </c>
    </row>
    <row r="10" spans="2:12" x14ac:dyDescent="0.25">
      <c r="B10" s="23">
        <v>3.01</v>
      </c>
      <c r="C10" s="23">
        <v>3.5</v>
      </c>
      <c r="D10" s="23">
        <v>5.59</v>
      </c>
      <c r="F10" t="s">
        <v>99</v>
      </c>
      <c r="H10" t="s">
        <v>100</v>
      </c>
      <c r="K10" t="s">
        <v>101</v>
      </c>
    </row>
    <row r="11" spans="2:12" x14ac:dyDescent="0.25">
      <c r="B11" s="22">
        <v>3.51</v>
      </c>
      <c r="C11" s="22">
        <v>4</v>
      </c>
      <c r="D11" s="22">
        <v>5.7469999999999999</v>
      </c>
      <c r="F11" s="4" t="s">
        <v>98</v>
      </c>
      <c r="G11" s="65">
        <f>G5/C18</f>
        <v>3.0935124624359203</v>
      </c>
      <c r="H11" s="67">
        <v>5.5590000000000001E-2</v>
      </c>
      <c r="K11" s="68">
        <f>G5*K4*H11</f>
        <v>603.15150000000006</v>
      </c>
    </row>
    <row r="12" spans="2:12" x14ac:dyDescent="0.25">
      <c r="B12" s="23">
        <v>4.01</v>
      </c>
      <c r="C12" s="23">
        <v>99999</v>
      </c>
      <c r="D12" s="23">
        <v>6.4219999999999997</v>
      </c>
    </row>
    <row r="13" spans="2:12" x14ac:dyDescent="0.25">
      <c r="B13" s="22" t="s">
        <v>88</v>
      </c>
      <c r="C13" s="22">
        <v>300</v>
      </c>
      <c r="D13" s="22">
        <v>0</v>
      </c>
    </row>
    <row r="14" spans="2:12" ht="16.5" thickBot="1" x14ac:dyDescent="0.3">
      <c r="F14" s="70" t="s">
        <v>102</v>
      </c>
      <c r="G14" s="70"/>
      <c r="H14" s="70"/>
      <c r="I14" s="70"/>
      <c r="J14" s="71">
        <f>J8</f>
        <v>583.69500000000005</v>
      </c>
      <c r="K14" s="71">
        <f>K11</f>
        <v>603.15150000000006</v>
      </c>
      <c r="L14" s="72">
        <f>J14+K14</f>
        <v>1186.8465000000001</v>
      </c>
    </row>
    <row r="15" spans="2:12" ht="15.75" thickTop="1" x14ac:dyDescent="0.25">
      <c r="B15" t="s">
        <v>90</v>
      </c>
      <c r="C15">
        <v>312.41000000000003</v>
      </c>
      <c r="L15">
        <v>1187</v>
      </c>
    </row>
    <row r="16" spans="2:12" x14ac:dyDescent="0.25">
      <c r="B16" t="s">
        <v>89</v>
      </c>
      <c r="C16">
        <v>207.44</v>
      </c>
      <c r="L16" s="6">
        <f>L14-L15</f>
        <v>-0.1534999999998945</v>
      </c>
    </row>
    <row r="17" spans="2:4" x14ac:dyDescent="0.25">
      <c r="B17" t="s">
        <v>238</v>
      </c>
      <c r="C17" s="179">
        <v>108.57</v>
      </c>
      <c r="D17" s="62"/>
    </row>
    <row r="18" spans="2:4" x14ac:dyDescent="0.25">
      <c r="B18" t="s">
        <v>239</v>
      </c>
      <c r="C18">
        <v>113.14</v>
      </c>
      <c r="D18" s="62"/>
    </row>
    <row r="20" spans="2:4" x14ac:dyDescent="0.25">
      <c r="B20" t="s">
        <v>91</v>
      </c>
    </row>
    <row r="21" spans="2:4" x14ac:dyDescent="0.25">
      <c r="B21" t="s">
        <v>92</v>
      </c>
      <c r="C21">
        <v>0</v>
      </c>
    </row>
    <row r="22" spans="2:4" x14ac:dyDescent="0.25">
      <c r="B22" t="s">
        <v>93</v>
      </c>
      <c r="C22">
        <v>1.0492999999999999</v>
      </c>
    </row>
    <row r="23" spans="2:4" x14ac:dyDescent="0.25">
      <c r="B23" t="s">
        <v>94</v>
      </c>
      <c r="C23" s="63">
        <v>350</v>
      </c>
    </row>
  </sheetData>
  <mergeCells count="2">
    <mergeCell ref="B3:D3"/>
    <mergeCell ref="J2:K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2"/>
  <sheetViews>
    <sheetView showGridLines="0" zoomScale="60" zoomScaleNormal="60" workbookViewId="0">
      <selection activeCell="G17" sqref="G17"/>
    </sheetView>
  </sheetViews>
  <sheetFormatPr baseColWidth="10" defaultColWidth="10.85546875" defaultRowHeight="15" x14ac:dyDescent="0.25"/>
  <cols>
    <col min="1" max="1" width="1.5703125" customWidth="1"/>
    <col min="2" max="2" width="12.42578125" customWidth="1"/>
    <col min="3" max="3" width="31.28515625" bestFit="1" customWidth="1"/>
    <col min="4" max="4" width="21.28515625" style="74" customWidth="1"/>
    <col min="5" max="5" width="26.85546875" customWidth="1"/>
    <col min="6" max="6" width="10.85546875" style="1"/>
    <col min="7" max="7" width="13.140625" style="1" bestFit="1" customWidth="1"/>
    <col min="8" max="9" width="10.85546875" style="1"/>
    <col min="10" max="10" width="48" customWidth="1"/>
    <col min="18" max="18" width="14.85546875" customWidth="1"/>
  </cols>
  <sheetData>
    <row r="2" spans="2:20" x14ac:dyDescent="0.25">
      <c r="C2" s="142" t="s">
        <v>181</v>
      </c>
    </row>
    <row r="3" spans="2:20" ht="21" x14ac:dyDescent="0.35">
      <c r="B3" s="1"/>
      <c r="C3" s="197" t="s">
        <v>240</v>
      </c>
      <c r="D3" s="197"/>
      <c r="E3" s="197"/>
      <c r="F3" s="197"/>
      <c r="G3" s="197"/>
      <c r="H3" s="197"/>
      <c r="J3" s="1" t="s">
        <v>103</v>
      </c>
    </row>
    <row r="4" spans="2:20" ht="15.75" thickBot="1" x14ac:dyDescent="0.3">
      <c r="B4" s="1"/>
      <c r="C4" s="1"/>
      <c r="G4" s="1" t="s">
        <v>104</v>
      </c>
      <c r="H4" s="1" t="s">
        <v>105</v>
      </c>
    </row>
    <row r="5" spans="2:20" ht="15.75" thickBot="1" x14ac:dyDescent="0.3">
      <c r="B5" s="1"/>
      <c r="C5" s="75" t="s">
        <v>106</v>
      </c>
      <c r="D5" s="76">
        <v>61</v>
      </c>
      <c r="E5" s="77" t="s">
        <v>107</v>
      </c>
      <c r="F5" s="78">
        <f>'CyV2025'!C18</f>
        <v>113.14</v>
      </c>
      <c r="G5" s="75">
        <f>F5*3</f>
        <v>339.42</v>
      </c>
      <c r="H5" s="79">
        <f>F6-G5</f>
        <v>10.579999999999984</v>
      </c>
    </row>
    <row r="6" spans="2:20" ht="34.5" customHeight="1" thickBot="1" x14ac:dyDescent="0.3">
      <c r="B6" s="1"/>
      <c r="C6" s="75" t="s">
        <v>108</v>
      </c>
      <c r="D6" s="80">
        <v>350</v>
      </c>
      <c r="E6" s="77">
        <v>1.0492999999999999</v>
      </c>
      <c r="F6" s="81">
        <v>350</v>
      </c>
      <c r="H6" s="82"/>
      <c r="J6" s="83" t="s">
        <v>109</v>
      </c>
      <c r="R6" s="198" t="s">
        <v>110</v>
      </c>
      <c r="S6" s="198"/>
    </row>
    <row r="7" spans="2:20" ht="35.25" thickBot="1" x14ac:dyDescent="0.3">
      <c r="B7" s="1"/>
      <c r="C7" s="84" t="s">
        <v>111</v>
      </c>
      <c r="D7" s="85"/>
      <c r="R7" s="86" t="s">
        <v>112</v>
      </c>
      <c r="S7" s="86" t="s">
        <v>113</v>
      </c>
    </row>
    <row r="8" spans="2:20" ht="18" thickBot="1" x14ac:dyDescent="0.3">
      <c r="B8" s="1"/>
      <c r="C8" s="1"/>
      <c r="R8" s="87" t="s">
        <v>114</v>
      </c>
      <c r="S8" s="87">
        <v>0.54354999999999998</v>
      </c>
      <c r="T8">
        <v>0.5</v>
      </c>
    </row>
    <row r="9" spans="2:20" ht="18.75" thickTop="1" thickBot="1" x14ac:dyDescent="0.3">
      <c r="B9" s="136" t="s">
        <v>177</v>
      </c>
      <c r="C9" s="133" t="s">
        <v>115</v>
      </c>
      <c r="D9" s="89" t="s">
        <v>116</v>
      </c>
      <c r="E9" s="199" t="s">
        <v>117</v>
      </c>
      <c r="F9" s="199"/>
      <c r="G9" s="90" t="s">
        <v>118</v>
      </c>
      <c r="H9" s="90" t="s">
        <v>119</v>
      </c>
      <c r="R9" s="87" t="s">
        <v>120</v>
      </c>
      <c r="S9" s="87">
        <v>1.1306499999999999</v>
      </c>
    </row>
    <row r="10" spans="2:20" ht="46.5" thickTop="1" thickBot="1" x14ac:dyDescent="0.3">
      <c r="B10" s="138" t="s">
        <v>171</v>
      </c>
      <c r="C10" s="134" t="s">
        <v>121</v>
      </c>
      <c r="D10" s="117" t="s">
        <v>122</v>
      </c>
      <c r="E10" s="200">
        <v>0</v>
      </c>
      <c r="F10" s="201"/>
      <c r="G10" s="118" t="s">
        <v>123</v>
      </c>
      <c r="H10" s="119">
        <v>0</v>
      </c>
      <c r="R10" s="87" t="s">
        <v>124</v>
      </c>
      <c r="S10" s="87">
        <v>2.5983999999999998</v>
      </c>
    </row>
    <row r="11" spans="2:20" ht="46.5" thickTop="1" thickBot="1" x14ac:dyDescent="0.3">
      <c r="B11" s="90" t="s">
        <v>172</v>
      </c>
      <c r="C11" s="202" t="s">
        <v>125</v>
      </c>
      <c r="D11" s="203" t="s">
        <v>126</v>
      </c>
      <c r="E11" s="123" t="s">
        <v>127</v>
      </c>
      <c r="F11" s="124">
        <v>0</v>
      </c>
      <c r="G11" s="125" t="s">
        <v>128</v>
      </c>
      <c r="H11" s="126">
        <v>0</v>
      </c>
      <c r="R11" s="87" t="s">
        <v>129</v>
      </c>
      <c r="S11" s="87">
        <v>4.6532499999999999</v>
      </c>
    </row>
    <row r="12" spans="2:20" ht="46.5" thickTop="1" thickBot="1" x14ac:dyDescent="0.3">
      <c r="B12" s="90" t="s">
        <v>173</v>
      </c>
      <c r="C12" s="202"/>
      <c r="D12" s="203"/>
      <c r="E12" s="127" t="s">
        <v>130</v>
      </c>
      <c r="F12" s="128">
        <v>4.0000000000000001E-3</v>
      </c>
      <c r="G12" s="129" t="s">
        <v>131</v>
      </c>
      <c r="H12" s="130">
        <f>F12*D5*H5</f>
        <v>2.5815199999999963</v>
      </c>
      <c r="I12" s="1">
        <v>1</v>
      </c>
      <c r="J12" s="95">
        <f>H12</f>
        <v>2.5815199999999963</v>
      </c>
      <c r="R12" s="96" t="s">
        <v>132</v>
      </c>
      <c r="S12" s="96">
        <v>7.5887500000000001</v>
      </c>
    </row>
    <row r="13" spans="2:20" ht="46.5" thickTop="1" thickBot="1" x14ac:dyDescent="0.3">
      <c r="B13" s="90" t="s">
        <v>174</v>
      </c>
      <c r="C13" s="202"/>
      <c r="D13" s="131" t="s">
        <v>133</v>
      </c>
      <c r="E13" s="204">
        <v>3.7499999999999999E-3</v>
      </c>
      <c r="F13" s="204"/>
      <c r="G13" s="129" t="s">
        <v>94</v>
      </c>
      <c r="H13" s="130">
        <f>E13*D5*F6</f>
        <v>80.0625</v>
      </c>
      <c r="I13" s="1">
        <v>2</v>
      </c>
      <c r="J13" s="95">
        <f>H13</f>
        <v>80.0625</v>
      </c>
    </row>
    <row r="14" spans="2:20" ht="16.5" thickTop="1" thickBot="1" x14ac:dyDescent="0.3">
      <c r="B14" s="90" t="s">
        <v>175</v>
      </c>
      <c r="C14" s="202"/>
      <c r="D14" s="132" t="s">
        <v>134</v>
      </c>
      <c r="E14" s="205">
        <v>2.5000000000000001E-3</v>
      </c>
      <c r="F14" s="205"/>
      <c r="G14" s="126" t="s">
        <v>94</v>
      </c>
      <c r="H14" s="130">
        <f>E14*D5*F6</f>
        <v>53.375</v>
      </c>
      <c r="I14" s="1">
        <v>3</v>
      </c>
      <c r="J14" s="95">
        <f>H14</f>
        <v>53.375</v>
      </c>
    </row>
    <row r="15" spans="2:20" ht="16.5" thickTop="1" thickBot="1" x14ac:dyDescent="0.3">
      <c r="B15" s="90" t="s">
        <v>176</v>
      </c>
      <c r="C15" s="135" t="s">
        <v>135</v>
      </c>
      <c r="D15" s="122" t="s">
        <v>122</v>
      </c>
      <c r="E15" s="206">
        <v>6.2500000000000003E-3</v>
      </c>
      <c r="F15" s="206"/>
      <c r="G15" s="120" t="s">
        <v>94</v>
      </c>
      <c r="H15" s="121">
        <f>E15*D5*F6</f>
        <v>133.4375</v>
      </c>
      <c r="I15" s="1">
        <v>4</v>
      </c>
      <c r="J15" s="95">
        <f>H15</f>
        <v>133.4375</v>
      </c>
    </row>
    <row r="16" spans="2:20" ht="16.5" thickTop="1" thickBot="1" x14ac:dyDescent="0.3">
      <c r="B16" s="90" t="s">
        <v>178</v>
      </c>
      <c r="C16" s="207" t="s">
        <v>136</v>
      </c>
      <c r="D16" s="97" t="s">
        <v>137</v>
      </c>
      <c r="E16" s="208">
        <v>0</v>
      </c>
      <c r="F16" s="208"/>
      <c r="G16" s="90" t="s">
        <v>94</v>
      </c>
      <c r="H16" s="98">
        <f>E16*D5*F6</f>
        <v>0</v>
      </c>
    </row>
    <row r="17" spans="2:10" ht="16.5" thickTop="1" thickBot="1" x14ac:dyDescent="0.3">
      <c r="B17" s="90" t="s">
        <v>179</v>
      </c>
      <c r="C17" s="207"/>
      <c r="D17" s="97" t="s">
        <v>138</v>
      </c>
      <c r="E17" s="209">
        <v>1.125E-2</v>
      </c>
      <c r="F17" s="209"/>
      <c r="G17" s="90" t="s">
        <v>94</v>
      </c>
      <c r="H17" s="94">
        <f>E17*D5*F6</f>
        <v>240.1875</v>
      </c>
    </row>
    <row r="18" spans="2:10" ht="16.5" thickTop="1" thickBot="1" x14ac:dyDescent="0.3">
      <c r="B18" s="90" t="s">
        <v>180</v>
      </c>
      <c r="C18" s="135" t="s">
        <v>139</v>
      </c>
      <c r="D18" s="122" t="s">
        <v>126</v>
      </c>
      <c r="E18" s="206">
        <v>0</v>
      </c>
      <c r="F18" s="206"/>
      <c r="G18" s="120" t="s">
        <v>94</v>
      </c>
      <c r="H18" s="120"/>
      <c r="J18" s="95">
        <f>SUM(J12:J15)</f>
        <v>269.45652000000001</v>
      </c>
    </row>
    <row r="19" spans="2:10" ht="17.25" thickTop="1" thickBot="1" x14ac:dyDescent="0.3">
      <c r="B19" s="99"/>
      <c r="C19" s="137"/>
      <c r="D19" s="97"/>
      <c r="E19" s="195">
        <f>SUM(E13:F18)</f>
        <v>2.375E-2</v>
      </c>
      <c r="F19" s="196"/>
      <c r="G19" s="90" t="s">
        <v>25</v>
      </c>
      <c r="H19" s="100">
        <f>H18+H17+H16+H15+H14+H13+H12</f>
        <v>509.64402000000001</v>
      </c>
      <c r="J19" s="101" t="s">
        <v>140</v>
      </c>
    </row>
    <row r="20" spans="2:10" ht="15.75" thickTop="1" x14ac:dyDescent="0.25">
      <c r="F20" s="82"/>
    </row>
    <row r="21" spans="2:10" x14ac:dyDescent="0.25">
      <c r="E21" s="95"/>
      <c r="F21" s="82"/>
    </row>
    <row r="22" spans="2:10" x14ac:dyDescent="0.25">
      <c r="F22" s="82"/>
    </row>
  </sheetData>
  <mergeCells count="14">
    <mergeCell ref="E19:F19"/>
    <mergeCell ref="C3:H3"/>
    <mergeCell ref="R6:S6"/>
    <mergeCell ref="E9:F9"/>
    <mergeCell ref="E10:F10"/>
    <mergeCell ref="C11:C14"/>
    <mergeCell ref="D11:D12"/>
    <mergeCell ref="E13:F13"/>
    <mergeCell ref="E14:F14"/>
    <mergeCell ref="E15:F15"/>
    <mergeCell ref="C16:C17"/>
    <mergeCell ref="E16:F16"/>
    <mergeCell ref="E17:F17"/>
    <mergeCell ref="E18:F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6"/>
  <sheetViews>
    <sheetView showGridLines="0" zoomScale="60" zoomScaleNormal="60" workbookViewId="0">
      <selection activeCell="H19" sqref="H19"/>
    </sheetView>
  </sheetViews>
  <sheetFormatPr baseColWidth="10" defaultColWidth="10.85546875" defaultRowHeight="15" x14ac:dyDescent="0.25"/>
  <cols>
    <col min="1" max="1" width="2.7109375" customWidth="1"/>
    <col min="2" max="2" width="57" bestFit="1" customWidth="1"/>
    <col min="3" max="3" width="21.28515625" style="74" customWidth="1"/>
    <col min="4" max="4" width="26.85546875" customWidth="1"/>
    <col min="5" max="5" width="11.7109375" style="1" customWidth="1"/>
    <col min="6" max="6" width="13.140625" style="1" bestFit="1" customWidth="1"/>
    <col min="7" max="7" width="17.42578125" style="1" customWidth="1"/>
    <col min="8" max="8" width="18.5703125" customWidth="1"/>
    <col min="9" max="9" width="48" customWidth="1"/>
  </cols>
  <sheetData>
    <row r="2" spans="1:10" x14ac:dyDescent="0.25">
      <c r="B2" s="4" t="s">
        <v>181</v>
      </c>
    </row>
    <row r="3" spans="1:10" ht="28.5" x14ac:dyDescent="0.45">
      <c r="A3" s="1"/>
      <c r="B3" s="216" t="s">
        <v>240</v>
      </c>
      <c r="C3" s="216"/>
      <c r="D3" s="216"/>
      <c r="E3" s="216"/>
      <c r="F3" s="216"/>
      <c r="G3" s="216"/>
    </row>
    <row r="4" spans="1:10" ht="15.75" thickBot="1" x14ac:dyDescent="0.3">
      <c r="A4" s="1"/>
      <c r="B4" s="1"/>
      <c r="F4" s="1" t="s">
        <v>104</v>
      </c>
      <c r="G4" s="1" t="s">
        <v>105</v>
      </c>
    </row>
    <row r="5" spans="1:10" ht="15.75" thickBot="1" x14ac:dyDescent="0.3">
      <c r="A5" s="1"/>
      <c r="B5" s="102" t="s">
        <v>106</v>
      </c>
      <c r="C5" s="76">
        <v>61</v>
      </c>
      <c r="D5" s="77" t="s">
        <v>107</v>
      </c>
      <c r="E5" s="75">
        <f>'IMSS OBR.'!F5</f>
        <v>113.14</v>
      </c>
      <c r="F5" s="75">
        <f>E5*3</f>
        <v>339.42</v>
      </c>
      <c r="G5" s="79">
        <f>E6-F5</f>
        <v>10.579999999999984</v>
      </c>
    </row>
    <row r="6" spans="1:10" ht="48" thickBot="1" x14ac:dyDescent="0.3">
      <c r="A6" s="1"/>
      <c r="B6" s="75" t="s">
        <v>108</v>
      </c>
      <c r="C6" s="80">
        <f>'IMSS OBR.'!D6</f>
        <v>350</v>
      </c>
      <c r="D6" s="77">
        <f>'IMSS OBR.'!E6</f>
        <v>1.0492999999999999</v>
      </c>
      <c r="E6" s="103">
        <v>350</v>
      </c>
      <c r="G6" s="82"/>
      <c r="I6" s="83" t="s">
        <v>109</v>
      </c>
    </row>
    <row r="7" spans="1:10" ht="15.75" thickBot="1" x14ac:dyDescent="0.3">
      <c r="A7" s="1"/>
      <c r="B7" s="84" t="s">
        <v>142</v>
      </c>
      <c r="C7" s="104">
        <v>5.0000000000000001E-3</v>
      </c>
      <c r="D7" t="s">
        <v>143</v>
      </c>
    </row>
    <row r="8" spans="1:10" ht="15.75" thickBot="1" x14ac:dyDescent="0.3">
      <c r="A8" s="1"/>
      <c r="B8" s="1"/>
    </row>
    <row r="9" spans="1:10" ht="18.75" thickTop="1" thickBot="1" x14ac:dyDescent="0.3">
      <c r="A9" s="88"/>
      <c r="B9" s="75" t="s">
        <v>115</v>
      </c>
      <c r="C9" s="89" t="s">
        <v>116</v>
      </c>
      <c r="D9" s="199" t="s">
        <v>144</v>
      </c>
      <c r="E9" s="199"/>
      <c r="F9" s="90" t="s">
        <v>118</v>
      </c>
      <c r="G9" s="90" t="s">
        <v>119</v>
      </c>
      <c r="I9" s="198" t="s">
        <v>110</v>
      </c>
      <c r="J9" s="198"/>
    </row>
    <row r="10" spans="1:10" ht="46.5" thickTop="1" thickBot="1" x14ac:dyDescent="0.3">
      <c r="A10" s="1"/>
      <c r="B10" s="91" t="s">
        <v>121</v>
      </c>
      <c r="C10" s="92" t="s">
        <v>122</v>
      </c>
      <c r="D10" s="217" t="s">
        <v>145</v>
      </c>
      <c r="E10" s="218"/>
      <c r="F10" s="93" t="s">
        <v>123</v>
      </c>
      <c r="G10" s="105">
        <f>E6*C5*C7</f>
        <v>106.75</v>
      </c>
      <c r="H10">
        <v>1</v>
      </c>
      <c r="I10" s="86" t="s">
        <v>112</v>
      </c>
      <c r="J10" s="86" t="s">
        <v>113</v>
      </c>
    </row>
    <row r="11" spans="1:10" ht="46.5" thickTop="1" thickBot="1" x14ac:dyDescent="0.3">
      <c r="A11" s="1"/>
      <c r="B11" s="219" t="s">
        <v>125</v>
      </c>
      <c r="C11" s="203" t="s">
        <v>126</v>
      </c>
      <c r="D11" s="123" t="s">
        <v>127</v>
      </c>
      <c r="E11" s="124">
        <v>0.20399999999999999</v>
      </c>
      <c r="F11" s="125" t="s">
        <v>128</v>
      </c>
      <c r="G11" s="139">
        <f>E5*C5*E11</f>
        <v>1407.9141599999998</v>
      </c>
      <c r="H11">
        <v>2</v>
      </c>
      <c r="I11" s="87" t="s">
        <v>114</v>
      </c>
      <c r="J11" s="87">
        <v>0.54354999999999998</v>
      </c>
    </row>
    <row r="12" spans="1:10" ht="46.5" thickTop="1" thickBot="1" x14ac:dyDescent="0.3">
      <c r="A12" s="1"/>
      <c r="B12" s="219"/>
      <c r="C12" s="203"/>
      <c r="D12" s="127" t="s">
        <v>130</v>
      </c>
      <c r="E12" s="128">
        <v>1.0999999999999999E-2</v>
      </c>
      <c r="F12" s="129" t="s">
        <v>131</v>
      </c>
      <c r="G12" s="139">
        <f>((E6-F5)*E12*C5)</f>
        <v>7.0991799999999889</v>
      </c>
      <c r="H12">
        <v>3</v>
      </c>
      <c r="I12" s="87" t="s">
        <v>120</v>
      </c>
      <c r="J12" s="87">
        <v>1.1306499999999999</v>
      </c>
    </row>
    <row r="13" spans="1:10" ht="46.5" thickTop="1" thickBot="1" x14ac:dyDescent="0.3">
      <c r="A13" s="1"/>
      <c r="B13" s="219"/>
      <c r="C13" s="131" t="s">
        <v>133</v>
      </c>
      <c r="D13" s="204">
        <v>1.0500000000000001E-2</v>
      </c>
      <c r="E13" s="204"/>
      <c r="F13" s="129" t="s">
        <v>94</v>
      </c>
      <c r="G13" s="139">
        <f>D13*C5*E6</f>
        <v>224.17500000000001</v>
      </c>
      <c r="H13">
        <v>4</v>
      </c>
      <c r="I13" s="87" t="s">
        <v>124</v>
      </c>
      <c r="J13" s="87">
        <v>2.5983999999999998</v>
      </c>
    </row>
    <row r="14" spans="1:10" ht="18.75" thickTop="1" thickBot="1" x14ac:dyDescent="0.3">
      <c r="B14" s="219"/>
      <c r="C14" s="132" t="s">
        <v>134</v>
      </c>
      <c r="D14" s="205">
        <v>7.0000000000000001E-3</v>
      </c>
      <c r="E14" s="205"/>
      <c r="F14" s="126" t="s">
        <v>94</v>
      </c>
      <c r="G14" s="139">
        <f>D14*C5*E6</f>
        <v>149.44999999999999</v>
      </c>
      <c r="H14">
        <v>5</v>
      </c>
      <c r="I14" s="87" t="s">
        <v>129</v>
      </c>
      <c r="J14" s="87">
        <v>4.6532499999999999</v>
      </c>
    </row>
    <row r="15" spans="1:10" ht="18.75" thickTop="1" thickBot="1" x14ac:dyDescent="0.3">
      <c r="B15" s="140" t="s">
        <v>135</v>
      </c>
      <c r="C15" s="132" t="s">
        <v>122</v>
      </c>
      <c r="D15" s="205">
        <v>1.7500000000000002E-2</v>
      </c>
      <c r="E15" s="205"/>
      <c r="F15" s="126" t="s">
        <v>94</v>
      </c>
      <c r="G15" s="139">
        <f>D15*C5*E6</f>
        <v>373.62500000000006</v>
      </c>
      <c r="H15">
        <v>6</v>
      </c>
      <c r="I15" s="96" t="s">
        <v>132</v>
      </c>
      <c r="J15" s="96">
        <v>7.5887500000000001</v>
      </c>
    </row>
    <row r="16" spans="1:10" ht="16.5" thickTop="1" thickBot="1" x14ac:dyDescent="0.3">
      <c r="B16" s="210" t="s">
        <v>136</v>
      </c>
      <c r="C16" s="171" t="s">
        <v>146</v>
      </c>
      <c r="D16" s="211" t="s">
        <v>222</v>
      </c>
      <c r="E16" s="211"/>
      <c r="F16" s="172" t="s">
        <v>94</v>
      </c>
      <c r="G16" s="173">
        <f>'CyV2025'!L14</f>
        <v>1186.8465000000001</v>
      </c>
      <c r="H16" t="s">
        <v>218</v>
      </c>
    </row>
    <row r="17" spans="2:9" ht="16.5" thickTop="1" thickBot="1" x14ac:dyDescent="0.3">
      <c r="B17" s="210"/>
      <c r="C17" s="122" t="s">
        <v>137</v>
      </c>
      <c r="D17" s="212">
        <v>0.02</v>
      </c>
      <c r="E17" s="213"/>
      <c r="F17" s="120" t="s">
        <v>94</v>
      </c>
      <c r="G17" s="181">
        <f>D17*C5*E6</f>
        <v>427</v>
      </c>
      <c r="H17" t="s">
        <v>218</v>
      </c>
    </row>
    <row r="18" spans="2:9" ht="16.5" thickTop="1" thickBot="1" x14ac:dyDescent="0.3">
      <c r="B18" s="99" t="s">
        <v>139</v>
      </c>
      <c r="C18" s="97" t="s">
        <v>147</v>
      </c>
      <c r="D18" s="208">
        <v>0.01</v>
      </c>
      <c r="E18" s="208"/>
      <c r="F18" s="90" t="s">
        <v>94</v>
      </c>
      <c r="G18" s="106">
        <f>D18*C5*E6</f>
        <v>213.5</v>
      </c>
      <c r="H18">
        <v>7</v>
      </c>
    </row>
    <row r="19" spans="2:9" ht="16.5" thickTop="1" thickBot="1" x14ac:dyDescent="0.3">
      <c r="B19" s="180" t="s">
        <v>148</v>
      </c>
      <c r="C19" s="122" t="s">
        <v>134</v>
      </c>
      <c r="D19" s="214">
        <v>0.05</v>
      </c>
      <c r="E19" s="215"/>
      <c r="F19" s="120"/>
      <c r="G19" s="181">
        <f>D19*C5*E6</f>
        <v>1067.5</v>
      </c>
      <c r="H19" t="s">
        <v>218</v>
      </c>
    </row>
    <row r="20" spans="2:9" ht="22.5" thickTop="1" thickBot="1" x14ac:dyDescent="0.4">
      <c r="B20" s="99"/>
      <c r="C20" s="97"/>
      <c r="D20" s="195">
        <f>SUM(D13:E19)</f>
        <v>0.115</v>
      </c>
      <c r="E20" s="196"/>
      <c r="F20" s="90" t="s">
        <v>25</v>
      </c>
      <c r="G20" s="141">
        <f>G18+G17+G16+G15+G14+G13+G12+G11+G10+G19</f>
        <v>5163.8598400000001</v>
      </c>
      <c r="H20" s="166">
        <f>G10+G11+G12+G13+G14+G15+G18</f>
        <v>2482.51334</v>
      </c>
      <c r="I20" s="101" t="s">
        <v>140</v>
      </c>
    </row>
    <row r="21" spans="2:9" ht="15.75" thickTop="1" x14ac:dyDescent="0.25">
      <c r="B21" t="s">
        <v>141</v>
      </c>
      <c r="E21" s="82"/>
    </row>
    <row r="22" spans="2:9" x14ac:dyDescent="0.25">
      <c r="D22" s="95"/>
      <c r="E22" s="82"/>
    </row>
    <row r="23" spans="2:9" x14ac:dyDescent="0.25">
      <c r="E23" s="82"/>
    </row>
    <row r="24" spans="2:9" ht="21" x14ac:dyDescent="0.35">
      <c r="H24" s="167" t="s">
        <v>219</v>
      </c>
    </row>
    <row r="25" spans="2:9" ht="18.75" x14ac:dyDescent="0.3">
      <c r="G25" s="1" t="s">
        <v>220</v>
      </c>
      <c r="H25" t="s">
        <v>221</v>
      </c>
      <c r="I25" s="170" t="s">
        <v>154</v>
      </c>
    </row>
    <row r="26" spans="2:9" ht="61.5" x14ac:dyDescent="0.9">
      <c r="G26" s="168">
        <f>'IMSS OBR.'!J18</f>
        <v>269.45652000000001</v>
      </c>
      <c r="H26" s="169">
        <f>H20</f>
        <v>2482.51334</v>
      </c>
      <c r="I26" s="182">
        <f>G26+H26</f>
        <v>2751.9698600000002</v>
      </c>
    </row>
  </sheetData>
  <mergeCells count="15">
    <mergeCell ref="B3:G3"/>
    <mergeCell ref="D9:E9"/>
    <mergeCell ref="I9:J9"/>
    <mergeCell ref="D10:E10"/>
    <mergeCell ref="B11:B14"/>
    <mergeCell ref="C11:C12"/>
    <mergeCell ref="D13:E13"/>
    <mergeCell ref="D14:E14"/>
    <mergeCell ref="D20:E20"/>
    <mergeCell ref="D15:E15"/>
    <mergeCell ref="B16:B17"/>
    <mergeCell ref="D16:E16"/>
    <mergeCell ref="D17:E17"/>
    <mergeCell ref="D18:E18"/>
    <mergeCell ref="D19:E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55"/>
  <sheetViews>
    <sheetView showGridLines="0" workbookViewId="0">
      <selection activeCell="I2" sqref="I2"/>
    </sheetView>
  </sheetViews>
  <sheetFormatPr baseColWidth="10" defaultRowHeight="15" x14ac:dyDescent="0.25"/>
  <cols>
    <col min="1" max="1" width="1.28515625" customWidth="1"/>
    <col min="3" max="3" width="30.42578125" bestFit="1" customWidth="1"/>
    <col min="6" max="6" width="11.7109375" customWidth="1"/>
    <col min="7" max="7" width="14.140625" customWidth="1"/>
  </cols>
  <sheetData>
    <row r="1" spans="2:6" ht="15.75" thickBot="1" x14ac:dyDescent="0.3"/>
    <row r="2" spans="2:6" ht="17.25" thickTop="1" thickBot="1" x14ac:dyDescent="0.3">
      <c r="C2" s="228" t="s">
        <v>196</v>
      </c>
      <c r="D2" s="229"/>
    </row>
    <row r="3" spans="2:6" ht="16.5" thickTop="1" thickBot="1" x14ac:dyDescent="0.3">
      <c r="C3" s="145" t="s">
        <v>182</v>
      </c>
      <c r="D3" s="147"/>
      <c r="E3" s="146"/>
      <c r="F3" s="4" t="s">
        <v>197</v>
      </c>
    </row>
    <row r="4" spans="2:6" ht="16.5" thickTop="1" thickBot="1" x14ac:dyDescent="0.3">
      <c r="C4" s="143" t="s">
        <v>183</v>
      </c>
      <c r="D4" s="148">
        <v>0.25</v>
      </c>
      <c r="E4" s="146"/>
      <c r="F4" t="s">
        <v>198</v>
      </c>
    </row>
    <row r="5" spans="2:6" ht="16.5" thickTop="1" thickBot="1" x14ac:dyDescent="0.3">
      <c r="C5" s="143" t="s">
        <v>184</v>
      </c>
      <c r="D5" s="149">
        <v>321.5</v>
      </c>
      <c r="E5" s="146"/>
      <c r="F5" t="s">
        <v>199</v>
      </c>
    </row>
    <row r="6" spans="2:6" ht="16.5" thickTop="1" thickBot="1" x14ac:dyDescent="0.3">
      <c r="C6" s="145" t="s">
        <v>185</v>
      </c>
      <c r="D6" s="143">
        <v>15</v>
      </c>
      <c r="E6" s="146"/>
    </row>
    <row r="7" spans="2:6" ht="16.5" thickTop="1" thickBot="1" x14ac:dyDescent="0.3"/>
    <row r="8" spans="2:6" ht="17.25" thickTop="1" thickBot="1" x14ac:dyDescent="0.3">
      <c r="B8" s="156" t="s">
        <v>195</v>
      </c>
      <c r="C8" s="228" t="s">
        <v>186</v>
      </c>
      <c r="D8" s="229"/>
    </row>
    <row r="9" spans="2:6" ht="16.5" thickTop="1" thickBot="1" x14ac:dyDescent="0.3">
      <c r="B9" s="155" t="s">
        <v>188</v>
      </c>
      <c r="C9" s="150" t="s">
        <v>184</v>
      </c>
      <c r="D9" s="144">
        <v>321.5</v>
      </c>
    </row>
    <row r="10" spans="2:6" ht="16.5" thickTop="1" thickBot="1" x14ac:dyDescent="0.3">
      <c r="B10" s="154" t="s">
        <v>187</v>
      </c>
      <c r="C10" s="151" t="s">
        <v>183</v>
      </c>
      <c r="D10" s="152">
        <v>0.25</v>
      </c>
      <c r="E10" s="230" t="s">
        <v>200</v>
      </c>
      <c r="F10" s="231"/>
    </row>
    <row r="11" spans="2:6" ht="16.5" thickTop="1" thickBot="1" x14ac:dyDescent="0.3">
      <c r="B11" s="154" t="s">
        <v>188</v>
      </c>
      <c r="C11" s="151" t="s">
        <v>191</v>
      </c>
      <c r="D11" s="153">
        <v>80.38</v>
      </c>
      <c r="E11" s="146"/>
    </row>
    <row r="12" spans="2:6" ht="16.5" thickTop="1" thickBot="1" x14ac:dyDescent="0.3">
      <c r="B12" s="154" t="s">
        <v>189</v>
      </c>
      <c r="C12" s="150" t="s">
        <v>192</v>
      </c>
      <c r="D12" s="151">
        <v>15</v>
      </c>
      <c r="E12" s="224" t="s">
        <v>201</v>
      </c>
      <c r="F12" s="225"/>
    </row>
    <row r="13" spans="2:6" ht="16.5" thickTop="1" thickBot="1" x14ac:dyDescent="0.3">
      <c r="B13" s="154" t="s">
        <v>188</v>
      </c>
      <c r="C13" s="146" t="s">
        <v>193</v>
      </c>
      <c r="D13" s="151">
        <v>1205.6300000000001</v>
      </c>
      <c r="E13" s="157"/>
    </row>
    <row r="14" spans="2:6" ht="16.5" thickTop="1" thickBot="1" x14ac:dyDescent="0.3">
      <c r="B14" s="154" t="s">
        <v>190</v>
      </c>
      <c r="C14" s="151" t="s">
        <v>194</v>
      </c>
      <c r="D14" s="151">
        <v>3.75</v>
      </c>
      <c r="E14" s="146" t="s">
        <v>202</v>
      </c>
    </row>
    <row r="15" spans="2:6" ht="16.5" thickTop="1" thickBot="1" x14ac:dyDescent="0.3">
      <c r="C15" s="160" t="s">
        <v>203</v>
      </c>
      <c r="D15" s="160">
        <f>D13+D14</f>
        <v>1209.3800000000001</v>
      </c>
      <c r="E15">
        <f>15/60*15</f>
        <v>3.75</v>
      </c>
    </row>
    <row r="16" spans="2:6" ht="15.75" thickTop="1" x14ac:dyDescent="0.25"/>
    <row r="19" spans="2:6" ht="15.75" thickBot="1" x14ac:dyDescent="0.3"/>
    <row r="20" spans="2:6" ht="17.25" thickTop="1" thickBot="1" x14ac:dyDescent="0.3">
      <c r="C20" s="228" t="s">
        <v>196</v>
      </c>
      <c r="D20" s="229"/>
    </row>
    <row r="21" spans="2:6" ht="16.5" thickTop="1" thickBot="1" x14ac:dyDescent="0.3">
      <c r="C21" s="145" t="s">
        <v>182</v>
      </c>
      <c r="D21" s="147"/>
      <c r="E21" s="146"/>
      <c r="F21" s="18" t="s">
        <v>197</v>
      </c>
    </row>
    <row r="22" spans="2:6" ht="16.5" thickTop="1" thickBot="1" x14ac:dyDescent="0.3">
      <c r="C22" s="143" t="s">
        <v>204</v>
      </c>
      <c r="D22" s="148" t="s">
        <v>205</v>
      </c>
      <c r="E22" s="146"/>
      <c r="F22" s="4" t="s">
        <v>198</v>
      </c>
    </row>
    <row r="23" spans="2:6" ht="16.5" thickTop="1" thickBot="1" x14ac:dyDescent="0.3">
      <c r="C23" s="143" t="s">
        <v>206</v>
      </c>
      <c r="D23" s="149">
        <v>3907.37</v>
      </c>
      <c r="E23" s="146"/>
      <c r="F23" t="s">
        <v>199</v>
      </c>
    </row>
    <row r="24" spans="2:6" ht="16.5" thickTop="1" thickBot="1" x14ac:dyDescent="0.3">
      <c r="C24" s="145" t="s">
        <v>185</v>
      </c>
      <c r="D24" s="143">
        <v>15</v>
      </c>
      <c r="E24" s="146"/>
    </row>
    <row r="25" spans="2:6" ht="16.5" thickTop="1" thickBot="1" x14ac:dyDescent="0.3"/>
    <row r="26" spans="2:6" ht="17.25" thickTop="1" thickBot="1" x14ac:dyDescent="0.3">
      <c r="B26" s="156" t="s">
        <v>195</v>
      </c>
      <c r="C26" s="228" t="s">
        <v>207</v>
      </c>
      <c r="D26" s="229"/>
    </row>
    <row r="27" spans="2:6" ht="16.5" thickTop="1" thickBot="1" x14ac:dyDescent="0.3">
      <c r="B27" s="155" t="s">
        <v>188</v>
      </c>
      <c r="C27" s="150" t="s">
        <v>183</v>
      </c>
      <c r="D27" s="144">
        <v>3907.37</v>
      </c>
      <c r="E27" s="226" t="s">
        <v>210</v>
      </c>
      <c r="F27" s="227"/>
    </row>
    <row r="28" spans="2:6" ht="16.5" thickTop="1" thickBot="1" x14ac:dyDescent="0.3">
      <c r="B28" s="154" t="s">
        <v>208</v>
      </c>
      <c r="C28" s="151" t="s">
        <v>209</v>
      </c>
      <c r="D28" s="158">
        <v>30</v>
      </c>
      <c r="E28" s="220"/>
      <c r="F28" s="221"/>
    </row>
    <row r="29" spans="2:6" ht="16.5" thickTop="1" thickBot="1" x14ac:dyDescent="0.3">
      <c r="B29" s="154" t="s">
        <v>188</v>
      </c>
      <c r="C29" s="151" t="s">
        <v>191</v>
      </c>
      <c r="D29" s="153">
        <f>D27/D28</f>
        <v>130.24566666666666</v>
      </c>
      <c r="E29" s="146"/>
    </row>
    <row r="30" spans="2:6" ht="16.5" thickTop="1" thickBot="1" x14ac:dyDescent="0.3">
      <c r="B30" s="154" t="s">
        <v>189</v>
      </c>
      <c r="C30" s="150" t="s">
        <v>192</v>
      </c>
      <c r="D30" s="151">
        <v>15</v>
      </c>
      <c r="E30" s="224" t="s">
        <v>201</v>
      </c>
      <c r="F30" s="225"/>
    </row>
    <row r="31" spans="2:6" ht="16.5" thickTop="1" thickBot="1" x14ac:dyDescent="0.3">
      <c r="B31" s="154" t="s">
        <v>188</v>
      </c>
      <c r="C31" s="146" t="s">
        <v>193</v>
      </c>
      <c r="D31" s="159">
        <f>D29*D30</f>
        <v>1953.6849999999999</v>
      </c>
      <c r="E31" s="157"/>
    </row>
    <row r="32" spans="2:6" ht="16.5" thickTop="1" thickBot="1" x14ac:dyDescent="0.3">
      <c r="B32" s="154" t="s">
        <v>190</v>
      </c>
      <c r="C32" s="151" t="s">
        <v>194</v>
      </c>
      <c r="D32" s="151">
        <v>3.75</v>
      </c>
      <c r="E32" s="146" t="s">
        <v>202</v>
      </c>
    </row>
    <row r="33" spans="2:7" ht="16.5" thickTop="1" thickBot="1" x14ac:dyDescent="0.3">
      <c r="C33" s="160" t="s">
        <v>203</v>
      </c>
      <c r="D33" s="161">
        <f>D31+D32</f>
        <v>1957.4349999999999</v>
      </c>
      <c r="E33">
        <f>15/60*15</f>
        <v>3.75</v>
      </c>
    </row>
    <row r="34" spans="2:7" ht="15.75" thickTop="1" x14ac:dyDescent="0.25"/>
    <row r="37" spans="2:7" ht="15.75" thickBot="1" x14ac:dyDescent="0.3"/>
    <row r="38" spans="2:7" ht="17.25" thickTop="1" thickBot="1" x14ac:dyDescent="0.3">
      <c r="C38" s="228" t="s">
        <v>196</v>
      </c>
      <c r="D38" s="229"/>
    </row>
    <row r="39" spans="2:7" ht="16.5" thickTop="1" thickBot="1" x14ac:dyDescent="0.3">
      <c r="C39" s="145" t="s">
        <v>182</v>
      </c>
      <c r="D39" s="147"/>
      <c r="E39" s="146"/>
      <c r="F39" s="18" t="s">
        <v>197</v>
      </c>
    </row>
    <row r="40" spans="2:7" ht="16.5" thickTop="1" thickBot="1" x14ac:dyDescent="0.3">
      <c r="C40" s="143" t="s">
        <v>204</v>
      </c>
      <c r="D40" s="162" t="s">
        <v>211</v>
      </c>
      <c r="E40" s="146"/>
      <c r="F40" s="18" t="s">
        <v>198</v>
      </c>
    </row>
    <row r="41" spans="2:7" ht="16.5" thickTop="1" thickBot="1" x14ac:dyDescent="0.3">
      <c r="B41" t="s">
        <v>217</v>
      </c>
      <c r="C41" s="143" t="s">
        <v>206</v>
      </c>
      <c r="D41" s="165">
        <v>34.75</v>
      </c>
      <c r="E41" s="146"/>
      <c r="F41" s="4" t="s">
        <v>199</v>
      </c>
      <c r="G41" s="4"/>
    </row>
    <row r="42" spans="2:7" ht="16.5" thickTop="1" thickBot="1" x14ac:dyDescent="0.3">
      <c r="B42" t="s">
        <v>217</v>
      </c>
      <c r="C42" s="145" t="s">
        <v>212</v>
      </c>
      <c r="D42" s="143">
        <v>96.32</v>
      </c>
      <c r="E42" s="146"/>
      <c r="F42" t="s">
        <v>216</v>
      </c>
    </row>
    <row r="43" spans="2:7" ht="16.5" thickTop="1" thickBot="1" x14ac:dyDescent="0.3">
      <c r="C43" s="163" t="s">
        <v>192</v>
      </c>
      <c r="D43" s="163">
        <v>7</v>
      </c>
    </row>
    <row r="44" spans="2:7" ht="16.5" thickTop="1" thickBot="1" x14ac:dyDescent="0.3"/>
    <row r="45" spans="2:7" ht="17.25" thickTop="1" thickBot="1" x14ac:dyDescent="0.3">
      <c r="B45" s="156" t="s">
        <v>195</v>
      </c>
      <c r="C45" s="228" t="s">
        <v>207</v>
      </c>
      <c r="D45" s="229"/>
    </row>
    <row r="46" spans="2:7" ht="16.5" thickTop="1" thickBot="1" x14ac:dyDescent="0.3">
      <c r="B46" s="155" t="s">
        <v>188</v>
      </c>
      <c r="C46" s="150" t="s">
        <v>183</v>
      </c>
      <c r="D46" s="164">
        <v>34.75</v>
      </c>
      <c r="E46" s="226" t="s">
        <v>210</v>
      </c>
      <c r="F46" s="227"/>
    </row>
    <row r="47" spans="2:7" ht="16.5" thickTop="1" thickBot="1" x14ac:dyDescent="0.3">
      <c r="B47" s="154" t="s">
        <v>187</v>
      </c>
      <c r="C47" s="151" t="s">
        <v>213</v>
      </c>
      <c r="D47" s="158">
        <v>96.32</v>
      </c>
      <c r="E47" s="220"/>
      <c r="F47" s="221"/>
    </row>
    <row r="48" spans="2:7" ht="16.5" thickTop="1" thickBot="1" x14ac:dyDescent="0.3">
      <c r="B48" s="154" t="s">
        <v>188</v>
      </c>
      <c r="C48" s="151" t="s">
        <v>214</v>
      </c>
      <c r="D48" s="153">
        <f>D46*D47</f>
        <v>3347.12</v>
      </c>
      <c r="E48" s="146"/>
    </row>
    <row r="49" spans="2:6" ht="16.5" thickTop="1" thickBot="1" x14ac:dyDescent="0.3">
      <c r="B49" s="154" t="s">
        <v>208</v>
      </c>
      <c r="C49" s="150" t="s">
        <v>209</v>
      </c>
      <c r="D49" s="151">
        <v>30</v>
      </c>
      <c r="E49" s="222"/>
      <c r="F49" s="223"/>
    </row>
    <row r="50" spans="2:6" ht="16.5" thickTop="1" thickBot="1" x14ac:dyDescent="0.3">
      <c r="B50" s="154" t="s">
        <v>188</v>
      </c>
      <c r="C50" s="146" t="s">
        <v>191</v>
      </c>
      <c r="D50" s="159">
        <f>D48/D49</f>
        <v>111.57066666666667</v>
      </c>
      <c r="E50" s="157"/>
    </row>
    <row r="51" spans="2:6" ht="16.5" thickTop="1" thickBot="1" x14ac:dyDescent="0.3">
      <c r="B51" s="154" t="s">
        <v>187</v>
      </c>
      <c r="C51" s="146" t="s">
        <v>215</v>
      </c>
      <c r="D51" s="159">
        <v>7</v>
      </c>
      <c r="E51" s="157"/>
    </row>
    <row r="52" spans="2:6" ht="16.5" thickTop="1" thickBot="1" x14ac:dyDescent="0.3">
      <c r="B52" s="154"/>
      <c r="C52" s="146" t="s">
        <v>193</v>
      </c>
      <c r="D52" s="159">
        <f>D50*D51</f>
        <v>780.99466666666672</v>
      </c>
      <c r="E52" s="157"/>
    </row>
    <row r="53" spans="2:6" ht="16.5" thickTop="1" thickBot="1" x14ac:dyDescent="0.3">
      <c r="B53" s="154" t="s">
        <v>190</v>
      </c>
      <c r="C53" s="151" t="s">
        <v>194</v>
      </c>
      <c r="D53" s="151">
        <v>1.75</v>
      </c>
      <c r="E53" s="146" t="s">
        <v>202</v>
      </c>
    </row>
    <row r="54" spans="2:6" ht="16.5" thickTop="1" thickBot="1" x14ac:dyDescent="0.3">
      <c r="C54" s="160" t="s">
        <v>203</v>
      </c>
      <c r="D54" s="161">
        <f>D52+D53</f>
        <v>782.74466666666672</v>
      </c>
      <c r="E54">
        <f>7/60*15</f>
        <v>1.75</v>
      </c>
    </row>
    <row r="55" spans="2:6" ht="15.75" thickTop="1" x14ac:dyDescent="0.25"/>
  </sheetData>
  <mergeCells count="14">
    <mergeCell ref="C38:D38"/>
    <mergeCell ref="C45:D45"/>
    <mergeCell ref="E46:F46"/>
    <mergeCell ref="C2:D2"/>
    <mergeCell ref="C8:D8"/>
    <mergeCell ref="E10:F10"/>
    <mergeCell ref="E12:F12"/>
    <mergeCell ref="C20:D20"/>
    <mergeCell ref="C26:D26"/>
    <mergeCell ref="E47:F47"/>
    <mergeCell ref="E49:F49"/>
    <mergeCell ref="E28:F28"/>
    <mergeCell ref="E30:F30"/>
    <mergeCell ref="E27:F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tabSelected="1" workbookViewId="0">
      <selection activeCell="A21" sqref="A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VACA.</vt:lpstr>
      <vt:lpstr>EJEMPLO PER.</vt:lpstr>
      <vt:lpstr>ejemplo SBC</vt:lpstr>
      <vt:lpstr>CyV2025</vt:lpstr>
      <vt:lpstr>IMSS OBR.</vt:lpstr>
      <vt:lpstr>IMSS PAT.</vt:lpstr>
      <vt:lpstr>IMSS MASIVO</vt:lpstr>
      <vt:lpstr>INFON</vt:lpstr>
      <vt:lpstr>FALTAS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becerra</dc:creator>
  <cp:lastModifiedBy>david perez</cp:lastModifiedBy>
  <dcterms:created xsi:type="dcterms:W3CDTF">2023-08-14T04:22:04Z</dcterms:created>
  <dcterms:modified xsi:type="dcterms:W3CDTF">2025-07-14T03:43:39Z</dcterms:modified>
</cp:coreProperties>
</file>