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Esther Chao\Documents\Fall 2017 Semester\"/>
    </mc:Choice>
  </mc:AlternateContent>
  <bookViews>
    <workbookView xWindow="0" yWindow="0" windowWidth="23040" windowHeight="9048" xr2:uid="{00000000-000D-0000-FFFF-FFFF00000000}"/>
  </bookViews>
  <sheets>
    <sheet name="TMUS+DISH" sheetId="1" r:id="rId1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9" i="1" l="1"/>
  <c r="T29" i="1"/>
  <c r="F18" i="1" l="1"/>
  <c r="N11" i="1"/>
  <c r="P3" i="1"/>
  <c r="D12" i="1" l="1"/>
  <c r="C12" i="1"/>
  <c r="I33" i="1" l="1"/>
  <c r="C26" i="1"/>
  <c r="D23" i="1"/>
  <c r="G18" i="1"/>
  <c r="D26" i="1"/>
  <c r="F13" i="1"/>
  <c r="C24" i="1"/>
  <c r="P23" i="1" s="1"/>
  <c r="F12" i="1"/>
  <c r="G12" i="1" s="1"/>
  <c r="F10" i="1"/>
  <c r="G10" i="1" s="1"/>
  <c r="I10" i="1" s="1"/>
  <c r="D7" i="1"/>
  <c r="F5" i="1"/>
  <c r="G5" i="1" s="1"/>
  <c r="I5" i="1" s="1"/>
  <c r="I4" i="1"/>
  <c r="G13" i="1" l="1"/>
  <c r="I18" i="1"/>
  <c r="C19" i="1"/>
  <c r="F31" i="1"/>
  <c r="D19" i="1"/>
  <c r="D21" i="1" s="1"/>
  <c r="E21" i="1"/>
  <c r="E28" i="1" s="1"/>
  <c r="F17" i="1"/>
  <c r="F19" i="1" s="1"/>
  <c r="L33" i="1" s="1"/>
  <c r="D24" i="1"/>
  <c r="C7" i="1"/>
  <c r="C23" i="1"/>
  <c r="I11" i="1" l="1"/>
  <c r="F21" i="1"/>
  <c r="C21" i="1"/>
  <c r="G19" i="1"/>
  <c r="D28" i="1"/>
  <c r="D25" i="1"/>
  <c r="D29" i="1"/>
  <c r="I15" i="1" l="1"/>
  <c r="I16" i="1" s="1"/>
  <c r="F29" i="1"/>
  <c r="C29" i="1"/>
  <c r="G21" i="1"/>
  <c r="C28" i="1"/>
  <c r="P7" i="1" s="1"/>
  <c r="C25" i="1"/>
  <c r="L13" i="1"/>
  <c r="I12" i="1"/>
  <c r="I13" i="1"/>
  <c r="O29" i="1" s="1"/>
  <c r="P29" i="1" s="1"/>
  <c r="Q29" i="1" s="1"/>
  <c r="R29" i="1" s="1"/>
  <c r="S29" i="1" s="1"/>
  <c r="G29" i="1" l="1"/>
  <c r="I21" i="1"/>
  <c r="I25" i="1" s="1"/>
  <c r="G25" i="1"/>
  <c r="I17" i="1"/>
  <c r="I19" i="1" s="1"/>
  <c r="C33" i="1" s="1"/>
  <c r="F33" i="1" s="1"/>
  <c r="L11" i="1"/>
  <c r="I29" i="1" l="1"/>
  <c r="P4" i="1" l="1"/>
  <c r="F6" i="1"/>
  <c r="G6" i="1"/>
  <c r="I6" i="1"/>
  <c r="F7" i="1"/>
  <c r="G7" i="1"/>
  <c r="I7" i="1"/>
  <c r="F8" i="1"/>
  <c r="G8" i="1"/>
  <c r="I8" i="1"/>
  <c r="P8" i="1"/>
  <c r="P11" i="1"/>
  <c r="G23" i="1"/>
  <c r="I23" i="1"/>
  <c r="G24" i="1"/>
  <c r="I24" i="1"/>
  <c r="P24" i="1"/>
  <c r="I26" i="1"/>
  <c r="L26" i="1"/>
  <c r="F28" i="1"/>
  <c r="G28" i="1"/>
  <c r="I28" i="1"/>
  <c r="O30" i="1"/>
  <c r="P30" i="1"/>
  <c r="Q30" i="1"/>
  <c r="R30" i="1"/>
  <c r="S30" i="1"/>
  <c r="T30" i="1"/>
  <c r="U30" i="1"/>
  <c r="F32" i="1"/>
  <c r="G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UserPC</author>
    <author>Esther Chao</author>
  </authors>
  <commentList>
    <comment ref="L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UserPC:</t>
        </r>
        <r>
          <rPr>
            <sz val="9"/>
            <color indexed="81"/>
            <rFont val="Tahoma"/>
            <family val="2"/>
          </rPr>
          <t xml:space="preserve">
Dividend per Share x Additional Shares Issued</t>
        </r>
      </text>
    </comment>
    <comment ref="A12" authorId="1" shapeId="0" xr:uid="{952D9D51-BDDA-481B-ADBA-E23833A2C247}">
      <text>
        <r>
          <rPr>
            <b/>
            <sz val="9"/>
            <color indexed="81"/>
            <rFont val="Tahoma"/>
            <family val="2"/>
          </rPr>
          <t>Esther Chao:</t>
        </r>
        <r>
          <rPr>
            <sz val="9"/>
            <color indexed="81"/>
            <rFont val="Tahoma"/>
            <family val="2"/>
          </rPr>
          <t xml:space="preserve">
2018E Total Debt not given on CapIQ Net Debt was.
Net Debt = Total Debt - Cash</t>
        </r>
      </text>
    </comment>
    <comment ref="L1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UserPC:</t>
        </r>
        <r>
          <rPr>
            <sz val="9"/>
            <color indexed="81"/>
            <rFont val="Tahoma"/>
            <family val="2"/>
          </rPr>
          <t xml:space="preserve">
After-Tax Interest Exp</t>
        </r>
      </text>
    </comment>
  </commentList>
</comments>
</file>

<file path=xl/sharedStrings.xml><?xml version="1.0" encoding="utf-8"?>
<sst xmlns="http://schemas.openxmlformats.org/spreadsheetml/2006/main" count="68" uniqueCount="61">
  <si>
    <t>($ mil)</t>
  </si>
  <si>
    <t>Acquirer</t>
  </si>
  <si>
    <t>Target</t>
  </si>
  <si>
    <t>+ Premium</t>
  </si>
  <si>
    <t>Combined</t>
  </si>
  <si>
    <t>PF</t>
  </si>
  <si>
    <t>&amp; Synergies</t>
  </si>
  <si>
    <t>Subscribers</t>
  </si>
  <si>
    <t>Revenues</t>
  </si>
  <si>
    <t>EBITDA</t>
  </si>
  <si>
    <t>FCF</t>
  </si>
  <si>
    <t>Cash</t>
  </si>
  <si>
    <t>Additional Dividend</t>
  </si>
  <si>
    <t>New Debt</t>
  </si>
  <si>
    <t>Total Debt</t>
  </si>
  <si>
    <t>Additional Interest</t>
  </si>
  <si>
    <t>Net Debt</t>
  </si>
  <si>
    <t>New Equity Value</t>
  </si>
  <si>
    <t>New Shares</t>
  </si>
  <si>
    <t>Total Shares</t>
  </si>
  <si>
    <t>Stock Price</t>
  </si>
  <si>
    <t>Equity Value</t>
  </si>
  <si>
    <t>Enterprise Value</t>
  </si>
  <si>
    <t>Gross Debt/EBITDA</t>
  </si>
  <si>
    <t>Net Debt/EBITDA</t>
  </si>
  <si>
    <t>Debt/EV</t>
  </si>
  <si>
    <t>FCF/Share</t>
  </si>
  <si>
    <t>EV/EBITDA</t>
  </si>
  <si>
    <t>EV/Sales</t>
  </si>
  <si>
    <t>Stock Deal Premium</t>
  </si>
  <si>
    <t>Funding Mix</t>
  </si>
  <si>
    <t>Synergies</t>
  </si>
  <si>
    <t>Debt</t>
  </si>
  <si>
    <t>Stock</t>
  </si>
  <si>
    <t>Equity Ownership</t>
  </si>
  <si>
    <t>2018E</t>
  </si>
  <si>
    <t>Accretion/Dilution</t>
  </si>
  <si>
    <t>TMUS</t>
  </si>
  <si>
    <t>DISH</t>
  </si>
  <si>
    <t>EPS (TMUS)</t>
  </si>
  <si>
    <t>EPS (TMUS+DISH)</t>
  </si>
  <si>
    <t>Transaction Analysis</t>
  </si>
  <si>
    <t>EPS Comparison</t>
  </si>
  <si>
    <t>EV/EBITDA Multiple</t>
  </si>
  <si>
    <t>Original (TMUS)</t>
  </si>
  <si>
    <t>PF (TMUS+DISH)</t>
  </si>
  <si>
    <t>Cash Flow Accretion/Dilution</t>
  </si>
  <si>
    <t>Accretion</t>
  </si>
  <si>
    <t>Premium</t>
  </si>
  <si>
    <t>CF Accretion Inflection Point</t>
  </si>
  <si>
    <t>Leverage Ratio</t>
  </si>
  <si>
    <t>Plan to Pay Down Debt</t>
  </si>
  <si>
    <t>2019E</t>
  </si>
  <si>
    <t>2020E</t>
  </si>
  <si>
    <t>2021E</t>
  </si>
  <si>
    <t>2022E</t>
  </si>
  <si>
    <t>Merger Cost</t>
  </si>
  <si>
    <t>TMUS+DISH Merger Analysis</t>
  </si>
  <si>
    <t>TMUS+DISH</t>
  </si>
  <si>
    <t>2023E</t>
  </si>
  <si>
    <t>2024E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</si>
</sst>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&quot;$&quot;#,##0.00"/>
    <numFmt numFmtId="167" formatCode="0.00\x"/>
    <numFmt numFmtId="168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color rgb="FF00206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Fill="1" applyBorder="1"/>
    <xf numFmtId="164" fontId="4" fillId="0" borderId="0" xfId="1" applyNumberFormat="1" applyFont="1"/>
    <xf numFmtId="0" fontId="4" fillId="0" borderId="0" xfId="0" applyFont="1" applyFill="1" applyBorder="1"/>
    <xf numFmtId="9" fontId="4" fillId="0" borderId="0" xfId="2" applyFont="1"/>
    <xf numFmtId="164" fontId="0" fillId="0" borderId="0" xfId="0" applyNumberFormat="1"/>
    <xf numFmtId="0" fontId="3" fillId="0" borderId="1" xfId="0" applyFont="1" applyBorder="1"/>
    <xf numFmtId="0" fontId="4" fillId="0" borderId="2" xfId="0" applyFont="1" applyBorder="1"/>
    <xf numFmtId="164" fontId="4" fillId="0" borderId="2" xfId="1" applyNumberFormat="1" applyFont="1" applyBorder="1"/>
    <xf numFmtId="164" fontId="3" fillId="0" borderId="3" xfId="1" applyNumberFormat="1" applyFont="1" applyBorder="1"/>
    <xf numFmtId="164" fontId="4" fillId="0" borderId="0" xfId="0" applyNumberFormat="1" applyFont="1"/>
    <xf numFmtId="165" fontId="4" fillId="0" borderId="0" xfId="1" applyNumberFormat="1" applyFont="1"/>
    <xf numFmtId="166" fontId="4" fillId="0" borderId="0" xfId="1" applyNumberFormat="1" applyFont="1"/>
    <xf numFmtId="166" fontId="4" fillId="0" borderId="0" xfId="0" applyNumberFormat="1" applyFont="1" applyAlignment="1">
      <alignment horizontal="right"/>
    </xf>
    <xf numFmtId="166" fontId="4" fillId="2" borderId="0" xfId="0" applyNumberFormat="1" applyFont="1" applyFill="1" applyAlignment="1">
      <alignment horizontal="right"/>
    </xf>
    <xf numFmtId="43" fontId="4" fillId="0" borderId="0" xfId="1" applyFont="1"/>
    <xf numFmtId="167" fontId="3" fillId="0" borderId="0" xfId="0" applyNumberFormat="1" applyFont="1"/>
    <xf numFmtId="9" fontId="3" fillId="0" borderId="0" xfId="2" applyFont="1"/>
    <xf numFmtId="166" fontId="3" fillId="0" borderId="0" xfId="1" applyNumberFormat="1" applyFont="1"/>
    <xf numFmtId="167" fontId="4" fillId="0" borderId="0" xfId="0" applyNumberFormat="1" applyFont="1"/>
    <xf numFmtId="168" fontId="7" fillId="0" borderId="4" xfId="2" applyNumberFormat="1" applyFont="1" applyBorder="1"/>
    <xf numFmtId="0" fontId="6" fillId="0" borderId="0" xfId="0" applyFont="1" applyAlignment="1">
      <alignment horizontal="center"/>
    </xf>
    <xf numFmtId="168" fontId="3" fillId="0" borderId="0" xfId="2" applyNumberFormat="1" applyFont="1"/>
    <xf numFmtId="168" fontId="4" fillId="0" borderId="0" xfId="0" applyNumberFormat="1" applyFont="1"/>
    <xf numFmtId="168" fontId="3" fillId="0" borderId="0" xfId="0" applyNumberFormat="1" applyFont="1"/>
    <xf numFmtId="168" fontId="7" fillId="0" borderId="4" xfId="2" applyNumberFormat="1" applyFont="1" applyBorder="1" applyAlignment="1">
      <alignment horizontal="center"/>
    </xf>
    <xf numFmtId="168" fontId="4" fillId="0" borderId="0" xfId="2" applyNumberFormat="1" applyFont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5" fillId="3" borderId="0" xfId="0" quotePrefix="1" applyFont="1" applyFill="1" applyAlignment="1">
      <alignment horizontal="right"/>
    </xf>
    <xf numFmtId="0" fontId="0" fillId="0" borderId="6" xfId="0" applyBorder="1"/>
    <xf numFmtId="0" fontId="2" fillId="0" borderId="7" xfId="0" applyFont="1" applyBorder="1" applyAlignment="1">
      <alignment horizontal="right"/>
    </xf>
    <xf numFmtId="0" fontId="0" fillId="0" borderId="8" xfId="0" applyBorder="1"/>
    <xf numFmtId="164" fontId="0" fillId="0" borderId="9" xfId="1" applyNumberFormat="1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0" fillId="0" borderId="10" xfId="0" applyBorder="1"/>
    <xf numFmtId="164" fontId="0" fillId="0" borderId="11" xfId="1" applyNumberFormat="1" applyFont="1" applyBorder="1" applyAlignment="1">
      <alignment horizontal="right"/>
    </xf>
    <xf numFmtId="0" fontId="3" fillId="0" borderId="6" xfId="0" applyFont="1" applyFill="1" applyBorder="1"/>
    <xf numFmtId="9" fontId="3" fillId="0" borderId="11" xfId="2" applyFont="1" applyFill="1" applyBorder="1"/>
    <xf numFmtId="168" fontId="4" fillId="0" borderId="0" xfId="2" applyNumberFormat="1" applyFont="1"/>
    <xf numFmtId="9" fontId="0" fillId="0" borderId="0" xfId="0" applyNumberFormat="1"/>
    <xf numFmtId="9" fontId="0" fillId="0" borderId="0" xfId="2" applyFont="1"/>
    <xf numFmtId="4" fontId="0" fillId="0" borderId="0" xfId="0" applyNumberFormat="1"/>
    <xf numFmtId="43" fontId="0" fillId="0" borderId="0" xfId="0" applyNumberFormat="1"/>
    <xf numFmtId="43" fontId="7" fillId="0" borderId="4" xfId="1" applyNumberFormat="1" applyFont="1" applyBorder="1"/>
    <xf numFmtId="43" fontId="10" fillId="0" borderId="0" xfId="1" applyFont="1" applyFill="1" applyBorder="1"/>
    <xf numFmtId="0" fontId="2" fillId="0" borderId="0" xfId="0" applyFont="1"/>
    <xf numFmtId="0" fontId="0" fillId="0" borderId="0" xfId="0" applyBorder="1"/>
    <xf numFmtId="166" fontId="4" fillId="0" borderId="0" xfId="1" applyNumberFormat="1" applyFont="1" applyBorder="1"/>
    <xf numFmtId="164" fontId="3" fillId="0" borderId="0" xfId="1" applyNumberFormat="1" applyFont="1" applyBorder="1"/>
    <xf numFmtId="0" fontId="0" fillId="0" borderId="0" xfId="0" applyFill="1"/>
    <xf numFmtId="0" fontId="5" fillId="0" borderId="0" xfId="0" applyFont="1" applyFill="1" applyAlignment="1">
      <alignment horizontal="right"/>
    </xf>
    <xf numFmtId="164" fontId="4" fillId="0" borderId="0" xfId="1" applyNumberFormat="1" applyFont="1" applyFill="1"/>
    <xf numFmtId="166" fontId="10" fillId="0" borderId="0" xfId="1" applyNumberFormat="1" applyFont="1" applyBorder="1"/>
    <xf numFmtId="0" fontId="11" fillId="3" borderId="0" xfId="0" applyFont="1" applyFill="1"/>
    <xf numFmtId="0" fontId="12" fillId="3" borderId="0" xfId="0" applyFont="1" applyFill="1"/>
    <xf numFmtId="166" fontId="10" fillId="3" borderId="0" xfId="1" applyNumberFormat="1" applyFont="1" applyFill="1" applyBorder="1"/>
    <xf numFmtId="0" fontId="6" fillId="0" borderId="0" xfId="0" applyFont="1" applyFill="1" applyBorder="1"/>
    <xf numFmtId="0" fontId="0" fillId="0" borderId="0" xfId="0" applyFont="1" applyBorder="1"/>
    <xf numFmtId="0" fontId="0" fillId="3" borderId="0" xfId="0" applyFill="1"/>
    <xf numFmtId="167" fontId="10" fillId="0" borderId="0" xfId="0" applyNumberFormat="1" applyFont="1"/>
    <xf numFmtId="9" fontId="2" fillId="0" borderId="0" xfId="0" applyNumberFormat="1" applyFont="1"/>
    <xf numFmtId="166" fontId="10" fillId="0" borderId="0" xfId="0" applyNumberFormat="1" applyFont="1" applyAlignment="1">
      <alignment horizontal="right"/>
    </xf>
    <xf numFmtId="9" fontId="4" fillId="0" borderId="0" xfId="2" applyNumberFormat="1" applyFont="1"/>
    <xf numFmtId="9" fontId="10" fillId="0" borderId="0" xfId="2" applyNumberFormat="1" applyFont="1"/>
    <xf numFmtId="9" fontId="0" fillId="3" borderId="0" xfId="2" applyFont="1" applyFill="1"/>
    <xf numFmtId="9" fontId="2" fillId="3" borderId="0" xfId="0" applyNumberFormat="1" applyFont="1" applyFill="1"/>
    <xf numFmtId="0" fontId="4" fillId="0" borderId="6" xfId="0" applyFont="1" applyFill="1" applyBorder="1"/>
    <xf numFmtId="0" fontId="4" fillId="0" borderId="10" xfId="0" applyFont="1" applyFill="1" applyBorder="1"/>
    <xf numFmtId="164" fontId="4" fillId="0" borderId="11" xfId="1" applyNumberFormat="1" applyFont="1" applyBorder="1"/>
    <xf numFmtId="0" fontId="13" fillId="0" borderId="0" xfId="0" applyFont="1"/>
    <xf numFmtId="0" fontId="3" fillId="0" borderId="5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"/>
  <sheetViews>
    <sheetView tabSelected="1" zoomScale="90" zoomScaleNormal="90" workbookViewId="0">
      <selection activeCell="A2" sqref="A2"/>
    </sheetView>
  </sheetViews>
  <sheetFormatPr defaultRowHeight="14.4" x14ac:dyDescent="0.3"/>
  <cols>
    <col min="1" max="1" width="27.109375" customWidth="1"/>
    <col min="3" max="9" width="13.44140625" customWidth="1"/>
    <col min="10" max="10" width="4" customWidth="1"/>
    <col min="12" max="12" width="8.88671875" customWidth="1"/>
    <col min="13" max="13" width="4" customWidth="1"/>
    <col min="14" max="21" width="13.88671875" customWidth="1"/>
  </cols>
  <sheetData>
    <row r="1" spans="1:22" x14ac:dyDescent="0.3">
      <c r="A1" s="1" t="s">
        <v>57</v>
      </c>
      <c r="B1" s="2"/>
      <c r="C1" s="2"/>
      <c r="D1" s="2"/>
      <c r="E1" s="2"/>
      <c r="F1" s="2"/>
      <c r="G1" s="2"/>
      <c r="H1" s="2"/>
      <c r="I1" s="2"/>
      <c r="K1" s="3"/>
      <c r="N1" s="49" t="s">
        <v>41</v>
      </c>
    </row>
    <row r="2" spans="1:22" x14ac:dyDescent="0.3">
      <c r="A2" s="30" t="s">
        <v>0</v>
      </c>
      <c r="B2" s="30"/>
      <c r="C2" s="31" t="s">
        <v>1</v>
      </c>
      <c r="D2" s="31" t="s">
        <v>2</v>
      </c>
      <c r="E2" s="30"/>
      <c r="F2" s="32" t="s">
        <v>3</v>
      </c>
      <c r="G2" s="31" t="s">
        <v>4</v>
      </c>
      <c r="H2" s="30"/>
      <c r="I2" s="31" t="s">
        <v>5</v>
      </c>
      <c r="J2" s="53"/>
      <c r="K2" s="4"/>
      <c r="L2" s="53"/>
      <c r="N2" s="57" t="s">
        <v>42</v>
      </c>
      <c r="O2" s="58"/>
      <c r="P2" s="62"/>
    </row>
    <row r="3" spans="1:22" x14ac:dyDescent="0.3">
      <c r="A3" s="30" t="s">
        <v>35</v>
      </c>
      <c r="B3" s="30"/>
      <c r="C3" s="31" t="s">
        <v>37</v>
      </c>
      <c r="D3" s="31" t="s">
        <v>38</v>
      </c>
      <c r="E3" s="30"/>
      <c r="F3" s="31" t="s">
        <v>6</v>
      </c>
      <c r="G3" s="31"/>
      <c r="H3" s="30"/>
      <c r="I3" s="31" t="s">
        <v>58</v>
      </c>
      <c r="J3" s="54"/>
      <c r="K3" s="54"/>
      <c r="L3" s="54"/>
      <c r="N3" s="60" t="s">
        <v>39</v>
      </c>
      <c r="O3" s="61"/>
      <c r="P3" s="51">
        <f>C6/C17</f>
        <v>14.235769230769231</v>
      </c>
    </row>
    <row r="4" spans="1:22" x14ac:dyDescent="0.3">
      <c r="A4" s="2" t="s">
        <v>7</v>
      </c>
      <c r="B4" s="2"/>
      <c r="C4" s="5">
        <v>0</v>
      </c>
      <c r="D4" s="5"/>
      <c r="E4" s="5"/>
      <c r="F4" s="5"/>
      <c r="G4" s="5"/>
      <c r="H4" s="5"/>
      <c r="I4" s="5">
        <f>C4+D4</f>
        <v>0</v>
      </c>
      <c r="J4" s="55"/>
      <c r="K4" s="55"/>
      <c r="L4" s="55"/>
      <c r="N4" s="6" t="s">
        <v>40</v>
      </c>
      <c r="O4" s="50"/>
      <c r="P4" s="56">
        <f ca="1">I6/I17</f>
        <v>18.266738360323885</v>
      </c>
      <c r="T4" s="45"/>
      <c r="U4" s="45"/>
      <c r="V4" s="45"/>
    </row>
    <row r="5" spans="1:22" x14ac:dyDescent="0.3">
      <c r="A5" s="2" t="s">
        <v>8</v>
      </c>
      <c r="B5" s="2"/>
      <c r="C5" s="5">
        <v>42673.33</v>
      </c>
      <c r="D5" s="5">
        <v>13700.84</v>
      </c>
      <c r="E5" s="5"/>
      <c r="F5" s="5">
        <f>D5</f>
        <v>13700.84</v>
      </c>
      <c r="G5" s="5">
        <f>C5+F5</f>
        <v>56374.17</v>
      </c>
      <c r="H5" s="5"/>
      <c r="I5" s="5">
        <f>G5</f>
        <v>56374.17</v>
      </c>
      <c r="J5" s="5"/>
      <c r="K5" s="5"/>
      <c r="L5" s="5"/>
      <c r="N5" s="48"/>
      <c r="O5" s="56"/>
      <c r="T5" s="45"/>
      <c r="U5" s="45"/>
      <c r="V5" s="45"/>
    </row>
    <row r="6" spans="1:22" x14ac:dyDescent="0.3">
      <c r="A6" s="2" t="s">
        <v>9</v>
      </c>
      <c r="B6" s="2"/>
      <c r="C6" s="5">
        <v>11844.16</v>
      </c>
      <c r="D6" s="5">
        <v>2593.87</v>
      </c>
      <c r="E6" s="5"/>
      <c r="F6" s="5">
        <f ca="1">D6+F32</f>
        <v>3353.7663157894735</v>
      </c>
      <c r="G6" s="5">
        <f ca="1">C6+F6</f>
        <v>15197.926315789473</v>
      </c>
      <c r="H6" s="5"/>
      <c r="I6" s="5">
        <f ca="1">G6</f>
        <v>15197.926315789473</v>
      </c>
      <c r="J6" s="5"/>
      <c r="K6" s="5"/>
      <c r="L6" s="5"/>
      <c r="N6" s="57" t="s">
        <v>43</v>
      </c>
      <c r="O6" s="59"/>
      <c r="P6" s="62"/>
    </row>
    <row r="7" spans="1:22" x14ac:dyDescent="0.3">
      <c r="A7" s="2"/>
      <c r="B7" s="2"/>
      <c r="C7" s="7">
        <f>C6/C5</f>
        <v>0.27755415384737958</v>
      </c>
      <c r="D7" s="7">
        <f>D6/D5</f>
        <v>0.18932196858002867</v>
      </c>
      <c r="E7" s="7"/>
      <c r="F7" s="7">
        <f ca="1">F6/F5</f>
        <v>0.24478545226347243</v>
      </c>
      <c r="G7" s="7">
        <f ca="1">G6/G5</f>
        <v>0.26959024524510911</v>
      </c>
      <c r="H7" s="7"/>
      <c r="I7" s="7">
        <f ca="1">I6/I5</f>
        <v>0.26959024524510911</v>
      </c>
      <c r="J7" s="7"/>
      <c r="K7" s="7"/>
      <c r="L7" s="7"/>
      <c r="N7" s="60" t="s">
        <v>44</v>
      </c>
      <c r="O7" s="56"/>
      <c r="P7" s="22">
        <f>C28</f>
        <v>6.53877100613298</v>
      </c>
      <c r="T7" s="46"/>
      <c r="U7" s="46"/>
      <c r="V7" s="46"/>
    </row>
    <row r="8" spans="1:22" x14ac:dyDescent="0.3">
      <c r="A8" s="2" t="s">
        <v>10</v>
      </c>
      <c r="B8" s="2"/>
      <c r="C8" s="5">
        <v>3560.94</v>
      </c>
      <c r="D8" s="5">
        <v>1380.39</v>
      </c>
      <c r="E8" s="5"/>
      <c r="F8" s="5">
        <f ca="1">D8+F32</f>
        <v>2140.2863157894735</v>
      </c>
      <c r="G8" s="5">
        <f ca="1">C8+F8</f>
        <v>5701.226315789474</v>
      </c>
      <c r="H8" s="5"/>
      <c r="I8" s="5">
        <f ca="1">G8-L11-L13</f>
        <v>4759.829630989474</v>
      </c>
      <c r="K8" s="8"/>
      <c r="N8" s="60" t="s">
        <v>45</v>
      </c>
      <c r="O8" s="56"/>
      <c r="P8" s="63">
        <f ca="1">I28</f>
        <v>7.8300334774203968</v>
      </c>
    </row>
    <row r="9" spans="1:22" x14ac:dyDescent="0.3">
      <c r="A9" s="2"/>
      <c r="B9" s="2"/>
      <c r="C9" s="7"/>
      <c r="D9" s="7"/>
      <c r="E9" s="7"/>
      <c r="F9" s="7"/>
      <c r="G9" s="7"/>
      <c r="H9" s="7"/>
      <c r="I9" s="7"/>
      <c r="N9" s="3"/>
      <c r="O9" s="22"/>
    </row>
    <row r="10" spans="1:22" x14ac:dyDescent="0.3">
      <c r="A10" s="2" t="s">
        <v>11</v>
      </c>
      <c r="B10" s="2"/>
      <c r="C10" s="5">
        <v>8714.7999999999993</v>
      </c>
      <c r="D10" s="5">
        <v>2139.36</v>
      </c>
      <c r="E10" s="5"/>
      <c r="F10" s="5">
        <f>D10</f>
        <v>2139.36</v>
      </c>
      <c r="G10" s="5">
        <f>+C10+F10</f>
        <v>10854.16</v>
      </c>
      <c r="H10" s="5"/>
      <c r="I10" s="5">
        <f>G10</f>
        <v>10854.16</v>
      </c>
      <c r="K10" s="33"/>
      <c r="L10" s="34" t="s">
        <v>12</v>
      </c>
      <c r="N10" s="57" t="s">
        <v>46</v>
      </c>
      <c r="O10" s="59"/>
      <c r="P10" s="62"/>
    </row>
    <row r="11" spans="1:22" x14ac:dyDescent="0.3">
      <c r="A11" s="9" t="s">
        <v>13</v>
      </c>
      <c r="B11" s="10"/>
      <c r="C11" s="11"/>
      <c r="D11" s="11"/>
      <c r="E11" s="11"/>
      <c r="F11" s="11"/>
      <c r="G11" s="11"/>
      <c r="H11" s="11"/>
      <c r="I11" s="12">
        <f>F19*H33</f>
        <v>28966.05184</v>
      </c>
      <c r="K11" s="35"/>
      <c r="L11" s="36">
        <f>I16*(0.5775*4)</f>
        <v>0</v>
      </c>
      <c r="N11" s="60" t="str">
        <f>L25</f>
        <v>Accretion/Dilution</v>
      </c>
      <c r="O11" s="56"/>
      <c r="P11" s="67">
        <f ca="1">L26</f>
        <v>0.33667785219337421</v>
      </c>
    </row>
    <row r="12" spans="1:22" x14ac:dyDescent="0.3">
      <c r="A12" s="2" t="s">
        <v>14</v>
      </c>
      <c r="B12" s="2"/>
      <c r="C12" s="5">
        <f>C10+C13</f>
        <v>34111.130000000005</v>
      </c>
      <c r="D12" s="5">
        <f>D10+D13</f>
        <v>14727.33</v>
      </c>
      <c r="E12" s="5"/>
      <c r="F12" s="5">
        <f>D12</f>
        <v>14727.33</v>
      </c>
      <c r="G12" s="5">
        <f>+C12+F12</f>
        <v>48838.460000000006</v>
      </c>
      <c r="H12" s="5"/>
      <c r="I12" s="5">
        <f>G12+I11</f>
        <v>77804.511840000006</v>
      </c>
      <c r="K12" s="35"/>
      <c r="L12" s="37" t="s">
        <v>15</v>
      </c>
      <c r="N12" s="60"/>
      <c r="O12" s="56"/>
      <c r="P12" s="64"/>
    </row>
    <row r="13" spans="1:22" x14ac:dyDescent="0.3">
      <c r="A13" s="2" t="s">
        <v>16</v>
      </c>
      <c r="B13" s="2"/>
      <c r="C13" s="13">
        <v>25396.33</v>
      </c>
      <c r="D13" s="13">
        <v>12587.97</v>
      </c>
      <c r="E13" s="13"/>
      <c r="F13" s="13">
        <f>D13</f>
        <v>12587.97</v>
      </c>
      <c r="G13" s="13">
        <f>+C13+F13</f>
        <v>37984.300000000003</v>
      </c>
      <c r="H13" s="2"/>
      <c r="I13" s="13">
        <f>+G13+I11</f>
        <v>66950.351840000003</v>
      </c>
      <c r="K13" s="38"/>
      <c r="L13" s="39">
        <f>I11*0.05*(1-0.35)</f>
        <v>941.3966848</v>
      </c>
      <c r="N13" s="57" t="s">
        <v>49</v>
      </c>
      <c r="O13" s="57"/>
      <c r="P13" s="57"/>
    </row>
    <row r="14" spans="1:22" x14ac:dyDescent="0.3">
      <c r="A14" s="2"/>
      <c r="B14" s="2"/>
      <c r="C14" s="2"/>
      <c r="D14" s="2"/>
      <c r="E14" s="2"/>
      <c r="F14" s="2"/>
      <c r="G14" s="2"/>
      <c r="H14" s="2"/>
      <c r="I14" s="2"/>
      <c r="K14" s="6"/>
      <c r="N14" s="3" t="s">
        <v>48</v>
      </c>
      <c r="O14" s="56" t="s">
        <v>20</v>
      </c>
      <c r="P14" s="64" t="s">
        <v>47</v>
      </c>
    </row>
    <row r="15" spans="1:22" x14ac:dyDescent="0.3">
      <c r="A15" s="9" t="s">
        <v>17</v>
      </c>
      <c r="B15" s="10"/>
      <c r="C15" s="10"/>
      <c r="D15" s="10"/>
      <c r="E15" s="10"/>
      <c r="F15" s="10"/>
      <c r="G15" s="10"/>
      <c r="H15" s="10"/>
      <c r="I15" s="12">
        <f>F21-F13-I11</f>
        <v>0</v>
      </c>
      <c r="J15" s="52"/>
      <c r="K15" s="52"/>
      <c r="L15" s="52"/>
      <c r="N15" s="60">
        <v>0.25</v>
      </c>
      <c r="O15" s="16">
        <v>60.65</v>
      </c>
      <c r="P15" s="66">
        <v>0.34</v>
      </c>
    </row>
    <row r="16" spans="1:22" x14ac:dyDescent="0.3">
      <c r="A16" s="2" t="s">
        <v>18</v>
      </c>
      <c r="B16" s="2"/>
      <c r="C16" s="2"/>
      <c r="D16" s="2"/>
      <c r="E16" s="2"/>
      <c r="F16" s="2"/>
      <c r="G16" s="2"/>
      <c r="H16" s="2"/>
      <c r="I16" s="14">
        <f>I15/C18</f>
        <v>0</v>
      </c>
      <c r="J16" s="14"/>
      <c r="K16" s="14"/>
      <c r="L16" s="14"/>
      <c r="N16" s="60">
        <v>0.26</v>
      </c>
      <c r="O16" s="16">
        <v>61.14</v>
      </c>
      <c r="P16" s="66">
        <v>0.34</v>
      </c>
      <c r="T16" s="43"/>
      <c r="U16" s="43"/>
    </row>
    <row r="17" spans="1:21" x14ac:dyDescent="0.3">
      <c r="A17" s="2" t="s">
        <v>19</v>
      </c>
      <c r="B17" s="2"/>
      <c r="C17" s="14">
        <v>832</v>
      </c>
      <c r="D17" s="14">
        <v>466.4</v>
      </c>
      <c r="E17" s="14"/>
      <c r="F17" s="14">
        <f>D17</f>
        <v>466.4</v>
      </c>
      <c r="G17" s="14"/>
      <c r="H17" s="14"/>
      <c r="I17" s="14">
        <f>C17+I16</f>
        <v>832</v>
      </c>
      <c r="J17" s="14"/>
      <c r="K17" s="14"/>
      <c r="L17" s="14"/>
      <c r="N17" s="60">
        <v>0.27</v>
      </c>
      <c r="O17" s="16">
        <v>61.62</v>
      </c>
      <c r="P17" s="66">
        <v>0.34</v>
      </c>
    </row>
    <row r="18" spans="1:21" x14ac:dyDescent="0.3">
      <c r="A18" s="2" t="s">
        <v>20</v>
      </c>
      <c r="B18" s="2"/>
      <c r="C18" s="15">
        <v>62.56</v>
      </c>
      <c r="D18" s="15">
        <v>48.52</v>
      </c>
      <c r="E18" s="16"/>
      <c r="F18" s="17">
        <f>(1+0.28)*D18</f>
        <v>62.105600000000003</v>
      </c>
      <c r="G18" s="16">
        <f>F18*H33</f>
        <v>62.105600000000003</v>
      </c>
      <c r="H18" s="16"/>
      <c r="I18" s="16">
        <f>C18</f>
        <v>62.56</v>
      </c>
      <c r="J18" s="16"/>
      <c r="K18" s="16"/>
      <c r="L18" s="16"/>
      <c r="N18" s="3">
        <v>0.28000000000000003</v>
      </c>
      <c r="O18" s="65">
        <v>62.11</v>
      </c>
      <c r="P18" s="67">
        <v>0.34</v>
      </c>
    </row>
    <row r="19" spans="1:21" x14ac:dyDescent="0.3">
      <c r="A19" s="2" t="s">
        <v>21</v>
      </c>
      <c r="B19" s="2"/>
      <c r="C19" s="5">
        <f>C17*C18</f>
        <v>52049.919999999998</v>
      </c>
      <c r="D19" s="5">
        <f>D17*D18</f>
        <v>22629.727999999999</v>
      </c>
      <c r="E19" s="18"/>
      <c r="F19" s="5">
        <f>F17*F18</f>
        <v>28966.05184</v>
      </c>
      <c r="G19" s="13">
        <f>+C19+F19</f>
        <v>81015.971839999998</v>
      </c>
      <c r="H19" s="2"/>
      <c r="I19" s="5">
        <f>I17*I18</f>
        <v>52049.919999999998</v>
      </c>
      <c r="J19" s="5"/>
      <c r="K19" s="5"/>
      <c r="L19" s="5"/>
      <c r="N19" s="60">
        <v>0.28999999999999998</v>
      </c>
      <c r="O19" s="16">
        <v>62.59</v>
      </c>
      <c r="P19" s="66">
        <v>0.33</v>
      </c>
    </row>
    <row r="20" spans="1:21" x14ac:dyDescent="0.3">
      <c r="A20" s="2"/>
      <c r="B20" s="2"/>
      <c r="C20" s="2"/>
      <c r="D20" s="2"/>
      <c r="E20" s="2"/>
      <c r="F20" s="2"/>
      <c r="G20" s="13"/>
      <c r="H20" s="2"/>
      <c r="I20" s="2"/>
      <c r="J20" s="2"/>
      <c r="K20" s="2"/>
      <c r="L20" s="2"/>
      <c r="N20" s="60">
        <v>0.3</v>
      </c>
      <c r="O20" s="16">
        <v>63.08</v>
      </c>
      <c r="P20" s="66">
        <v>0.33</v>
      </c>
    </row>
    <row r="21" spans="1:21" x14ac:dyDescent="0.3">
      <c r="A21" s="2" t="s">
        <v>22</v>
      </c>
      <c r="B21" s="2"/>
      <c r="C21" s="13">
        <f>C19+C13</f>
        <v>77446.25</v>
      </c>
      <c r="D21" s="13">
        <f>D19+D13</f>
        <v>35217.697999999997</v>
      </c>
      <c r="E21" s="13">
        <f>F18*D17+D13</f>
        <v>41554.021840000001</v>
      </c>
      <c r="F21" s="13">
        <f>F19+F13</f>
        <v>41554.021840000001</v>
      </c>
      <c r="G21" s="13">
        <f>+C21+F21</f>
        <v>119000.27184</v>
      </c>
      <c r="H21" s="2"/>
      <c r="I21" s="13">
        <f>G21</f>
        <v>119000.27184</v>
      </c>
      <c r="K21" s="6"/>
      <c r="O21" s="16"/>
      <c r="P21" s="64"/>
    </row>
    <row r="22" spans="1:21" x14ac:dyDescent="0.3">
      <c r="A22" s="2"/>
      <c r="B22" s="2"/>
      <c r="C22" s="13"/>
      <c r="D22" s="13"/>
      <c r="E22" s="13"/>
      <c r="F22" s="13"/>
      <c r="G22" s="13"/>
      <c r="H22" s="2"/>
      <c r="I22" s="13"/>
      <c r="K22" s="6"/>
      <c r="N22" s="57" t="s">
        <v>50</v>
      </c>
      <c r="O22" s="68"/>
      <c r="P22" s="69"/>
    </row>
    <row r="23" spans="1:21" x14ac:dyDescent="0.3">
      <c r="A23" s="1" t="s">
        <v>23</v>
      </c>
      <c r="C23" s="19">
        <f>C12/C6</f>
        <v>2.8799957109664178</v>
      </c>
      <c r="D23" s="19">
        <f>D12/D6</f>
        <v>5.6777440658167144</v>
      </c>
      <c r="E23" s="19"/>
      <c r="F23" s="19"/>
      <c r="G23" s="19">
        <f ca="1">G12/G6</f>
        <v>3.2134949851191617</v>
      </c>
      <c r="H23" s="19"/>
      <c r="I23" s="19">
        <f ca="1">I12/I6</f>
        <v>5.1194163087346407</v>
      </c>
      <c r="K23" s="3"/>
      <c r="N23" s="60" t="s">
        <v>44</v>
      </c>
      <c r="O23" s="56"/>
      <c r="P23" s="22">
        <f>C24</f>
        <v>2.1442069340501986</v>
      </c>
      <c r="Q23" s="73"/>
    </row>
    <row r="24" spans="1:21" x14ac:dyDescent="0.3">
      <c r="A24" s="1" t="s">
        <v>24</v>
      </c>
      <c r="B24" s="19"/>
      <c r="C24" s="19">
        <f>C13/C6</f>
        <v>2.1442069340501986</v>
      </c>
      <c r="D24" s="19">
        <f>D13/D6</f>
        <v>4.8529687301214013</v>
      </c>
      <c r="E24" s="19"/>
      <c r="F24" s="19"/>
      <c r="G24" s="19">
        <f ca="1">G13/G6</f>
        <v>2.4993080773485028</v>
      </c>
      <c r="H24" s="19"/>
      <c r="I24" s="19">
        <f ca="1">I13/I6</f>
        <v>4.4052294009639823</v>
      </c>
      <c r="K24" s="3"/>
      <c r="N24" s="60" t="s">
        <v>45</v>
      </c>
      <c r="O24" s="56"/>
      <c r="P24" s="22">
        <f ca="1">I24</f>
        <v>4.4052294009639823</v>
      </c>
    </row>
    <row r="25" spans="1:21" x14ac:dyDescent="0.3">
      <c r="A25" s="1" t="s">
        <v>25</v>
      </c>
      <c r="B25" s="1"/>
      <c r="C25" s="20">
        <f>C12/C21</f>
        <v>0.44044908565618096</v>
      </c>
      <c r="D25" s="20">
        <f>D12/D21</f>
        <v>0.41817980266626176</v>
      </c>
      <c r="E25" s="20"/>
      <c r="F25" s="20"/>
      <c r="G25" s="20">
        <f>G12/G21</f>
        <v>0.41040628937104456</v>
      </c>
      <c r="H25" s="20"/>
      <c r="I25" s="20">
        <f>I12/I21</f>
        <v>0.65381793366498253</v>
      </c>
      <c r="K25" s="40"/>
      <c r="L25" s="34" t="s">
        <v>36</v>
      </c>
      <c r="N25" s="60"/>
      <c r="O25" s="56"/>
      <c r="P25" s="64"/>
    </row>
    <row r="26" spans="1:21" x14ac:dyDescent="0.3">
      <c r="A26" s="1" t="s">
        <v>26</v>
      </c>
      <c r="B26" s="1"/>
      <c r="C26" s="21">
        <f>C8/C17</f>
        <v>4.2799759615384616</v>
      </c>
      <c r="D26" s="21">
        <f>D8/D17</f>
        <v>2.9596698113207549</v>
      </c>
      <c r="E26" s="21"/>
      <c r="F26" s="21"/>
      <c r="G26" s="21"/>
      <c r="H26" s="21"/>
      <c r="I26" s="21">
        <f ca="1">I8/I17</f>
        <v>5.7209490757085026</v>
      </c>
      <c r="K26" s="38"/>
      <c r="L26" s="41">
        <f ca="1">I26/C26-1</f>
        <v>0.33667785219337421</v>
      </c>
      <c r="N26" s="57" t="s">
        <v>51</v>
      </c>
      <c r="O26" s="62"/>
      <c r="P26" s="62"/>
      <c r="Q26" s="62"/>
      <c r="R26" s="62"/>
      <c r="S26" s="62"/>
      <c r="T26" s="62"/>
      <c r="U26" s="62"/>
    </row>
    <row r="27" spans="1:21" x14ac:dyDescent="0.3">
      <c r="A27" s="2"/>
      <c r="B27" s="2"/>
      <c r="C27" s="22"/>
      <c r="D27" s="22"/>
      <c r="E27" s="22"/>
      <c r="F27" s="22"/>
      <c r="G27" s="22"/>
      <c r="H27" s="2"/>
      <c r="I27" s="2"/>
      <c r="K27" s="6"/>
      <c r="O27" s="49" t="s">
        <v>35</v>
      </c>
      <c r="P27" s="49" t="s">
        <v>52</v>
      </c>
      <c r="Q27" s="49" t="s">
        <v>53</v>
      </c>
      <c r="R27" s="49" t="s">
        <v>54</v>
      </c>
      <c r="S27" s="49" t="s">
        <v>55</v>
      </c>
      <c r="T27" s="49" t="s">
        <v>59</v>
      </c>
      <c r="U27" s="49" t="s">
        <v>60</v>
      </c>
    </row>
    <row r="28" spans="1:21" x14ac:dyDescent="0.3">
      <c r="A28" s="2" t="s">
        <v>27</v>
      </c>
      <c r="B28" s="2"/>
      <c r="C28" s="22">
        <f>C21/C6</f>
        <v>6.53877100613298</v>
      </c>
      <c r="D28" s="22">
        <f>D21/D6</f>
        <v>13.57727950899621</v>
      </c>
      <c r="E28" s="22">
        <f>E21/D6</f>
        <v>16.020086527081158</v>
      </c>
      <c r="F28" s="22">
        <f ca="1">F21/F6</f>
        <v>12.390255589473956</v>
      </c>
      <c r="G28" s="22">
        <f ca="1">G21/G6</f>
        <v>7.8300334774203968</v>
      </c>
      <c r="H28" s="22"/>
      <c r="I28" s="22">
        <f ca="1">I21/I6</f>
        <v>7.8300334774203968</v>
      </c>
      <c r="N28" s="60" t="s">
        <v>10</v>
      </c>
      <c r="O28" s="5">
        <v>3560.94</v>
      </c>
      <c r="P28" s="5">
        <v>4306.46</v>
      </c>
      <c r="Q28" s="5">
        <v>5821</v>
      </c>
      <c r="R28" s="5">
        <v>6066</v>
      </c>
      <c r="S28" s="5">
        <v>6066</v>
      </c>
      <c r="T28" s="5">
        <v>6066</v>
      </c>
      <c r="U28" s="5">
        <v>6066</v>
      </c>
    </row>
    <row r="29" spans="1:21" x14ac:dyDescent="0.3">
      <c r="A29" s="2" t="s">
        <v>28</v>
      </c>
      <c r="B29" s="2"/>
      <c r="C29" s="22">
        <f>C21/C5</f>
        <v>1.8148630538090182</v>
      </c>
      <c r="D29" s="22">
        <f>D21/D5</f>
        <v>2.5704772846044475</v>
      </c>
      <c r="E29" s="18"/>
      <c r="F29" s="22">
        <f>F21/F5</f>
        <v>3.0329543181293994</v>
      </c>
      <c r="G29" s="22">
        <f>G21/G5</f>
        <v>2.1109006454551791</v>
      </c>
      <c r="H29" s="22"/>
      <c r="I29" s="22">
        <f>I21/I5</f>
        <v>2.1109006454551791</v>
      </c>
      <c r="N29" s="60" t="s">
        <v>16</v>
      </c>
      <c r="O29" s="5">
        <f>I13</f>
        <v>66950.351840000003</v>
      </c>
      <c r="P29" s="5">
        <f t="shared" ref="P29:U29" si="0">O29-P28</f>
        <v>62643.891840000004</v>
      </c>
      <c r="Q29" s="5">
        <f t="shared" si="0"/>
        <v>56822.891840000004</v>
      </c>
      <c r="R29" s="5">
        <f t="shared" si="0"/>
        <v>50756.891840000004</v>
      </c>
      <c r="S29" s="5">
        <f t="shared" si="0"/>
        <v>44690.891840000004</v>
      </c>
      <c r="T29" s="5">
        <f t="shared" si="0"/>
        <v>38624.891840000004</v>
      </c>
      <c r="U29" s="5">
        <f t="shared" si="0"/>
        <v>32558.891840000004</v>
      </c>
    </row>
    <row r="30" spans="1:21" x14ac:dyDescent="0.3">
      <c r="A30" s="2"/>
      <c r="B30" s="2"/>
      <c r="C30" s="2"/>
      <c r="D30" s="2"/>
      <c r="E30" s="2"/>
      <c r="F30" s="2"/>
      <c r="G30" s="2"/>
      <c r="H30" s="2"/>
      <c r="I30" s="2"/>
      <c r="K30" s="6"/>
      <c r="N30" s="60" t="s">
        <v>50</v>
      </c>
      <c r="O30" s="22">
        <f ca="1">O29/$I$6</f>
        <v>4.4052294009639823</v>
      </c>
      <c r="P30" s="22">
        <f t="shared" ref="P30:T30" ca="1" si="1">P29/$I$6</f>
        <v>4.1218710065015802</v>
      </c>
      <c r="Q30" s="22">
        <f t="shared" ca="1" si="1"/>
        <v>3.738858227057293</v>
      </c>
      <c r="R30" s="22">
        <f t="shared" ca="1" si="1"/>
        <v>3.3397248272790683</v>
      </c>
      <c r="S30" s="22">
        <f t="shared" ca="1" si="1"/>
        <v>2.9405914275008436</v>
      </c>
      <c r="T30" s="22">
        <f t="shared" ca="1" si="1"/>
        <v>2.5414580277226189</v>
      </c>
      <c r="U30" s="63">
        <f t="shared" ref="U30" ca="1" si="2">U29/$I$6</f>
        <v>2.1423246279443946</v>
      </c>
    </row>
    <row r="31" spans="1:21" x14ac:dyDescent="0.3">
      <c r="A31" s="2" t="s">
        <v>29</v>
      </c>
      <c r="B31" s="2"/>
      <c r="C31" s="2"/>
      <c r="D31" s="2"/>
      <c r="E31" s="2"/>
      <c r="F31" s="23">
        <f>F18/D18-1</f>
        <v>0.28000000000000003</v>
      </c>
      <c r="G31" s="2"/>
      <c r="H31" s="74" t="s">
        <v>30</v>
      </c>
      <c r="I31" s="74"/>
      <c r="K31" s="6"/>
    </row>
    <row r="32" spans="1:21" x14ac:dyDescent="0.3">
      <c r="A32" s="2" t="s">
        <v>31</v>
      </c>
      <c r="B32" s="2"/>
      <c r="C32" s="2"/>
      <c r="D32" s="2"/>
      <c r="E32" s="2"/>
      <c r="F32" s="47">
        <f ca="1">5%*G6</f>
        <v>759.89631578947365</v>
      </c>
      <c r="G32" s="42">
        <f ca="1">F32/(C6+D6)</f>
        <v>5.2631578947368425E-2</v>
      </c>
      <c r="H32" s="24" t="s">
        <v>32</v>
      </c>
      <c r="I32" s="24" t="s">
        <v>33</v>
      </c>
      <c r="K32" s="70"/>
      <c r="L32" s="34" t="s">
        <v>56</v>
      </c>
      <c r="N32" s="3"/>
      <c r="O32" s="16"/>
      <c r="P32" s="8"/>
    </row>
    <row r="33" spans="1:19" x14ac:dyDescent="0.3">
      <c r="A33" s="2" t="s">
        <v>34</v>
      </c>
      <c r="B33" s="2"/>
      <c r="C33" s="25">
        <f>C19/I19</f>
        <v>1</v>
      </c>
      <c r="D33" s="26"/>
      <c r="E33" s="26"/>
      <c r="F33" s="27">
        <f>1-C33</f>
        <v>0</v>
      </c>
      <c r="G33" s="2"/>
      <c r="H33" s="28">
        <v>1</v>
      </c>
      <c r="I33" s="29">
        <f>1-H33</f>
        <v>0</v>
      </c>
      <c r="K33" s="71"/>
      <c r="L33" s="72">
        <f>F19</f>
        <v>28966.05184</v>
      </c>
    </row>
    <row r="39" spans="1:19" x14ac:dyDescent="0.3">
      <c r="R39" s="43"/>
      <c r="S39" s="43"/>
    </row>
    <row r="43" spans="1:19" x14ac:dyDescent="0.3">
      <c r="P43" s="49"/>
    </row>
    <row r="49" spans="19:19" x14ac:dyDescent="0.3">
      <c r="S49" s="44"/>
    </row>
    <row r="50" spans="19:19" x14ac:dyDescent="0.3">
      <c r="S50" s="44"/>
    </row>
    <row r="51" spans="19:19" x14ac:dyDescent="0.3">
      <c r="S51" s="44"/>
    </row>
    <row r="52" spans="19:19" x14ac:dyDescent="0.3">
      <c r="S52" s="44"/>
    </row>
  </sheetData>
  <mergeCells count="1">
    <mergeCell ref="H31:I3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TMUS+DISH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Esther Chao</cp:lastModifiedBy>
  <dcterms:created xsi:type="dcterms:W3CDTF">2017-12-16T11:12:31Z</dcterms:created>
  <dcterms:modified xsi:type="dcterms:W3CDTF">2018-02-03T15:36:17Z</dcterms:modified>
</cp:coreProperties>
</file>