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Operations\Engineering\Franz - Portland\z-dev\git\LIMBLE_API\"/>
    </mc:Choice>
  </mc:AlternateContent>
  <workbookProtection lockStructure="1"/>
  <bookViews>
    <workbookView xWindow="28680" yWindow="-120" windowWidth="29040" windowHeight="15840" firstSheet="1" activeTab="2"/>
  </bookViews>
  <sheets>
    <sheet name="Sheet2" sheetId="2" state="hidden" r:id="rId1"/>
    <sheet name="Hours" sheetId="8" r:id="rId2"/>
    <sheet name="Downtime " sheetId="3" r:id="rId3"/>
    <sheet name="Sheet1" sheetId="10" state="hidden" r:id="rId4"/>
    <sheet name="test data" sheetId="9" state="hidden" r:id="rId5"/>
    <sheet name="Lists" sheetId="5" state="hidden" r:id="rId6"/>
  </sheets>
  <externalReferences>
    <externalReference r:id="rId7"/>
  </externalReferences>
  <definedNames>
    <definedName name="aCooler">Sheet2!$H$4:$H$13</definedName>
    <definedName name="aDivider">Sheet2!$D$4:$D$13</definedName>
    <definedName name="aMixer">Sheet2!$C$4:$C$13</definedName>
    <definedName name="aOther">Sheet2!$J$4:$J$13</definedName>
    <definedName name="aOven">Sheet2!$F$4:$F$13</definedName>
    <definedName name="aPan">Sheet2!$G$4:$G$13</definedName>
    <definedName name="aProofbox">Sheet2!$E$4:$E$13</definedName>
    <definedName name="aWrap">Sheet2!$I$4:$I$13</definedName>
    <definedName name="bCooler">Sheet2!$H$15:$H$24</definedName>
    <definedName name="bDivider">Sheet2!$D$15:$D$24</definedName>
    <definedName name="bMixer">Sheet2!$C$15:$C$24</definedName>
    <definedName name="bOther">Sheet2!$J$15:$J$24</definedName>
    <definedName name="bOven">Sheet2!$F$15:$F$24</definedName>
    <definedName name="bPan">Sheet2!$G$15:$G$24</definedName>
    <definedName name="bProofbox">Sheet2!$E$15:$E$24</definedName>
    <definedName name="bWrap">Sheet2!$I$15:$I$24</definedName>
    <definedName name="cCooler">Sheet2!$H$26:$H$36</definedName>
    <definedName name="cDivider">Sheet2!$D$26:$D$36</definedName>
    <definedName name="cMixer">Sheet2!$C$26:$C$36</definedName>
    <definedName name="cOther">Sheet2!$J$26:$J$36</definedName>
    <definedName name="cOven">Sheet2!$F$26:$F$36</definedName>
    <definedName name="cPan">Sheet2!$G$26:$G$36</definedName>
    <definedName name="cProofbox">Sheet2!$E$26:$E$36</definedName>
    <definedName name="cWrap">Sheet2!$I$26:$I$36</definedName>
    <definedName name="dCooler">Sheet2!$H$38:$H$48</definedName>
    <definedName name="dDivider">Sheet2!$D$38:$D$48</definedName>
    <definedName name="dMixer">Sheet2!$C$38:$C$48</definedName>
    <definedName name="dOther">Sheet2!$J$38:$J$48</definedName>
    <definedName name="dOven">Sheet2!$F$38:$F$48</definedName>
    <definedName name="dPan">Sheet2!$G$38:$G$48</definedName>
    <definedName name="dProofbox">Sheet2!$E$38:$E$48</definedName>
    <definedName name="dWrap">Sheet2!$I$38:$I$48</definedName>
    <definedName name="Mech.">Sheet2!$L$4:$L$8</definedName>
    <definedName name="Oper.">Sheet2!$M$4:$M$16</definedName>
    <definedName name="Other">Sheet2!$N$4:$N$11</definedName>
    <definedName name="P068Mixer">Sheet2!$C$4:$C$13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40" i="3" l="1"/>
  <c r="A3239" i="3"/>
  <c r="A3238" i="3"/>
  <c r="A3237" i="3" l="1"/>
  <c r="A3236" i="3" l="1"/>
  <c r="A3235" i="3"/>
  <c r="A3234" i="3" l="1"/>
  <c r="A3233" i="3"/>
  <c r="A3232" i="3"/>
  <c r="A3231" i="3"/>
  <c r="A3230" i="3"/>
  <c r="A3229" i="3"/>
  <c r="A3228" i="3"/>
  <c r="A3227" i="3"/>
  <c r="A3226" i="3" l="1"/>
  <c r="A3223" i="3" l="1"/>
  <c r="A3224" i="3"/>
  <c r="A3225" i="3"/>
  <c r="A3222" i="3"/>
  <c r="A3220" i="3" l="1"/>
  <c r="A3221" i="3"/>
  <c r="A3219" i="3" l="1"/>
  <c r="A3218" i="3"/>
  <c r="A3217" i="3" l="1"/>
  <c r="A3216" i="3"/>
  <c r="A3215" i="3"/>
  <c r="A3214" i="3"/>
  <c r="A3213" i="3"/>
  <c r="A3212" i="3"/>
  <c r="A3211" i="3"/>
  <c r="A3210" i="3"/>
  <c r="A3209" i="3"/>
  <c r="A3208" i="3"/>
  <c r="A3207" i="3"/>
  <c r="A3206" i="3"/>
  <c r="A3205" i="3"/>
  <c r="A3204" i="3" l="1"/>
  <c r="A3203" i="3" l="1"/>
  <c r="A3202" i="3"/>
  <c r="A3201" i="3"/>
  <c r="A3200" i="3"/>
  <c r="A3199" i="3"/>
  <c r="A3198" i="3"/>
  <c r="A3197" i="3" l="1"/>
  <c r="A3196" i="3" l="1"/>
  <c r="A3195" i="3"/>
  <c r="A3194" i="3" l="1"/>
  <c r="A3193" i="3"/>
  <c r="A3192" i="3"/>
  <c r="A3191" i="3" l="1"/>
  <c r="A3190" i="3" l="1"/>
  <c r="A3189" i="3"/>
  <c r="A3188" i="3"/>
  <c r="A3187" i="3"/>
  <c r="A3186" i="3"/>
  <c r="A3185" i="3"/>
  <c r="A3184" i="3"/>
  <c r="A3183" i="3"/>
  <c r="A3182" i="3"/>
  <c r="A3181" i="3"/>
  <c r="A3180" i="3"/>
  <c r="A3179" i="3"/>
  <c r="A3178" i="3"/>
  <c r="A3177" i="3"/>
  <c r="A3176" i="3"/>
  <c r="A3175" i="3"/>
  <c r="A3174" i="3" l="1"/>
  <c r="A3173" i="3" l="1"/>
  <c r="A3172" i="3"/>
  <c r="A3164" i="3" l="1"/>
  <c r="A3165" i="3"/>
  <c r="A3166" i="3"/>
  <c r="A3167" i="3"/>
  <c r="A3168" i="3"/>
  <c r="A3169" i="3"/>
  <c r="A3170" i="3"/>
  <c r="A3171" i="3"/>
  <c r="A3163" i="3"/>
  <c r="A3162" i="3" l="1"/>
  <c r="A3161" i="3"/>
  <c r="A3160" i="3"/>
  <c r="A3159" i="3" l="1"/>
  <c r="A3158" i="3"/>
  <c r="A3157" i="3"/>
  <c r="A3156" i="3"/>
  <c r="A3155" i="3"/>
  <c r="A3154" i="3"/>
  <c r="A3153" i="3"/>
  <c r="A3152" i="3"/>
  <c r="A3151" i="3"/>
  <c r="A3150" i="3"/>
  <c r="A3149" i="3"/>
  <c r="A3148" i="3"/>
  <c r="A3147" i="3"/>
  <c r="A3146" i="3" l="1"/>
  <c r="A3145" i="3"/>
  <c r="A3144" i="3"/>
  <c r="A3143" i="3"/>
  <c r="A3142" i="3"/>
  <c r="A3141" i="3"/>
  <c r="A3140" i="3"/>
  <c r="A3139" i="3"/>
  <c r="A3138" i="3"/>
  <c r="A3137" i="3"/>
  <c r="A3136" i="3"/>
  <c r="A3135" i="3"/>
  <c r="A3134" i="3" l="1"/>
  <c r="A3133" i="3"/>
  <c r="A3132" i="3"/>
  <c r="A3131" i="3"/>
  <c r="A3130" i="3"/>
  <c r="A3129" i="3"/>
  <c r="A3128" i="3"/>
  <c r="A3127" i="3"/>
  <c r="A3126" i="3" l="1"/>
  <c r="A3125" i="3"/>
  <c r="A3124" i="3"/>
  <c r="A3123" i="3"/>
  <c r="A3122" i="3"/>
  <c r="A3121" i="3"/>
  <c r="A3120" i="3"/>
  <c r="A3119" i="3"/>
  <c r="A3118" i="3"/>
  <c r="A3117" i="3"/>
  <c r="A3116" i="3"/>
  <c r="A3115" i="3" l="1"/>
  <c r="A3114" i="3"/>
  <c r="A3113" i="3" l="1"/>
  <c r="A3112" i="3"/>
  <c r="A3111" i="3"/>
  <c r="A3110" i="3"/>
  <c r="A3109" i="3"/>
  <c r="A3108" i="3"/>
  <c r="A3107" i="3" l="1"/>
  <c r="A3106" i="3"/>
  <c r="A3105" i="3"/>
  <c r="A3104" i="3"/>
  <c r="A3103" i="3" l="1"/>
  <c r="A3102" i="3"/>
  <c r="A3101" i="3"/>
  <c r="A3100" i="3"/>
  <c r="A3099" i="3"/>
  <c r="A3098" i="3"/>
  <c r="A3097" i="3"/>
  <c r="A3096" i="3"/>
  <c r="A3095" i="3"/>
  <c r="A3094" i="3"/>
  <c r="A3093" i="3" l="1"/>
  <c r="A3092" i="3"/>
  <c r="A3091" i="3"/>
  <c r="A3090" i="3"/>
  <c r="A3089" i="3" l="1"/>
  <c r="A3088" i="3"/>
  <c r="A3087" i="3"/>
  <c r="A3086" i="3"/>
  <c r="A3085" i="3"/>
  <c r="A3084" i="3" l="1"/>
  <c r="A3083" i="3"/>
  <c r="A3082" i="3"/>
  <c r="A3081" i="3"/>
  <c r="A3080" i="3"/>
  <c r="A3079" i="3"/>
  <c r="A3078" i="3"/>
  <c r="A3077" i="3"/>
  <c r="A3076" i="3"/>
  <c r="A3075" i="3"/>
  <c r="A3074" i="3"/>
  <c r="A3073" i="3" l="1"/>
  <c r="A3072" i="3" l="1"/>
  <c r="A3071" i="3" l="1"/>
  <c r="A3070" i="3"/>
  <c r="A3069" i="3"/>
  <c r="A3068" i="3"/>
  <c r="A3067" i="3"/>
  <c r="A3066" i="3"/>
  <c r="A3065" i="3"/>
  <c r="A3064" i="3"/>
  <c r="A3063" i="3"/>
  <c r="A3062" i="3"/>
  <c r="A3061" i="3"/>
  <c r="A3060" i="3" l="1"/>
  <c r="A3059" i="3"/>
  <c r="A3058" i="3"/>
  <c r="A3057" i="3"/>
  <c r="A3056" i="3"/>
  <c r="A3055" i="3"/>
  <c r="A3054" i="3"/>
  <c r="A3053" i="3"/>
  <c r="A3052" i="3"/>
  <c r="A3051" i="3" l="1"/>
  <c r="A3050" i="3"/>
  <c r="A3049" i="3"/>
  <c r="A3048" i="3"/>
  <c r="A3047" i="3"/>
  <c r="A3046" i="3"/>
  <c r="A3045" i="3"/>
  <c r="A3044" i="3"/>
  <c r="A3043" i="3"/>
  <c r="A3042" i="3" l="1"/>
  <c r="A3041" i="3"/>
  <c r="A3040" i="3"/>
  <c r="A3039" i="3"/>
  <c r="A3038" i="3" l="1"/>
  <c r="A3037" i="3"/>
  <c r="A3036" i="3"/>
  <c r="A3035" i="3"/>
  <c r="A3034" i="3"/>
  <c r="A3033" i="3"/>
  <c r="A3032" i="3"/>
  <c r="A3031" i="3" l="1"/>
  <c r="A3030" i="3"/>
  <c r="A3029" i="3"/>
  <c r="A3028" i="3"/>
  <c r="A3027" i="3"/>
  <c r="A3026" i="3"/>
  <c r="A3025" i="3"/>
  <c r="A3024" i="3"/>
  <c r="A3023" i="3" l="1"/>
  <c r="A3022" i="3"/>
  <c r="A3020" i="3" l="1"/>
  <c r="A3021" i="3"/>
  <c r="A3019" i="3" l="1"/>
  <c r="A3016" i="3"/>
  <c r="A3017" i="3"/>
  <c r="A3018" i="3"/>
  <c r="A3015" i="3"/>
  <c r="A3014" i="3" l="1"/>
  <c r="A3013" i="3"/>
  <c r="A3012" i="3"/>
  <c r="A3011" i="3"/>
  <c r="A3010" i="3"/>
  <c r="A3009" i="3"/>
  <c r="A3008" i="3"/>
  <c r="A3007" i="3" l="1"/>
  <c r="A3006" i="3"/>
  <c r="A3005" i="3"/>
  <c r="A3004" i="3"/>
  <c r="A3003" i="3"/>
  <c r="A3002" i="3" l="1"/>
  <c r="A3001" i="3"/>
  <c r="A3000" i="3"/>
  <c r="A2999" i="3"/>
  <c r="A2998" i="3"/>
  <c r="A2997" i="3"/>
  <c r="A2996" i="3" l="1"/>
  <c r="A2991" i="3"/>
  <c r="A2992" i="3"/>
  <c r="A2993" i="3"/>
  <c r="A2994" i="3"/>
  <c r="A2995" i="3"/>
  <c r="A2990" i="3" l="1"/>
  <c r="A2989" i="3"/>
  <c r="A2988" i="3" l="1"/>
  <c r="A2984" i="3" l="1"/>
  <c r="A2985" i="3"/>
  <c r="A2986" i="3"/>
  <c r="A2987" i="3"/>
  <c r="A2979" i="3"/>
  <c r="A2980" i="3"/>
  <c r="A2981" i="3"/>
  <c r="A2982" i="3"/>
  <c r="A2983" i="3"/>
  <c r="A2978" i="3"/>
  <c r="C1565" i="8"/>
  <c r="A2974" i="3" l="1"/>
  <c r="A2975" i="3"/>
  <c r="A2976" i="3"/>
  <c r="A2977" i="3"/>
  <c r="A2961" i="3"/>
  <c r="A2962" i="3"/>
  <c r="A2963" i="3"/>
  <c r="A2964" i="3"/>
  <c r="A2965" i="3"/>
  <c r="A2966" i="3"/>
  <c r="A2967" i="3"/>
  <c r="A2968" i="3"/>
  <c r="A2969" i="3"/>
  <c r="A2970" i="3"/>
  <c r="A2971" i="3"/>
  <c r="A2972" i="3"/>
  <c r="A2973" i="3"/>
  <c r="C1553" i="8"/>
  <c r="A2955" i="3" l="1"/>
  <c r="A2956" i="3"/>
  <c r="A2957" i="3"/>
  <c r="A2958" i="3"/>
  <c r="A2959" i="3"/>
  <c r="A2960" i="3"/>
  <c r="A2954" i="3"/>
  <c r="A2953" i="3" l="1"/>
  <c r="A2952" i="3"/>
  <c r="A2951" i="3"/>
  <c r="A2950" i="3"/>
  <c r="A2949" i="3"/>
  <c r="A2948" i="3"/>
  <c r="A2947" i="3"/>
  <c r="A2946" i="3"/>
  <c r="A2945" i="3" l="1"/>
  <c r="A2944" i="3" l="1"/>
  <c r="A2943" i="3" l="1"/>
  <c r="A2942" i="3"/>
  <c r="A2941" i="3"/>
  <c r="A2940" i="3" l="1"/>
  <c r="A2939" i="3"/>
  <c r="A2938" i="3"/>
  <c r="A2937" i="3" l="1"/>
  <c r="A2936" i="3"/>
  <c r="A2935" i="3"/>
  <c r="A2934" i="3"/>
  <c r="A2933" i="3"/>
  <c r="A2932" i="3"/>
  <c r="A2931" i="3"/>
  <c r="A2930" i="3"/>
  <c r="A2929" i="3"/>
  <c r="A2928" i="3"/>
  <c r="A2927" i="3"/>
  <c r="A2926" i="3"/>
  <c r="A2925" i="3"/>
  <c r="A2924" i="3"/>
  <c r="A2923" i="3"/>
  <c r="A2922" i="3"/>
  <c r="A2921" i="3"/>
  <c r="A2920" i="3"/>
  <c r="A2919" i="3"/>
  <c r="C1525" i="8" l="1"/>
  <c r="A2918" i="3"/>
  <c r="A2917" i="3"/>
  <c r="A2916" i="3" l="1"/>
  <c r="A2915" i="3"/>
  <c r="A2914" i="3"/>
  <c r="A2913" i="3"/>
  <c r="A2912" i="3"/>
  <c r="A2911" i="3"/>
  <c r="A2910" i="3"/>
  <c r="A2909" i="3"/>
  <c r="A2908" i="3"/>
  <c r="A2907" i="3"/>
  <c r="A2906" i="3"/>
  <c r="A2905" i="3"/>
  <c r="A2904" i="3"/>
  <c r="A2903" i="3"/>
  <c r="A2902" i="3"/>
  <c r="A2901" i="3"/>
  <c r="A2900" i="3"/>
  <c r="A2899" i="3"/>
  <c r="A2898" i="3"/>
  <c r="A2897" i="3"/>
  <c r="A2896" i="3"/>
  <c r="A2895" i="3"/>
  <c r="A2894" i="3" l="1"/>
  <c r="A2893" i="3"/>
  <c r="A2892" i="3"/>
  <c r="A2891" i="3"/>
  <c r="A2890" i="3"/>
  <c r="A2889" i="3"/>
  <c r="A2888" i="3"/>
  <c r="A2887" i="3"/>
  <c r="A2886" i="3"/>
  <c r="A2885" i="3"/>
  <c r="A2884" i="3" l="1"/>
  <c r="A2883" i="3" l="1"/>
  <c r="A2882" i="3" l="1"/>
  <c r="A2881" i="3"/>
  <c r="A2880" i="3"/>
  <c r="A2879" i="3" l="1"/>
  <c r="A2878" i="3"/>
  <c r="A2877" i="3"/>
  <c r="A2876" i="3" l="1"/>
  <c r="A2875" i="3"/>
  <c r="A2874" i="3"/>
  <c r="A2873" i="3"/>
  <c r="A2872" i="3"/>
  <c r="A2871" i="3" l="1"/>
  <c r="A2870" i="3"/>
  <c r="A2867" i="3" l="1"/>
  <c r="A2868" i="3"/>
  <c r="A2869" i="3"/>
  <c r="A2866" i="3"/>
  <c r="A2864" i="3"/>
  <c r="A2865" i="3"/>
  <c r="A2863" i="3"/>
  <c r="A2862" i="3" l="1"/>
  <c r="A2861" i="3"/>
  <c r="A2860" i="3"/>
  <c r="A2859" i="3"/>
  <c r="A2858" i="3"/>
  <c r="A2857" i="3" l="1"/>
  <c r="A2856" i="3"/>
  <c r="A2855" i="3"/>
  <c r="A2854" i="3"/>
  <c r="A2853" i="3"/>
  <c r="A2852" i="3"/>
  <c r="A2851" i="3"/>
  <c r="A2850" i="3"/>
  <c r="A2849" i="3"/>
  <c r="A2848" i="3"/>
  <c r="A2847" i="3" l="1"/>
  <c r="A2846" i="3"/>
  <c r="A2845" i="3"/>
  <c r="A2844" i="3"/>
  <c r="A2843" i="3"/>
  <c r="A2842" i="3"/>
  <c r="A2841" i="3" l="1"/>
  <c r="A2840" i="3"/>
  <c r="A2839" i="3"/>
  <c r="A2838" i="3"/>
  <c r="A2837" i="3" l="1"/>
  <c r="A2836" i="3"/>
  <c r="A2835" i="3"/>
  <c r="A2834" i="3"/>
  <c r="A2833" i="3"/>
  <c r="A2832" i="3"/>
  <c r="A2831" i="3"/>
  <c r="A2830" i="3"/>
  <c r="A2829" i="3"/>
  <c r="A2828" i="3"/>
  <c r="A2827" i="3"/>
  <c r="A2826" i="3"/>
  <c r="A2825" i="3"/>
  <c r="A2824" i="3"/>
  <c r="A2823" i="3"/>
  <c r="A2822" i="3"/>
  <c r="A2821" i="3"/>
  <c r="A2820" i="3" l="1"/>
  <c r="A2819" i="3"/>
  <c r="A2818" i="3"/>
  <c r="A2817" i="3"/>
  <c r="A2816" i="3"/>
  <c r="A2815" i="3"/>
  <c r="A2814" i="3" l="1"/>
  <c r="A2813" i="3"/>
  <c r="A2812" i="3"/>
  <c r="A2811" i="3"/>
  <c r="A2810" i="3"/>
  <c r="A2809" i="3"/>
  <c r="A2808" i="3"/>
  <c r="A2807" i="3" l="1"/>
  <c r="A2806" i="3"/>
  <c r="A2805" i="3"/>
  <c r="A2804" i="3"/>
  <c r="A2803" i="3"/>
  <c r="A2802" i="3"/>
  <c r="A2801" i="3"/>
  <c r="A2800" i="3"/>
  <c r="A2799" i="3"/>
  <c r="A2798" i="3"/>
  <c r="A2797" i="3"/>
  <c r="A2796" i="3"/>
  <c r="A2795" i="3"/>
  <c r="A2794" i="3"/>
  <c r="A2793" i="3" l="1"/>
  <c r="A2792" i="3"/>
  <c r="A2791" i="3"/>
  <c r="A2790" i="3" l="1"/>
  <c r="A2789" i="3"/>
  <c r="A2788" i="3" l="1"/>
  <c r="A2787" i="3"/>
  <c r="A2786" i="3" l="1"/>
  <c r="A2785" i="3"/>
  <c r="A2784" i="3"/>
  <c r="A2783" i="3"/>
  <c r="A2782" i="3"/>
  <c r="A2781" i="3"/>
  <c r="A2780" i="3"/>
  <c r="A2779" i="3"/>
  <c r="A2778" i="3"/>
  <c r="A2777" i="3"/>
  <c r="A2776" i="3" l="1"/>
  <c r="A2775" i="3"/>
  <c r="A2774" i="3"/>
  <c r="A2773" i="3"/>
  <c r="A2772" i="3" l="1"/>
  <c r="A2771" i="3"/>
  <c r="A2770" i="3"/>
  <c r="A2769" i="3"/>
  <c r="A2768" i="3"/>
  <c r="A2767" i="3"/>
  <c r="A2766" i="3"/>
  <c r="A2765" i="3"/>
  <c r="A2764" i="3"/>
  <c r="A2763" i="3"/>
  <c r="A2762" i="3"/>
  <c r="A2761" i="3"/>
  <c r="A2760" i="3"/>
  <c r="A2759" i="3"/>
  <c r="A2758" i="3"/>
  <c r="A2757" i="3"/>
  <c r="A2756" i="3"/>
  <c r="A2755" i="3"/>
  <c r="A2754" i="3"/>
  <c r="A2753" i="3"/>
  <c r="A2752" i="3"/>
  <c r="A2751" i="3" l="1"/>
  <c r="A2750" i="3"/>
  <c r="A2749" i="3"/>
  <c r="A2748" i="3"/>
  <c r="A2747" i="3"/>
  <c r="A2746" i="3"/>
  <c r="A2745" i="3"/>
  <c r="A2744" i="3"/>
  <c r="A2743" i="3"/>
  <c r="A2742" i="3"/>
  <c r="A2741" i="3"/>
  <c r="A2740" i="3" l="1"/>
  <c r="A2739" i="3"/>
  <c r="A2738" i="3"/>
  <c r="A2737" i="3"/>
  <c r="A2736" i="3"/>
  <c r="A2735" i="3"/>
  <c r="A2734" i="3"/>
  <c r="A2733" i="3"/>
  <c r="A2732" i="3"/>
  <c r="A2731" i="3"/>
  <c r="A2730" i="3" l="1"/>
  <c r="A2729" i="3" l="1"/>
  <c r="A2728" i="3"/>
  <c r="A2727" i="3"/>
  <c r="A2726" i="3"/>
  <c r="A2725" i="3"/>
  <c r="A2724" i="3"/>
  <c r="A2723" i="3" l="1"/>
  <c r="A2722" i="3"/>
  <c r="A2721" i="3"/>
  <c r="A2720" i="3"/>
  <c r="A2719" i="3"/>
  <c r="A2718" i="3" l="1"/>
  <c r="A2717" i="3"/>
  <c r="A2716" i="3"/>
  <c r="A2715" i="3"/>
  <c r="A2714" i="3" l="1"/>
  <c r="A2713" i="3"/>
  <c r="A2712" i="3"/>
  <c r="A2711" i="3"/>
  <c r="A2710" i="3" l="1"/>
  <c r="A2709" i="3"/>
  <c r="A2708" i="3"/>
  <c r="A2707" i="3"/>
  <c r="A2706" i="3"/>
  <c r="A2705" i="3"/>
  <c r="A2704" i="3"/>
  <c r="A2703" i="3"/>
  <c r="A2702" i="3"/>
  <c r="A2701" i="3"/>
  <c r="A2700" i="3"/>
  <c r="A2699" i="3"/>
  <c r="A2698" i="3"/>
  <c r="A2697" i="3"/>
  <c r="A2696" i="3"/>
  <c r="A2695" i="3"/>
  <c r="A2694" i="3"/>
  <c r="A2693" i="3"/>
  <c r="A2692" i="3"/>
  <c r="A2691" i="3"/>
  <c r="A2690" i="3"/>
  <c r="A2689" i="3"/>
  <c r="A2688" i="3"/>
  <c r="A2687" i="3"/>
  <c r="A2686" i="3"/>
  <c r="A2685" i="3"/>
  <c r="A2684" i="3"/>
  <c r="A2683" i="3" l="1"/>
  <c r="A2682" i="3"/>
  <c r="A2681" i="3"/>
  <c r="A2680" i="3"/>
  <c r="A2679" i="3"/>
  <c r="A2678" i="3"/>
  <c r="A2677" i="3"/>
  <c r="A2676" i="3"/>
  <c r="A2675" i="3"/>
  <c r="A2674" i="3"/>
  <c r="A2673" i="3"/>
  <c r="A2672" i="3"/>
  <c r="A2671" i="3"/>
  <c r="A2670" i="3"/>
  <c r="A2669" i="3"/>
  <c r="A2668" i="3"/>
  <c r="A2667" i="3"/>
  <c r="A2666" i="3" l="1"/>
  <c r="A2665" i="3" l="1"/>
  <c r="A2664" i="3"/>
  <c r="A2663" i="3"/>
  <c r="A2662" i="3" l="1"/>
  <c r="A2661" i="3"/>
  <c r="A2660" i="3"/>
  <c r="A2659" i="3"/>
  <c r="A2658" i="3"/>
  <c r="A2657" i="3"/>
  <c r="A2656" i="3"/>
  <c r="A2655" i="3" l="1"/>
  <c r="A2654" i="3"/>
  <c r="A2653" i="3"/>
  <c r="A2652" i="3"/>
  <c r="A2651" i="3"/>
  <c r="A2650" i="3"/>
  <c r="A2649" i="3"/>
  <c r="A2648" i="3"/>
  <c r="A2647" i="3" l="1"/>
  <c r="A2646" i="3"/>
  <c r="A2645" i="3"/>
  <c r="A2644" i="3"/>
  <c r="A2643" i="3"/>
  <c r="A2642" i="3" l="1"/>
  <c r="A2641" i="3"/>
  <c r="A2640" i="3"/>
  <c r="A2639" i="3"/>
  <c r="A2638" i="3"/>
  <c r="A2637" i="3"/>
  <c r="A2636" i="3"/>
  <c r="A2635" i="3" l="1"/>
  <c r="A2634" i="3"/>
  <c r="A2633" i="3"/>
  <c r="A2632" i="3"/>
  <c r="A2631" i="3"/>
  <c r="A2630" i="3"/>
  <c r="A2629" i="3"/>
  <c r="A2628" i="3"/>
  <c r="A2627" i="3"/>
  <c r="A2626" i="3" l="1"/>
  <c r="A2625" i="3"/>
  <c r="A2624" i="3"/>
  <c r="A2623" i="3"/>
  <c r="A2622" i="3"/>
  <c r="A2621" i="3"/>
  <c r="A2620" i="3"/>
  <c r="A2619" i="3"/>
  <c r="A2618" i="3"/>
  <c r="A2617" i="3"/>
  <c r="A2616" i="3" l="1"/>
  <c r="A2615" i="3"/>
  <c r="A2614" i="3" l="1"/>
  <c r="A2613" i="3"/>
  <c r="A2612" i="3" l="1"/>
  <c r="A2611" i="3"/>
  <c r="A2610" i="3"/>
  <c r="A2609" i="3"/>
  <c r="A2608" i="3" l="1"/>
  <c r="A2607" i="3" l="1"/>
  <c r="A2606" i="3"/>
  <c r="A2605" i="3"/>
  <c r="A2604" i="3"/>
  <c r="A2603" i="3"/>
  <c r="A2602" i="3"/>
  <c r="A2601" i="3"/>
  <c r="A2600" i="3"/>
  <c r="A2599" i="3"/>
  <c r="A2598" i="3"/>
  <c r="A2597" i="3"/>
  <c r="A2596" i="3" l="1"/>
  <c r="A2595" i="3"/>
  <c r="A2594" i="3" l="1"/>
  <c r="A2593" i="3"/>
  <c r="A2592" i="3"/>
  <c r="A2591" i="3"/>
  <c r="A2590" i="3" l="1"/>
  <c r="A2589" i="3"/>
  <c r="A2588" i="3"/>
  <c r="A2587" i="3" l="1"/>
  <c r="A2586" i="3" l="1"/>
  <c r="A2585" i="3"/>
  <c r="A2584" i="3"/>
  <c r="A2583" i="3"/>
  <c r="A2582" i="3" l="1"/>
  <c r="A2581" i="3"/>
  <c r="A2580" i="3"/>
  <c r="A2579" i="3"/>
  <c r="A2578" i="3"/>
  <c r="A2577" i="3"/>
  <c r="A2576" i="3"/>
  <c r="A2575" i="3"/>
  <c r="A2574" i="3" l="1"/>
  <c r="A2573" i="3" l="1"/>
  <c r="A2572" i="3" l="1"/>
  <c r="A2571" i="3"/>
  <c r="A2570" i="3"/>
  <c r="A2569" i="3"/>
  <c r="A2568" i="3"/>
  <c r="A2567" i="3"/>
  <c r="A2566" i="3"/>
  <c r="A2565" i="3"/>
  <c r="A2564" i="3"/>
  <c r="A2563" i="3"/>
  <c r="A2562" i="3"/>
  <c r="A2561" i="3"/>
  <c r="A2560" i="3"/>
  <c r="A2559" i="3" l="1"/>
  <c r="A2558" i="3"/>
  <c r="A2557" i="3"/>
  <c r="A2556" i="3"/>
  <c r="A2555" i="3"/>
  <c r="A2554" i="3"/>
  <c r="A2553" i="3"/>
  <c r="A2552" i="3" l="1"/>
  <c r="A2551" i="3"/>
  <c r="A2550" i="3"/>
  <c r="A2549" i="3" l="1"/>
  <c r="A2548" i="3"/>
  <c r="A2547" i="3"/>
  <c r="A2546" i="3" l="1"/>
  <c r="A2545" i="3"/>
  <c r="A2544" i="3"/>
  <c r="A2543" i="3"/>
  <c r="A2542" i="3"/>
  <c r="A2541" i="3"/>
  <c r="A2540" i="3"/>
  <c r="A2539" i="3" l="1"/>
  <c r="A2538" i="3" l="1"/>
  <c r="A2537" i="3"/>
  <c r="A2536" i="3"/>
  <c r="A2535" i="3"/>
  <c r="A2534" i="3"/>
  <c r="A2533" i="3"/>
  <c r="A2532" i="3"/>
  <c r="A2531" i="3"/>
  <c r="A2530" i="3"/>
  <c r="A2529" i="3"/>
  <c r="A2528" i="3"/>
  <c r="A2527" i="3"/>
  <c r="A2526" i="3"/>
  <c r="A2525" i="3"/>
  <c r="A2524" i="3"/>
  <c r="A2523" i="3" l="1"/>
  <c r="A2522" i="3"/>
  <c r="A2521" i="3"/>
  <c r="A2520" i="3" l="1"/>
  <c r="A2519" i="3"/>
  <c r="A2518" i="3"/>
  <c r="A2517" i="3"/>
  <c r="A2516" i="3"/>
  <c r="A2515" i="3"/>
  <c r="A2511" i="3" l="1"/>
  <c r="A2512" i="3"/>
  <c r="A2513" i="3"/>
  <c r="A2514" i="3"/>
  <c r="A2510" i="3"/>
  <c r="A2509" i="3" l="1"/>
  <c r="A2508" i="3" l="1"/>
  <c r="A2507" i="3" l="1"/>
  <c r="A2506" i="3"/>
  <c r="A2505" i="3"/>
  <c r="A2504" i="3"/>
  <c r="A2503" i="3"/>
  <c r="A2502" i="3"/>
  <c r="A2501" i="3"/>
  <c r="A2500" i="3"/>
  <c r="A2499" i="3"/>
  <c r="A2498" i="3"/>
  <c r="A2497" i="3"/>
  <c r="A2496" i="3"/>
  <c r="A2495" i="3" l="1"/>
  <c r="A2491" i="3" l="1"/>
  <c r="A2492" i="3"/>
  <c r="A2493" i="3"/>
  <c r="A2494" i="3"/>
  <c r="A2490" i="3" l="1"/>
  <c r="A2489" i="3"/>
  <c r="A2488" i="3"/>
  <c r="A2487" i="3"/>
  <c r="A2486" i="3"/>
  <c r="A2485" i="3" l="1"/>
  <c r="A2484" i="3"/>
  <c r="A2483" i="3" l="1"/>
  <c r="A2482" i="3"/>
  <c r="A2481" i="3"/>
  <c r="A2480" i="3"/>
  <c r="A2479" i="3"/>
  <c r="A2478" i="3"/>
  <c r="A2477" i="3"/>
  <c r="A2476" i="3"/>
  <c r="A2475" i="3" l="1"/>
  <c r="A2470" i="3"/>
  <c r="A2471" i="3"/>
  <c r="A2472" i="3"/>
  <c r="A2473" i="3"/>
  <c r="A2474" i="3"/>
  <c r="A2469" i="3" l="1"/>
  <c r="A2447" i="3" l="1"/>
  <c r="A2448" i="3"/>
  <c r="A2449" i="3"/>
  <c r="A2450" i="3"/>
  <c r="A2451" i="3"/>
  <c r="A2452" i="3"/>
  <c r="A2453" i="3"/>
  <c r="A2454" i="3"/>
  <c r="A2455" i="3"/>
  <c r="A2456" i="3"/>
  <c r="A2457" i="3"/>
  <c r="A2458" i="3"/>
  <c r="A2459" i="3"/>
  <c r="A2460" i="3"/>
  <c r="A2461" i="3"/>
  <c r="A2462" i="3"/>
  <c r="A2463" i="3"/>
  <c r="A2464" i="3"/>
  <c r="A2465" i="3"/>
  <c r="A2466" i="3"/>
  <c r="A2467" i="3"/>
  <c r="A2468" i="3"/>
  <c r="A2446" i="3"/>
  <c r="A2445" i="3" l="1"/>
  <c r="A2444" i="3"/>
  <c r="A2443" i="3"/>
  <c r="A2442" i="3"/>
  <c r="A2441" i="3" l="1"/>
  <c r="A2440" i="3"/>
  <c r="A2439" i="3"/>
  <c r="A2438" i="3"/>
  <c r="A2437" i="3"/>
  <c r="A2436" i="3"/>
  <c r="A2435" i="3"/>
  <c r="A2434" i="3"/>
  <c r="A2433" i="3"/>
  <c r="A2432" i="3" l="1"/>
  <c r="A2431" i="3"/>
  <c r="A2430" i="3"/>
  <c r="A2429" i="3"/>
  <c r="A2428" i="3" l="1"/>
  <c r="A2424" i="3" l="1"/>
  <c r="A2425" i="3"/>
  <c r="A2426" i="3"/>
  <c r="A2427" i="3"/>
  <c r="A2423" i="3" l="1"/>
  <c r="A2422" i="3"/>
  <c r="A2421" i="3"/>
  <c r="A2420" i="3"/>
  <c r="A2419" i="3"/>
  <c r="A2418" i="3"/>
  <c r="A2417" i="3"/>
  <c r="A2416" i="3"/>
  <c r="A2415" i="3"/>
  <c r="A2414" i="3" l="1"/>
  <c r="A2413" i="3" l="1"/>
  <c r="A2412" i="3" l="1"/>
  <c r="A2411" i="3"/>
  <c r="A2410" i="3"/>
  <c r="A2409" i="3"/>
  <c r="A2408" i="3"/>
  <c r="A2407" i="3" l="1"/>
  <c r="A2406" i="3"/>
  <c r="A2405" i="3"/>
  <c r="A2398" i="3" l="1"/>
  <c r="A2399" i="3"/>
  <c r="A2400" i="3"/>
  <c r="A2401" i="3"/>
  <c r="A2402" i="3"/>
  <c r="A2403" i="3"/>
  <c r="A2404" i="3"/>
  <c r="A2397" i="3"/>
  <c r="A2396" i="3" l="1"/>
  <c r="A2395" i="3"/>
  <c r="A2394" i="3"/>
  <c r="A2393" i="3"/>
  <c r="A2392" i="3"/>
  <c r="A2391" i="3" l="1"/>
  <c r="A2390" i="3"/>
  <c r="A2389" i="3"/>
  <c r="A2388" i="3" l="1"/>
  <c r="A2387" i="3" l="1"/>
  <c r="A2386" i="3"/>
  <c r="A2385" i="3"/>
  <c r="A2384" i="3"/>
  <c r="A2383" i="3" l="1"/>
  <c r="A2382" i="3"/>
  <c r="A2381" i="3"/>
  <c r="A2380" i="3"/>
  <c r="A2379" i="3"/>
  <c r="A2378" i="3"/>
  <c r="A2377" i="3"/>
  <c r="A2376" i="3" l="1"/>
  <c r="A2375" i="3"/>
  <c r="A2374" i="3"/>
  <c r="A2373" i="3"/>
  <c r="A2372" i="3"/>
  <c r="A2371" i="3"/>
  <c r="A2370" i="3"/>
  <c r="A2369" i="3"/>
  <c r="A2368" i="3"/>
  <c r="A2367" i="3"/>
  <c r="A2366" i="3"/>
  <c r="A2365" i="3"/>
  <c r="A2364" i="3" l="1"/>
  <c r="A2363" i="3"/>
  <c r="A2362" i="3"/>
  <c r="A2361" i="3"/>
  <c r="A2360" i="3" l="1"/>
  <c r="A2359" i="3"/>
  <c r="A2358" i="3"/>
  <c r="A2357" i="3" l="1"/>
  <c r="A2355" i="3" l="1"/>
  <c r="A2354" i="3"/>
  <c r="A2353" i="3"/>
  <c r="A2352" i="3" l="1"/>
  <c r="A2351" i="3"/>
  <c r="A2350" i="3"/>
  <c r="A2349" i="3"/>
  <c r="A2348" i="3"/>
  <c r="A2347" i="3" l="1"/>
  <c r="A2344" i="3" l="1"/>
  <c r="A2345" i="3"/>
  <c r="A2346" i="3"/>
  <c r="A2341" i="3" l="1"/>
  <c r="A2342" i="3"/>
  <c r="A2343" i="3"/>
  <c r="A2340" i="3"/>
  <c r="A2339" i="3" l="1"/>
  <c r="A2338" i="3" l="1"/>
  <c r="A2337" i="3"/>
  <c r="A2336" i="3"/>
  <c r="A2335" i="3"/>
  <c r="A2334" i="3"/>
  <c r="A2333" i="3"/>
  <c r="A2332" i="3"/>
  <c r="A2331" i="3"/>
  <c r="A2330" i="3" l="1"/>
  <c r="A2329" i="3"/>
  <c r="A2328" i="3" l="1"/>
  <c r="A2327" i="3"/>
  <c r="A2326" i="3"/>
  <c r="A2325" i="3"/>
  <c r="A2324" i="3"/>
  <c r="A2323" i="3"/>
  <c r="A2322" i="3" l="1"/>
  <c r="A2321" i="3"/>
  <c r="A2320" i="3"/>
  <c r="A2319" i="3"/>
  <c r="A2318" i="3"/>
  <c r="A2312" i="3" l="1"/>
  <c r="A2315" i="3" l="1"/>
  <c r="A2316" i="3"/>
  <c r="A2317" i="3"/>
  <c r="A2314" i="3"/>
  <c r="A2313" i="3" l="1"/>
  <c r="A2311" i="3"/>
  <c r="A2310" i="3"/>
  <c r="A2309" i="3"/>
  <c r="A2308" i="3"/>
  <c r="A2307" i="3"/>
  <c r="A2306" i="3"/>
  <c r="A2305" i="3" l="1"/>
  <c r="A2304" i="3" l="1"/>
  <c r="A2303" i="3"/>
  <c r="A2302" i="3"/>
  <c r="A2301" i="3"/>
  <c r="A2300" i="3"/>
  <c r="A2299" i="3"/>
  <c r="A2298" i="3" l="1"/>
  <c r="A2297" i="3"/>
  <c r="A2296" i="3"/>
  <c r="A2295" i="3"/>
  <c r="A2294" i="3"/>
  <c r="A2293" i="3"/>
  <c r="A2292" i="3"/>
  <c r="A2291" i="3"/>
  <c r="A2290" i="3"/>
  <c r="A2289" i="3"/>
  <c r="A2288" i="3"/>
  <c r="A2287" i="3" l="1"/>
  <c r="A2286" i="3"/>
  <c r="A2285" i="3" l="1"/>
  <c r="A2284" i="3"/>
  <c r="A2283" i="3"/>
  <c r="A2282" i="3"/>
  <c r="A2281" i="3" l="1"/>
  <c r="A2280" i="3"/>
  <c r="A2279" i="3"/>
  <c r="A2277" i="3" l="1"/>
  <c r="A2278" i="3"/>
  <c r="A2273" i="3"/>
  <c r="A2274" i="3"/>
  <c r="A2275" i="3"/>
  <c r="A2276" i="3"/>
  <c r="A2266" i="3"/>
  <c r="A2267" i="3"/>
  <c r="A2268" i="3"/>
  <c r="A2269" i="3"/>
  <c r="A2270" i="3"/>
  <c r="A2271" i="3"/>
  <c r="A2272" i="3"/>
  <c r="A2265" i="3" l="1"/>
  <c r="A2264" i="3" l="1"/>
  <c r="A2263" i="3"/>
  <c r="A2262" i="3" l="1"/>
  <c r="A2261" i="3"/>
  <c r="A2260" i="3" l="1"/>
  <c r="A2259" i="3"/>
  <c r="A2258" i="3"/>
  <c r="A2257" i="3"/>
  <c r="A2256" i="3"/>
  <c r="A2255" i="3"/>
  <c r="A2254" i="3"/>
  <c r="A2253" i="3"/>
  <c r="A2252" i="3"/>
  <c r="A2251" i="3" l="1"/>
  <c r="A2250" i="3"/>
  <c r="A2249" i="3" l="1"/>
  <c r="A2248" i="3" l="1"/>
  <c r="A2247" i="3" l="1"/>
  <c r="A2246" i="3" l="1"/>
  <c r="A2245" i="3"/>
  <c r="A2244" i="3"/>
  <c r="A2243" i="3"/>
  <c r="A2242" i="3"/>
  <c r="A2241" i="3"/>
  <c r="A2240" i="3" l="1"/>
  <c r="A2239" i="3"/>
  <c r="A2238" i="3"/>
  <c r="A2237" i="3" l="1"/>
  <c r="A2236" i="3" l="1"/>
  <c r="A2235" i="3"/>
  <c r="A2234" i="3"/>
  <c r="A2233" i="3"/>
  <c r="A2232" i="3"/>
  <c r="A2231" i="3" l="1"/>
  <c r="A2230" i="3"/>
  <c r="A2229" i="3"/>
  <c r="A2228" i="3"/>
  <c r="A2227" i="3"/>
  <c r="A2226" i="3"/>
  <c r="A2225" i="3" l="1"/>
  <c r="A2224" i="3" l="1"/>
  <c r="A2223" i="3"/>
  <c r="A2222" i="3"/>
  <c r="A2221" i="3"/>
  <c r="A2220" i="3"/>
  <c r="A2219" i="3"/>
  <c r="A2218" i="3"/>
  <c r="A2217" i="3" l="1"/>
  <c r="A2216" i="3"/>
  <c r="A2215" i="3"/>
  <c r="A2214" i="3"/>
  <c r="A2213" i="3" l="1"/>
  <c r="A2212" i="3"/>
  <c r="A2211" i="3" l="1"/>
  <c r="A2210" i="3" l="1"/>
  <c r="A2209" i="3"/>
  <c r="A2208" i="3"/>
  <c r="A2207" i="3"/>
  <c r="A2206" i="3"/>
  <c r="A2205" i="3"/>
  <c r="A2204" i="3"/>
  <c r="A2203" i="3"/>
  <c r="A2202" i="3" l="1"/>
  <c r="A2201" i="3" l="1"/>
  <c r="A2200" i="3"/>
  <c r="A2199" i="3" l="1"/>
  <c r="A2198" i="3"/>
  <c r="A2197" i="3" l="1"/>
  <c r="A2196" i="3"/>
  <c r="A2195" i="3"/>
  <c r="A2194" i="3"/>
  <c r="A2193" i="3" l="1"/>
  <c r="A2192" i="3"/>
  <c r="A2191" i="3"/>
  <c r="A2190" i="3"/>
  <c r="A2189" i="3" l="1"/>
  <c r="A2188" i="3"/>
  <c r="A2187" i="3"/>
  <c r="A2186" i="3" l="1"/>
  <c r="A2185" i="3"/>
  <c r="A2184" i="3"/>
  <c r="A2183" i="3" l="1"/>
  <c r="A2182" i="3"/>
  <c r="A2181" i="3"/>
  <c r="A2180" i="3"/>
  <c r="A2179" i="3"/>
  <c r="A2178" i="3"/>
  <c r="A2177" i="3"/>
  <c r="A2176" i="3"/>
  <c r="A2175" i="3"/>
  <c r="A2174" i="3"/>
  <c r="A2173" i="3" l="1"/>
  <c r="A2161" i="3" l="1"/>
  <c r="A2162" i="3"/>
  <c r="A2163" i="3"/>
  <c r="A2164" i="3"/>
  <c r="A2165" i="3"/>
  <c r="A2166" i="3"/>
  <c r="A2167" i="3"/>
  <c r="A2168" i="3"/>
  <c r="A2169" i="3"/>
  <c r="A2170" i="3"/>
  <c r="A2171" i="3"/>
  <c r="A2172" i="3"/>
  <c r="A2160" i="3"/>
  <c r="A2159" i="3" l="1"/>
  <c r="A2158" i="3"/>
  <c r="A2157" i="3"/>
  <c r="A2156" i="3"/>
  <c r="A2155" i="3"/>
  <c r="A2154" i="3"/>
  <c r="A2153" i="3"/>
  <c r="A2152" i="3"/>
  <c r="A2151" i="3"/>
  <c r="A2150" i="3"/>
  <c r="A2149" i="3"/>
  <c r="A2148" i="3"/>
  <c r="A2147" i="3"/>
  <c r="A2146" i="3"/>
  <c r="A2145" i="3"/>
  <c r="A2144" i="3"/>
  <c r="A2141" i="3" l="1"/>
  <c r="A2142" i="3"/>
  <c r="A2143" i="3"/>
  <c r="A2140" i="3"/>
  <c r="A2139" i="3" l="1"/>
  <c r="A2138" i="3"/>
  <c r="A2137" i="3"/>
  <c r="A2135" i="3" l="1"/>
  <c r="A2136" i="3"/>
  <c r="A2125" i="3"/>
  <c r="A2126" i="3"/>
  <c r="A2127" i="3"/>
  <c r="A2128" i="3"/>
  <c r="A2129" i="3"/>
  <c r="A2130" i="3"/>
  <c r="A2131" i="3"/>
  <c r="A2132" i="3"/>
  <c r="A2133" i="3"/>
  <c r="A2134" i="3"/>
  <c r="C1081" i="8"/>
  <c r="A2124" i="3" l="1"/>
  <c r="A2123" i="3"/>
  <c r="A2122" i="3"/>
  <c r="A2121" i="3"/>
  <c r="A2120" i="3"/>
  <c r="A2119" i="3"/>
  <c r="A2118" i="3"/>
  <c r="A2117" i="3"/>
  <c r="A2116" i="3"/>
  <c r="A2115" i="3"/>
  <c r="A2114" i="3"/>
  <c r="A2113" i="3"/>
  <c r="A2112" i="3"/>
  <c r="A2111" i="3"/>
  <c r="A2110" i="3"/>
  <c r="A2109" i="3"/>
  <c r="A2108" i="3"/>
  <c r="A2107" i="3"/>
  <c r="A2106" i="3" l="1"/>
  <c r="A2105" i="3"/>
  <c r="A2104" i="3"/>
  <c r="A2103" i="3"/>
  <c r="A2102" i="3"/>
  <c r="A2101" i="3"/>
  <c r="A2100" i="3"/>
  <c r="A2094" i="3" l="1"/>
  <c r="A2095" i="3"/>
  <c r="A2096" i="3"/>
  <c r="A2097" i="3"/>
  <c r="A2098" i="3"/>
  <c r="A2099" i="3"/>
  <c r="A2093" i="3"/>
  <c r="A2087" i="3"/>
  <c r="A2088" i="3"/>
  <c r="A2089" i="3"/>
  <c r="A2090" i="3"/>
  <c r="A2091" i="3"/>
  <c r="A2092" i="3"/>
  <c r="A2086" i="3"/>
  <c r="C1061" i="8"/>
  <c r="C1057" i="8"/>
  <c r="A2085" i="3" l="1"/>
  <c r="A2084" i="3" l="1"/>
  <c r="A2083" i="3"/>
  <c r="A2082" i="3"/>
  <c r="A2081" i="3" l="1"/>
  <c r="A2080" i="3"/>
  <c r="A2079" i="3"/>
  <c r="A2078" i="3"/>
  <c r="A2077" i="3"/>
  <c r="A2076" i="3"/>
  <c r="A2075" i="3"/>
  <c r="A2074" i="3" l="1"/>
  <c r="A2073" i="3"/>
  <c r="A2072" i="3"/>
  <c r="A2071" i="3"/>
  <c r="A2070" i="3"/>
  <c r="A2069" i="3"/>
  <c r="A2068" i="3"/>
  <c r="A2067" i="3"/>
  <c r="A2066" i="3"/>
  <c r="A2065" i="3"/>
  <c r="A2064" i="3"/>
  <c r="A2063" i="3"/>
  <c r="A2062" i="3"/>
  <c r="A2061" i="3"/>
  <c r="A2060" i="3"/>
  <c r="A2059" i="3"/>
  <c r="A2058" i="3"/>
  <c r="A2057" i="3" l="1"/>
  <c r="A2056" i="3" l="1"/>
  <c r="A2055" i="3"/>
  <c r="A2054" i="3"/>
  <c r="A2053" i="3"/>
  <c r="A2052" i="3"/>
  <c r="A2051" i="3"/>
  <c r="A2050" i="3"/>
  <c r="A2049" i="3"/>
  <c r="A2048" i="3"/>
  <c r="A2047" i="3"/>
  <c r="A2046" i="3"/>
  <c r="A2045" i="3" l="1"/>
  <c r="A2044" i="3"/>
  <c r="A2043" i="3"/>
  <c r="A2042" i="3"/>
  <c r="A2041" i="3" l="1"/>
  <c r="A2040" i="3" l="1"/>
  <c r="A2039" i="3"/>
  <c r="A2038" i="3" l="1"/>
  <c r="A2037" i="3"/>
  <c r="A2036" i="3"/>
  <c r="A2035" i="3"/>
  <c r="A2034" i="3" l="1"/>
  <c r="A2033" i="3" l="1"/>
  <c r="A2032" i="3"/>
  <c r="A2031" i="3"/>
  <c r="A2030" i="3"/>
  <c r="A2029" i="3"/>
  <c r="A2028" i="3"/>
  <c r="A2027" i="3"/>
  <c r="A2026" i="3"/>
  <c r="A2025" i="3"/>
  <c r="A2024" i="3"/>
  <c r="A2023" i="3"/>
  <c r="A2022" i="3"/>
  <c r="A2021" i="3"/>
  <c r="A2020" i="3"/>
  <c r="A2019" i="3"/>
  <c r="A2018" i="3" l="1"/>
  <c r="A2017" i="3"/>
  <c r="A2016" i="3"/>
  <c r="A2015" i="3"/>
  <c r="A2014" i="3"/>
  <c r="A2013" i="3"/>
  <c r="A2012" i="3"/>
  <c r="A2011" i="3"/>
  <c r="A2010" i="3"/>
  <c r="C1023" i="8" l="1"/>
  <c r="A2009" i="3"/>
  <c r="A2008" i="3" l="1"/>
  <c r="A2007" i="3"/>
  <c r="A2006" i="3"/>
  <c r="A2005" i="3"/>
  <c r="A2004" i="3"/>
  <c r="A2003" i="3" l="1"/>
  <c r="A2002" i="3"/>
  <c r="A2001" i="3"/>
  <c r="A2000" i="3" l="1"/>
  <c r="A1999" i="3"/>
  <c r="A1998" i="3"/>
  <c r="A1997" i="3"/>
  <c r="A1996" i="3" l="1"/>
  <c r="A1995" i="3"/>
  <c r="A1994" i="3"/>
  <c r="A1993" i="3"/>
  <c r="A1992" i="3" l="1"/>
  <c r="A1988" i="3" l="1"/>
  <c r="A1989" i="3"/>
  <c r="A1990" i="3"/>
  <c r="A1991" i="3"/>
  <c r="A1985" i="3" l="1"/>
  <c r="A1986" i="3"/>
  <c r="A1987" i="3"/>
  <c r="A1984" i="3" l="1"/>
  <c r="A1983" i="3" l="1"/>
  <c r="A1982" i="3"/>
  <c r="A1981" i="3" l="1"/>
  <c r="A1980" i="3"/>
  <c r="A1979" i="3"/>
  <c r="A1978" i="3"/>
  <c r="A1977" i="3"/>
  <c r="A1976" i="3"/>
  <c r="A1975" i="3"/>
  <c r="A1974" i="3"/>
  <c r="A1973" i="3"/>
  <c r="A1972" i="3" l="1"/>
  <c r="A1971" i="3"/>
  <c r="A1970" i="3"/>
  <c r="A1969" i="3"/>
  <c r="A1968" i="3" l="1"/>
  <c r="A1967" i="3"/>
  <c r="A1966" i="3"/>
  <c r="A1965" i="3" l="1"/>
  <c r="A1964" i="3"/>
  <c r="A1963" i="3"/>
  <c r="A1962" i="3"/>
  <c r="A1961" i="3"/>
  <c r="A1960" i="3" l="1"/>
  <c r="A1959" i="3" l="1"/>
  <c r="A1958" i="3" l="1"/>
  <c r="A1957" i="3"/>
  <c r="A1956" i="3" l="1"/>
  <c r="A1955" i="3"/>
  <c r="A1954" i="3"/>
  <c r="A1953" i="3"/>
  <c r="A1952" i="3"/>
  <c r="A1951" i="3"/>
  <c r="A1950" i="3"/>
  <c r="A1949" i="3"/>
  <c r="A1948" i="3"/>
  <c r="A1947" i="3"/>
  <c r="A1946" i="3"/>
  <c r="A1945" i="3" l="1"/>
  <c r="A1944" i="3"/>
  <c r="A1943" i="3"/>
  <c r="A1942" i="3" l="1"/>
  <c r="A1941" i="3"/>
  <c r="A1940" i="3"/>
  <c r="A1939" i="3" l="1"/>
  <c r="A1938" i="3"/>
  <c r="A1937" i="3"/>
  <c r="A1936" i="3"/>
  <c r="A1935" i="3"/>
  <c r="A1934" i="3"/>
  <c r="A1933" i="3"/>
  <c r="A1929" i="3" l="1"/>
  <c r="A1930" i="3"/>
  <c r="A1931" i="3"/>
  <c r="A1932" i="3"/>
  <c r="A1928" i="3"/>
  <c r="A1927" i="3" l="1"/>
  <c r="A1926" i="3"/>
  <c r="A1925" i="3"/>
  <c r="A1924" i="3"/>
  <c r="A1923" i="3"/>
  <c r="A1922" i="3"/>
  <c r="A1921" i="3"/>
  <c r="A1920" i="3"/>
  <c r="A1919" i="3"/>
  <c r="A1918" i="3"/>
  <c r="A1917" i="3"/>
  <c r="A1916" i="3"/>
  <c r="A1915" i="3" l="1"/>
  <c r="A1914" i="3" l="1"/>
  <c r="A1913" i="3"/>
  <c r="A1912" i="3" l="1"/>
  <c r="A1911" i="3"/>
  <c r="A1910" i="3"/>
  <c r="A1909" i="3"/>
  <c r="A1908" i="3"/>
  <c r="A1907" i="3" l="1"/>
  <c r="A1906" i="3"/>
  <c r="A1905" i="3"/>
  <c r="C963" i="8"/>
  <c r="C959" i="8" l="1"/>
  <c r="A1904" i="3"/>
  <c r="A1903" i="3"/>
  <c r="A1902" i="3"/>
  <c r="A1901" i="3"/>
  <c r="A1900" i="3"/>
  <c r="A1899" i="3"/>
  <c r="A1898" i="3"/>
  <c r="A1897" i="3"/>
  <c r="A1896" i="3"/>
  <c r="A1895" i="3"/>
  <c r="A1894" i="3" l="1"/>
  <c r="C955" i="8"/>
  <c r="A1888" i="3" l="1"/>
  <c r="A1893" i="3"/>
  <c r="A1892" i="3"/>
  <c r="A1891" i="3"/>
  <c r="A1890" i="3" l="1"/>
  <c r="A1889" i="3" l="1"/>
  <c r="A1887" i="3" l="1"/>
  <c r="A1886" i="3"/>
  <c r="A1885" i="3"/>
  <c r="A1884" i="3"/>
  <c r="A1883" i="3"/>
  <c r="A1882" i="3"/>
  <c r="A1881" i="3"/>
  <c r="A1880" i="3"/>
  <c r="A1879" i="3"/>
  <c r="A1878" i="3"/>
  <c r="A1877" i="3"/>
  <c r="A1876" i="3"/>
  <c r="A1875" i="3" l="1"/>
  <c r="A1874" i="3"/>
  <c r="A1873" i="3"/>
  <c r="A1872" i="3"/>
  <c r="A1871" i="3"/>
  <c r="A1870" i="3"/>
  <c r="A1869" i="3" l="1"/>
  <c r="A1868" i="3"/>
  <c r="A1867" i="3"/>
  <c r="A1866" i="3"/>
  <c r="A1865" i="3"/>
  <c r="A1864" i="3"/>
  <c r="A1863" i="3"/>
  <c r="A1862" i="3"/>
  <c r="A1861" i="3"/>
  <c r="A1860" i="3"/>
  <c r="A1859" i="3"/>
  <c r="A1858" i="3"/>
  <c r="C943" i="8"/>
  <c r="C937" i="8"/>
  <c r="C936" i="8"/>
  <c r="C935" i="8"/>
  <c r="A1857" i="3" l="1"/>
  <c r="A1856" i="3"/>
  <c r="A1855" i="3"/>
  <c r="A1854" i="3"/>
  <c r="A1853" i="3"/>
  <c r="A1852" i="3" l="1"/>
  <c r="A1851" i="3"/>
  <c r="A1850" i="3"/>
  <c r="A1849" i="3"/>
  <c r="A1848" i="3"/>
  <c r="A1847" i="3"/>
  <c r="A1846" i="3"/>
  <c r="A1845" i="3"/>
  <c r="A1844" i="3"/>
  <c r="A1843" i="3"/>
  <c r="A1842" i="3"/>
  <c r="A1841" i="3"/>
  <c r="A1840" i="3"/>
  <c r="A1839" i="3"/>
  <c r="A1838" i="3"/>
  <c r="A1837" i="3"/>
  <c r="A1836" i="3" l="1"/>
  <c r="A1835" i="3"/>
  <c r="A1834" i="3"/>
  <c r="A1833" i="3"/>
  <c r="A1832" i="3"/>
  <c r="A1831" i="3" l="1"/>
  <c r="A1830" i="3" l="1"/>
  <c r="A1829" i="3"/>
  <c r="A1828" i="3"/>
  <c r="A1827" i="3" l="1"/>
  <c r="A1826" i="3"/>
  <c r="A1825" i="3"/>
  <c r="A1824" i="3"/>
  <c r="A1823" i="3"/>
  <c r="A1822" i="3"/>
  <c r="A1821" i="3"/>
  <c r="A1820" i="3" l="1"/>
  <c r="A1819" i="3" l="1"/>
  <c r="A1818" i="3"/>
  <c r="A1817" i="3"/>
  <c r="A1816" i="3"/>
  <c r="A1815" i="3"/>
  <c r="A1814" i="3"/>
  <c r="A1813" i="3"/>
  <c r="A1812" i="3"/>
  <c r="A1811" i="3"/>
  <c r="A1810" i="3"/>
  <c r="A1809" i="3"/>
  <c r="A1808" i="3" l="1"/>
  <c r="A1807" i="3"/>
  <c r="A1806" i="3" l="1"/>
  <c r="A1805" i="3" l="1"/>
  <c r="A1804" i="3"/>
  <c r="A1803" i="3"/>
  <c r="A1802" i="3"/>
  <c r="A1801" i="3"/>
  <c r="A1800" i="3"/>
  <c r="A1799" i="3"/>
  <c r="A1798" i="3"/>
  <c r="A1797" i="3"/>
  <c r="A1796" i="3"/>
  <c r="A1795" i="3"/>
  <c r="A1794" i="3"/>
  <c r="A1793" i="3"/>
  <c r="A1792" i="3"/>
  <c r="A1791" i="3" l="1"/>
  <c r="A1790" i="3"/>
  <c r="A1789" i="3"/>
  <c r="A1788" i="3"/>
  <c r="A1787" i="3"/>
  <c r="A1786" i="3"/>
  <c r="A1785" i="3"/>
  <c r="A1784" i="3" l="1"/>
  <c r="C899" i="8" l="1"/>
  <c r="A1783" i="3"/>
  <c r="A1782" i="3"/>
  <c r="A1781" i="3"/>
  <c r="A1780" i="3"/>
  <c r="A1779" i="3"/>
  <c r="A1778" i="3"/>
  <c r="A1777" i="3"/>
  <c r="A1776" i="3"/>
  <c r="A1771" i="3" l="1"/>
  <c r="A1772" i="3"/>
  <c r="A1773" i="3"/>
  <c r="A1774" i="3"/>
  <c r="A1775" i="3"/>
  <c r="A1770" i="3"/>
  <c r="A1767" i="3" l="1"/>
  <c r="A1768" i="3"/>
  <c r="A1769" i="3"/>
  <c r="A1762" i="3"/>
  <c r="A1763" i="3"/>
  <c r="A1764" i="3"/>
  <c r="A1765" i="3"/>
  <c r="A1766" i="3"/>
  <c r="A1761" i="3"/>
  <c r="C891" i="8"/>
  <c r="A1760" i="3" l="1"/>
  <c r="A1759" i="3"/>
  <c r="A1758" i="3"/>
  <c r="A1757" i="3" l="1"/>
  <c r="A1756" i="3"/>
  <c r="A1755" i="3"/>
  <c r="A1754" i="3" l="1"/>
  <c r="A1753" i="3"/>
  <c r="A1752" i="3"/>
  <c r="A1751" i="3"/>
  <c r="A1750" i="3" l="1"/>
  <c r="A1749" i="3"/>
  <c r="A1748" i="3"/>
  <c r="A1747" i="3"/>
  <c r="C887" i="8"/>
  <c r="A1746" i="3" l="1"/>
  <c r="A1745" i="3"/>
  <c r="A1744" i="3"/>
  <c r="A1743" i="3"/>
  <c r="A1742" i="3"/>
  <c r="A1741" i="3"/>
  <c r="A1740" i="3"/>
  <c r="A1739" i="3"/>
  <c r="A1738" i="3"/>
  <c r="A1737" i="3"/>
  <c r="A1736" i="3"/>
  <c r="A1735" i="3"/>
  <c r="A1734" i="3"/>
  <c r="A1733" i="3"/>
  <c r="A1732" i="3"/>
  <c r="A1731" i="3"/>
  <c r="C879" i="8"/>
  <c r="A1730" i="3" l="1"/>
  <c r="A1729" i="3"/>
  <c r="A1728" i="3"/>
  <c r="A1727" i="3" l="1"/>
  <c r="A1726" i="3"/>
  <c r="A1725" i="3"/>
  <c r="A1724" i="3"/>
  <c r="A1723" i="3"/>
  <c r="A1722" i="3"/>
  <c r="A1721" i="3"/>
  <c r="A1720" i="3"/>
  <c r="A1719" i="3"/>
  <c r="A1718" i="3" l="1"/>
  <c r="A1717" i="3"/>
  <c r="A1716" i="3"/>
  <c r="A1715" i="3" l="1"/>
  <c r="A1714" i="3" l="1"/>
  <c r="A1713" i="3"/>
  <c r="A1712" i="3"/>
  <c r="A1711" i="3"/>
  <c r="A1710" i="3"/>
  <c r="A1709" i="3"/>
  <c r="A1708" i="3"/>
  <c r="A1707" i="3"/>
  <c r="A1706" i="3"/>
  <c r="A1705" i="3"/>
  <c r="A1704" i="3"/>
  <c r="C868" i="8" l="1"/>
  <c r="C863" i="8"/>
  <c r="A1703" i="3" l="1"/>
  <c r="A1702" i="3"/>
  <c r="A1701" i="3"/>
  <c r="A1700" i="3"/>
  <c r="A1699" i="3"/>
  <c r="A1698" i="3"/>
  <c r="A1697" i="3"/>
  <c r="A1696" i="3"/>
  <c r="A1695" i="3"/>
  <c r="A1694" i="3"/>
  <c r="A1693" i="3"/>
  <c r="A1692" i="3"/>
  <c r="A1691" i="3"/>
  <c r="A1690" i="3"/>
  <c r="A1689" i="3"/>
  <c r="A1688" i="3"/>
  <c r="A1687" i="3"/>
  <c r="A1686" i="3"/>
  <c r="A1685" i="3"/>
  <c r="A1684" i="3"/>
  <c r="A1683" i="3"/>
  <c r="A1682" i="3"/>
  <c r="A1681" i="3"/>
  <c r="A1680" i="3"/>
  <c r="A1679" i="3"/>
  <c r="A1678" i="3"/>
  <c r="A1677" i="3"/>
  <c r="A1676" i="3"/>
  <c r="A1675" i="3"/>
  <c r="A1674" i="3"/>
  <c r="A1673" i="3"/>
  <c r="A1672" i="3"/>
  <c r="A1671" i="3"/>
  <c r="A1670" i="3"/>
  <c r="A1669" i="3"/>
  <c r="A1668" i="3"/>
  <c r="A1667" i="3"/>
  <c r="A1666" i="3"/>
  <c r="A1665" i="3"/>
  <c r="A1664" i="3" l="1"/>
  <c r="A1663" i="3"/>
  <c r="A1662" i="3" l="1"/>
  <c r="A1661" i="3"/>
  <c r="C847" i="8"/>
  <c r="A1660" i="3" l="1"/>
  <c r="A1659" i="3"/>
  <c r="A1658" i="3"/>
  <c r="A1657" i="3" l="1"/>
  <c r="A1656" i="3" l="1"/>
  <c r="A1655" i="3"/>
  <c r="A1654" i="3"/>
  <c r="A1653" i="3"/>
  <c r="A1652" i="3"/>
  <c r="A1651" i="3"/>
  <c r="A1650" i="3"/>
  <c r="A1649" i="3" l="1"/>
  <c r="A1648" i="3"/>
  <c r="A1641" i="3"/>
  <c r="A1642" i="3"/>
  <c r="A1643" i="3"/>
  <c r="A1644" i="3"/>
  <c r="A1645" i="3"/>
  <c r="A1646" i="3"/>
  <c r="A1647" i="3"/>
  <c r="A1636" i="3"/>
  <c r="A1637" i="3"/>
  <c r="A1638" i="3"/>
  <c r="A1639" i="3"/>
  <c r="A1640" i="3"/>
  <c r="A1635" i="3"/>
  <c r="A1632" i="3"/>
  <c r="A1633" i="3"/>
  <c r="A1634" i="3"/>
  <c r="A1631" i="3"/>
  <c r="C843" i="8" l="1"/>
  <c r="C839" i="8"/>
  <c r="A1621" i="3" l="1"/>
  <c r="A1611" i="3"/>
  <c r="A1618" i="3"/>
  <c r="A1617" i="3"/>
  <c r="A1592" i="3"/>
  <c r="A1591" i="3" l="1"/>
  <c r="A1590" i="3"/>
  <c r="A1589" i="3"/>
  <c r="A1594" i="3"/>
  <c r="A1595" i="3"/>
  <c r="A1587" i="3"/>
  <c r="A1588" i="3"/>
  <c r="A1607" i="3"/>
  <c r="A1627" i="3" l="1"/>
  <c r="A1628" i="3"/>
  <c r="A1629" i="3"/>
  <c r="A1630" i="3"/>
  <c r="A1626" i="3"/>
  <c r="A1620" i="3"/>
  <c r="A1622" i="3"/>
  <c r="A1623" i="3"/>
  <c r="A1624" i="3"/>
  <c r="A1625" i="3"/>
  <c r="A1614" i="3"/>
  <c r="A1615" i="3"/>
  <c r="A1616" i="3"/>
  <c r="A1619" i="3"/>
  <c r="A1613" i="3"/>
  <c r="C835" i="8"/>
  <c r="C831" i="8"/>
  <c r="A1612" i="3" l="1"/>
  <c r="A1610" i="3"/>
  <c r="A1609" i="3"/>
  <c r="A1608" i="3"/>
  <c r="A1606" i="3"/>
  <c r="A1605" i="3"/>
  <c r="A1604" i="3" l="1"/>
  <c r="A1603" i="3"/>
  <c r="A1602" i="3"/>
  <c r="A1601" i="3"/>
  <c r="A1600" i="3" l="1"/>
  <c r="A1599" i="3"/>
  <c r="A1598" i="3"/>
  <c r="A1597" i="3"/>
  <c r="A1596" i="3"/>
  <c r="A1593" i="3" l="1"/>
  <c r="A1585" i="3" l="1"/>
  <c r="A1586" i="3"/>
  <c r="A1584" i="3"/>
  <c r="A1583" i="3" l="1"/>
  <c r="A1582" i="3"/>
  <c r="A1581" i="3"/>
  <c r="A1580" i="3"/>
  <c r="A1579" i="3" l="1"/>
  <c r="C807" i="8" l="1"/>
  <c r="A1578" i="3" l="1"/>
  <c r="A1577" i="3" l="1"/>
  <c r="A1576" i="3"/>
  <c r="A1575" i="3"/>
  <c r="A1574" i="3"/>
  <c r="A1573" i="3"/>
  <c r="A1572" i="3"/>
  <c r="A1571" i="3"/>
  <c r="A1570" i="3"/>
  <c r="A1569" i="3"/>
  <c r="A1568" i="3"/>
  <c r="A1567" i="3"/>
  <c r="A1566" i="3"/>
  <c r="A1565" i="3"/>
  <c r="A1564" i="3"/>
  <c r="A1563" i="3"/>
  <c r="A1562" i="3" l="1"/>
  <c r="A1561" i="3" l="1"/>
  <c r="A1560" i="3"/>
  <c r="A1559" i="3"/>
  <c r="A1558" i="3"/>
  <c r="A1557" i="3"/>
  <c r="A1556" i="3"/>
  <c r="A1555" i="3" l="1"/>
  <c r="A1554" i="3"/>
  <c r="A1553" i="3"/>
  <c r="A1552" i="3"/>
  <c r="A1551" i="3"/>
  <c r="A1549" i="3" l="1"/>
  <c r="A1550" i="3"/>
  <c r="A1546" i="3"/>
  <c r="A1547" i="3"/>
  <c r="A1548" i="3"/>
  <c r="A1540" i="3"/>
  <c r="A1541" i="3"/>
  <c r="A1542" i="3"/>
  <c r="A1543" i="3"/>
  <c r="A1544" i="3"/>
  <c r="A1545" i="3"/>
  <c r="A1539" i="3"/>
  <c r="A1537" i="3" l="1"/>
  <c r="A1538" i="3"/>
  <c r="A1536" i="3"/>
  <c r="C795" i="8"/>
  <c r="C791" i="8"/>
  <c r="A1529" i="3" l="1"/>
  <c r="A1530" i="3"/>
  <c r="A1531" i="3"/>
  <c r="A1532" i="3"/>
  <c r="A1533" i="3"/>
  <c r="A1534" i="3"/>
  <c r="A1535" i="3"/>
  <c r="A1528" i="3"/>
  <c r="A1525" i="3"/>
  <c r="A1526" i="3"/>
  <c r="A1527" i="3"/>
  <c r="A1524" i="3"/>
  <c r="C787" i="8"/>
  <c r="A1523" i="3" l="1"/>
  <c r="A1522" i="3"/>
  <c r="A1521" i="3"/>
  <c r="A1520" i="3"/>
  <c r="A1519" i="3"/>
  <c r="A1518" i="3"/>
  <c r="A1517" i="3"/>
  <c r="A1516" i="3"/>
  <c r="A1515" i="3"/>
  <c r="A1514" i="3"/>
  <c r="A1513" i="3"/>
  <c r="C783" i="8"/>
  <c r="A1512" i="3" l="1"/>
  <c r="C779" i="8"/>
  <c r="A1511" i="3" l="1"/>
  <c r="A1510" i="3"/>
  <c r="A1509" i="3"/>
  <c r="A1506" i="3"/>
  <c r="A1507" i="3"/>
  <c r="A1508" i="3"/>
  <c r="A1500" i="3"/>
  <c r="A1501" i="3"/>
  <c r="A1502" i="3"/>
  <c r="A1503" i="3"/>
  <c r="A1504" i="3"/>
  <c r="A1505" i="3"/>
  <c r="A1499" i="3"/>
  <c r="C775" i="8"/>
  <c r="C771" i="8"/>
  <c r="A1498" i="3" l="1"/>
  <c r="A1497" i="3"/>
  <c r="C767" i="8" l="1"/>
  <c r="A1496" i="3"/>
  <c r="A1495" i="3"/>
  <c r="A1494" i="3"/>
  <c r="A1493" i="3"/>
  <c r="A1492" i="3"/>
  <c r="A1491" i="3"/>
  <c r="A1490" i="3"/>
  <c r="A1489" i="3"/>
  <c r="A1488" i="3"/>
  <c r="A1487" i="3"/>
  <c r="A1486" i="3"/>
  <c r="A1485" i="3"/>
  <c r="A1484" i="3"/>
  <c r="A1483" i="3"/>
  <c r="C763" i="8" l="1"/>
  <c r="A1482" i="3"/>
  <c r="A1481" i="3"/>
  <c r="A1480" i="3"/>
  <c r="A1479" i="3"/>
  <c r="A1478" i="3"/>
  <c r="A1477" i="3"/>
  <c r="A1476" i="3"/>
  <c r="A1475" i="3"/>
  <c r="A1474" i="3"/>
  <c r="C762" i="8"/>
  <c r="A1473" i="3"/>
  <c r="A1472" i="3"/>
  <c r="A1471" i="3" l="1"/>
  <c r="A1470" i="3" l="1"/>
  <c r="A1469" i="3" l="1"/>
  <c r="D756" i="8"/>
  <c r="A1468" i="3" l="1"/>
  <c r="A1467" i="3"/>
  <c r="A1466" i="3"/>
  <c r="A1465" i="3"/>
  <c r="A1464" i="3"/>
  <c r="A1463" i="3"/>
  <c r="A1462" i="3"/>
  <c r="A1461" i="3"/>
  <c r="C755" i="8"/>
  <c r="A1460" i="3"/>
  <c r="A1459" i="3"/>
  <c r="A1458" i="3"/>
  <c r="A1457" i="3"/>
  <c r="A1456" i="3"/>
  <c r="A1455" i="3"/>
  <c r="A1454" i="3"/>
  <c r="A1453" i="3"/>
  <c r="A1452" i="3"/>
  <c r="A1451" i="3"/>
  <c r="A1450" i="3"/>
  <c r="C751" i="8"/>
  <c r="A1449" i="3" l="1"/>
  <c r="A1448" i="3" l="1"/>
  <c r="A1447" i="3"/>
  <c r="A1446" i="3"/>
  <c r="A1445" i="3" l="1"/>
  <c r="A1444" i="3"/>
  <c r="A1443" i="3" l="1"/>
  <c r="A1442" i="3"/>
  <c r="A1441" i="3"/>
  <c r="A1440" i="3"/>
  <c r="A1439" i="3"/>
  <c r="A1438" i="3"/>
  <c r="A1437" i="3"/>
  <c r="A1436" i="3"/>
  <c r="A1435" i="3"/>
  <c r="A1434" i="3"/>
  <c r="A1433" i="3"/>
  <c r="A1432" i="3"/>
  <c r="A1431" i="3"/>
  <c r="A1430" i="3"/>
  <c r="A1429" i="3"/>
  <c r="A1428" i="3"/>
  <c r="A1427" i="3"/>
  <c r="A1426" i="3"/>
  <c r="A1425" i="3"/>
  <c r="A1424" i="3"/>
  <c r="A1423" i="3"/>
  <c r="A1422" i="3"/>
  <c r="A1421" i="3"/>
  <c r="A1420" i="3"/>
  <c r="A1419" i="3"/>
  <c r="A1418" i="3"/>
  <c r="A1417" i="3"/>
  <c r="A1416" i="3"/>
  <c r="A1415" i="3"/>
  <c r="C741" i="8"/>
  <c r="C740" i="8"/>
  <c r="A1414" i="3" l="1"/>
  <c r="A1413" i="3"/>
  <c r="A1412" i="3"/>
  <c r="A1411" i="3"/>
  <c r="A1410" i="3"/>
  <c r="A1406" i="3" l="1"/>
  <c r="A1407" i="3"/>
  <c r="A1408" i="3"/>
  <c r="A1409" i="3"/>
  <c r="A1405" i="3"/>
  <c r="A1403" i="3"/>
  <c r="A1404" i="3"/>
  <c r="A1400" i="3"/>
  <c r="A1401" i="3"/>
  <c r="A1402" i="3"/>
  <c r="A1397" i="3"/>
  <c r="A1398" i="3"/>
  <c r="A1399" i="3"/>
  <c r="A1394" i="3"/>
  <c r="A1395" i="3"/>
  <c r="A1396" i="3"/>
  <c r="A1393" i="3"/>
  <c r="A1390" i="3"/>
  <c r="A1391" i="3"/>
  <c r="A1392" i="3"/>
  <c r="A1385" i="3"/>
  <c r="A1386" i="3"/>
  <c r="A1387" i="3"/>
  <c r="A1388" i="3"/>
  <c r="A1389" i="3"/>
  <c r="A1381" i="3"/>
  <c r="A1382" i="3"/>
  <c r="A1383" i="3"/>
  <c r="A1384" i="3"/>
  <c r="A1375" i="3"/>
  <c r="A1376" i="3"/>
  <c r="A1377" i="3"/>
  <c r="A1378" i="3"/>
  <c r="A1379" i="3"/>
  <c r="A1380" i="3"/>
  <c r="A1374" i="3"/>
  <c r="C730" i="8"/>
  <c r="C726" i="8"/>
  <c r="C722" i="8"/>
  <c r="A1369" i="3" l="1"/>
  <c r="A1370" i="3"/>
  <c r="A1371" i="3"/>
  <c r="A1372" i="3"/>
  <c r="A1373" i="3"/>
  <c r="A1368" i="3" l="1"/>
  <c r="A1367" i="3"/>
  <c r="A1363" i="3" l="1"/>
  <c r="A1364" i="3"/>
  <c r="A1365" i="3"/>
  <c r="A1366" i="3"/>
  <c r="A1362" i="3"/>
  <c r="A1361" i="3"/>
  <c r="A1360" i="3"/>
  <c r="A1353" i="3"/>
  <c r="A1354" i="3"/>
  <c r="A1355" i="3"/>
  <c r="A1356" i="3"/>
  <c r="A1357" i="3"/>
  <c r="A1358" i="3"/>
  <c r="A1359" i="3"/>
  <c r="A1350" i="3"/>
  <c r="A1351" i="3"/>
  <c r="A1352" i="3"/>
  <c r="A1347" i="3"/>
  <c r="A1348" i="3"/>
  <c r="A1349" i="3"/>
  <c r="A1342" i="3"/>
  <c r="A1343" i="3"/>
  <c r="A1344" i="3"/>
  <c r="A1345" i="3"/>
  <c r="A1346" i="3"/>
  <c r="A1341" i="3"/>
  <c r="C718" i="8"/>
  <c r="C714" i="8"/>
  <c r="A1337" i="3" l="1"/>
  <c r="A1338" i="3"/>
  <c r="A1339" i="3"/>
  <c r="A1340" i="3"/>
  <c r="A1336" i="3"/>
  <c r="A1334" i="3"/>
  <c r="A1335" i="3"/>
  <c r="A1333" i="3"/>
  <c r="C710" i="8"/>
  <c r="A1331" i="3" l="1"/>
  <c r="A1332" i="3"/>
  <c r="A1330" i="3"/>
  <c r="C706" i="8"/>
  <c r="C702" i="8"/>
  <c r="A1329" i="3"/>
  <c r="A1327" i="3" l="1"/>
  <c r="A1328" i="3"/>
  <c r="A1326" i="3"/>
  <c r="A1324" i="3"/>
  <c r="A1325" i="3"/>
  <c r="A1318" i="3"/>
  <c r="A1319" i="3"/>
  <c r="A1320" i="3"/>
  <c r="A1321" i="3"/>
  <c r="A1322" i="3"/>
  <c r="A1323" i="3"/>
  <c r="A1314" i="3"/>
  <c r="A1315" i="3"/>
  <c r="A1316" i="3"/>
  <c r="A1317" i="3"/>
  <c r="A1313" i="3"/>
  <c r="C698" i="8"/>
  <c r="C694" i="8"/>
  <c r="A1312" i="3" l="1"/>
  <c r="A1311" i="3"/>
  <c r="A1310" i="3" l="1"/>
  <c r="A1309" i="3"/>
  <c r="A1308" i="3"/>
  <c r="A1307" i="3"/>
  <c r="A1306" i="3"/>
  <c r="A1305" i="3"/>
  <c r="A1304" i="3"/>
  <c r="A1303" i="3"/>
  <c r="A1302" i="3"/>
  <c r="A1301" i="3"/>
  <c r="A1300" i="3"/>
  <c r="A1298" i="3"/>
  <c r="A1299" i="3"/>
  <c r="A1297" i="3"/>
  <c r="C690" i="8"/>
  <c r="C686" i="8"/>
  <c r="C682" i="8"/>
  <c r="A1296" i="3" l="1"/>
  <c r="A1295" i="3"/>
  <c r="A1294" i="3"/>
  <c r="A1293" i="3"/>
  <c r="A1292" i="3"/>
  <c r="A1291" i="3"/>
  <c r="A1287" i="3" l="1"/>
  <c r="A1288" i="3"/>
  <c r="A1289" i="3"/>
  <c r="A1290" i="3"/>
  <c r="A1282" i="3"/>
  <c r="A1283" i="3"/>
  <c r="A1284" i="3"/>
  <c r="A1285" i="3"/>
  <c r="A1286" i="3"/>
  <c r="A1281" i="3"/>
  <c r="A1280" i="3"/>
  <c r="A1274" i="3"/>
  <c r="A1275" i="3"/>
  <c r="A1276" i="3"/>
  <c r="A1277" i="3"/>
  <c r="A1278" i="3"/>
  <c r="A1279" i="3"/>
  <c r="A1273" i="3"/>
  <c r="C678" i="8"/>
  <c r="C674" i="8"/>
  <c r="A1272" i="3" l="1"/>
  <c r="A1271" i="3"/>
  <c r="A1270" i="3"/>
  <c r="A1269" i="3"/>
  <c r="A1268" i="3" l="1"/>
  <c r="A1267" i="3"/>
  <c r="A1266" i="3"/>
  <c r="A1265" i="3"/>
  <c r="A1264" i="3"/>
  <c r="C670" i="8"/>
  <c r="A1263" i="3" l="1"/>
  <c r="A1261" i="3" l="1"/>
  <c r="A1262" i="3"/>
  <c r="A1260" i="3"/>
  <c r="C666" i="8"/>
  <c r="C662" i="8"/>
  <c r="A1259" i="3" l="1"/>
  <c r="A1258" i="3" l="1"/>
  <c r="A1257" i="3"/>
  <c r="A1256" i="3"/>
  <c r="A1255" i="3"/>
  <c r="A1254" i="3"/>
  <c r="A1253" i="3"/>
  <c r="A1252" i="3"/>
  <c r="A1251" i="3"/>
  <c r="A1250" i="3"/>
  <c r="C658" i="8"/>
  <c r="C654" i="8"/>
  <c r="A1249" i="3" l="1"/>
  <c r="A1248" i="3"/>
  <c r="A1247" i="3"/>
  <c r="A1246" i="3"/>
  <c r="A1245" i="3"/>
  <c r="A1244" i="3"/>
  <c r="A1243" i="3"/>
  <c r="A1242" i="3"/>
  <c r="A1241" i="3"/>
  <c r="A1240" i="3"/>
  <c r="A1239" i="3"/>
  <c r="A1238" i="3"/>
  <c r="A1237" i="3"/>
  <c r="A1236" i="3"/>
  <c r="A1235" i="3"/>
  <c r="A1234" i="3"/>
  <c r="A1233" i="3"/>
  <c r="A1232" i="3"/>
  <c r="A1231" i="3"/>
  <c r="A1230" i="3"/>
  <c r="A1229" i="3"/>
  <c r="A1228" i="3"/>
  <c r="A1227" i="3"/>
  <c r="A1226" i="3"/>
  <c r="A1225" i="3"/>
  <c r="A1224" i="3"/>
  <c r="A1223" i="3" l="1"/>
  <c r="A1222" i="3"/>
  <c r="A1221" i="3"/>
  <c r="A1220" i="3"/>
  <c r="A1219" i="3"/>
  <c r="A1218" i="3"/>
  <c r="A1217" i="3"/>
  <c r="A1216" i="3"/>
  <c r="A1215" i="3"/>
  <c r="A1214" i="3" l="1"/>
  <c r="C642" i="8" l="1"/>
  <c r="C638" i="8"/>
  <c r="A1213" i="3"/>
  <c r="A1212" i="3"/>
  <c r="A1211" i="3"/>
  <c r="A1210" i="3"/>
  <c r="A1209" i="3"/>
  <c r="A1208" i="3"/>
  <c r="A1207" i="3"/>
  <c r="A1206" i="3"/>
  <c r="A1205" i="3"/>
  <c r="A1204" i="3"/>
  <c r="A1203" i="3"/>
  <c r="A1202" i="3" l="1"/>
  <c r="A1201" i="3" l="1"/>
  <c r="A1200" i="3"/>
  <c r="A1199" i="3"/>
  <c r="A1198" i="3" l="1"/>
  <c r="A1197" i="3"/>
  <c r="A1196" i="3"/>
  <c r="A1195" i="3"/>
  <c r="A1194" i="3" l="1"/>
  <c r="A1193" i="3"/>
  <c r="A1192" i="3"/>
  <c r="C632" i="8"/>
  <c r="C628" i="8" l="1"/>
  <c r="A1191" i="3"/>
  <c r="A1190" i="3"/>
  <c r="A1189" i="3"/>
  <c r="A1188" i="3"/>
  <c r="A1187" i="3"/>
  <c r="A1186" i="3"/>
  <c r="A1185" i="3"/>
  <c r="A1184" i="3"/>
  <c r="A1183" i="3"/>
  <c r="A1182" i="3"/>
  <c r="A1181" i="3"/>
  <c r="A1180" i="3" l="1"/>
  <c r="A1177" i="3" l="1"/>
  <c r="A1178" i="3"/>
  <c r="A1179" i="3"/>
  <c r="A1176" i="3"/>
  <c r="A1175" i="3"/>
  <c r="A1173" i="3"/>
  <c r="A1174" i="3"/>
  <c r="A1170" i="3"/>
  <c r="A1171" i="3"/>
  <c r="A1172" i="3"/>
  <c r="A1169" i="3"/>
  <c r="A1168" i="3"/>
  <c r="C620" i="8"/>
  <c r="C616" i="8"/>
  <c r="A1167" i="3" l="1"/>
  <c r="A1166" i="3" l="1"/>
  <c r="A1165" i="3"/>
  <c r="A1164" i="3"/>
  <c r="A1163" i="3" l="1"/>
  <c r="A1162" i="3"/>
  <c r="A1161" i="3" l="1"/>
  <c r="A1160" i="3" l="1"/>
  <c r="A1157" i="3" l="1"/>
  <c r="A1158" i="3"/>
  <c r="A1159" i="3"/>
  <c r="A1156" i="3" l="1"/>
  <c r="A1155" i="3"/>
  <c r="A1154" i="3" l="1"/>
  <c r="A1153" i="3"/>
  <c r="A1152" i="3"/>
  <c r="A1151" i="3"/>
  <c r="A1150" i="3"/>
  <c r="A1149" i="3"/>
  <c r="A1148" i="3"/>
  <c r="A1147" i="3"/>
  <c r="A1146" i="3" l="1"/>
  <c r="A1145" i="3" l="1"/>
  <c r="A1144" i="3"/>
  <c r="A1143" i="3"/>
  <c r="A1142" i="3" l="1"/>
  <c r="A1141" i="3"/>
  <c r="A1140" i="3"/>
  <c r="A1139" i="3"/>
  <c r="A1138" i="3"/>
  <c r="A1137" i="3" l="1"/>
  <c r="C588" i="8"/>
  <c r="A1136" i="3" l="1"/>
  <c r="A1135" i="3"/>
  <c r="A1130" i="3" l="1"/>
  <c r="A1131" i="3"/>
  <c r="A1132" i="3"/>
  <c r="A1133" i="3"/>
  <c r="A1134" i="3"/>
  <c r="A1129" i="3"/>
  <c r="A1128" i="3" l="1"/>
  <c r="A1127" i="3"/>
  <c r="A1126" i="3"/>
  <c r="A1125" i="3"/>
  <c r="A1124" i="3"/>
  <c r="A1123" i="3"/>
  <c r="A1122" i="3"/>
  <c r="A1121" i="3"/>
  <c r="A1120" i="3"/>
  <c r="A1119" i="3"/>
  <c r="A1118" i="3"/>
  <c r="A1117" i="3"/>
  <c r="A1116" i="3"/>
  <c r="A1115" i="3"/>
  <c r="C580" i="8"/>
  <c r="A1114" i="3" l="1"/>
  <c r="A1113" i="3" l="1"/>
  <c r="A1110" i="3"/>
  <c r="A1111" i="3"/>
  <c r="A1112" i="3"/>
  <c r="A1109" i="3" l="1"/>
  <c r="A1108" i="3"/>
  <c r="A1107" i="3"/>
  <c r="A1106" i="3"/>
  <c r="A1100" i="3"/>
  <c r="A1101" i="3"/>
  <c r="A1102" i="3"/>
  <c r="A1103" i="3"/>
  <c r="A1104" i="3"/>
  <c r="A1105" i="3"/>
  <c r="A1099" i="3" l="1"/>
  <c r="A1098" i="3"/>
  <c r="A1097" i="3"/>
  <c r="A1096" i="3"/>
  <c r="C568" i="8"/>
  <c r="C556" i="8"/>
  <c r="A1095" i="3" l="1"/>
  <c r="A1094" i="3"/>
  <c r="A1093" i="3"/>
  <c r="A1092" i="3"/>
  <c r="A1086" i="3" l="1"/>
  <c r="C564" i="8"/>
  <c r="A1091" i="3"/>
  <c r="A1087" i="3"/>
  <c r="A1088" i="3"/>
  <c r="A1089" i="3"/>
  <c r="A1090" i="3"/>
  <c r="A1085" i="3"/>
  <c r="A1082" i="3"/>
  <c r="A1083" i="3"/>
  <c r="A1084" i="3"/>
  <c r="A1078" i="3"/>
  <c r="A1079" i="3"/>
  <c r="A1080" i="3"/>
  <c r="A1081" i="3"/>
  <c r="A1077" i="3"/>
  <c r="A1076" i="3" l="1"/>
  <c r="A1075" i="3"/>
  <c r="A1074" i="3"/>
  <c r="A1073" i="3"/>
  <c r="A1072" i="3"/>
  <c r="A1071" i="3" l="1"/>
  <c r="A1070" i="3"/>
  <c r="A1069" i="3" l="1"/>
  <c r="A1068" i="3"/>
  <c r="A1067" i="3"/>
  <c r="A1066" i="3"/>
  <c r="A1065" i="3"/>
  <c r="A1064" i="3"/>
  <c r="A1063" i="3"/>
  <c r="A1062" i="3"/>
  <c r="A1061" i="3"/>
  <c r="A1060" i="3"/>
  <c r="A1059" i="3"/>
  <c r="A1058" i="3"/>
  <c r="A1054" i="3"/>
  <c r="A1057" i="3"/>
  <c r="A1056" i="3"/>
  <c r="A1055" i="3"/>
  <c r="A1053" i="3"/>
  <c r="A1052" i="3" l="1"/>
  <c r="A1051" i="3"/>
  <c r="A1050" i="3"/>
  <c r="A1049" i="3"/>
  <c r="A1038" i="3"/>
  <c r="A1037" i="3"/>
  <c r="C544" i="8"/>
  <c r="A1048" i="3"/>
  <c r="A1047" i="3"/>
  <c r="A1046" i="3"/>
  <c r="A1045" i="3"/>
  <c r="A1044" i="3"/>
  <c r="A1043" i="3"/>
  <c r="A1042" i="3"/>
  <c r="A1034" i="3"/>
  <c r="A1035" i="3"/>
  <c r="A1036" i="3"/>
  <c r="A1039" i="3"/>
  <c r="A1040" i="3"/>
  <c r="A1041" i="3"/>
  <c r="A1033" i="3"/>
  <c r="A1032" i="3"/>
  <c r="A1031" i="3"/>
  <c r="A1030" i="3"/>
  <c r="A1029" i="3" l="1"/>
  <c r="A1028" i="3"/>
  <c r="A1027" i="3"/>
  <c r="A1026" i="3"/>
  <c r="A1025" i="3"/>
  <c r="A1024" i="3"/>
  <c r="A1021" i="3"/>
  <c r="A1022" i="3"/>
  <c r="A1023" i="3"/>
  <c r="A1020" i="3"/>
  <c r="C532" i="8"/>
  <c r="A1019" i="3"/>
  <c r="A1018" i="3"/>
  <c r="A1017" i="3"/>
  <c r="A1016" i="3"/>
  <c r="A1015" i="3"/>
  <c r="A1014" i="3"/>
  <c r="A1013" i="3"/>
  <c r="C528" i="8"/>
  <c r="A1012" i="3"/>
  <c r="A1011" i="3"/>
  <c r="A1010" i="3"/>
  <c r="A1009" i="3"/>
  <c r="A1008" i="3"/>
  <c r="A1007" i="3"/>
  <c r="A1003" i="3"/>
  <c r="A1004" i="3"/>
  <c r="A1005" i="3"/>
  <c r="A1006" i="3"/>
  <c r="A994" i="3" l="1"/>
  <c r="A995" i="3"/>
  <c r="A996" i="3"/>
  <c r="A997" i="3"/>
  <c r="A998" i="3"/>
  <c r="A999" i="3"/>
  <c r="A1000" i="3"/>
  <c r="A1001" i="3"/>
  <c r="A1002" i="3"/>
  <c r="A993" i="3"/>
  <c r="C520" i="8"/>
  <c r="C516" i="8"/>
  <c r="A992" i="3" l="1"/>
  <c r="A991" i="3" l="1"/>
  <c r="A978" i="3"/>
  <c r="A990" i="3"/>
  <c r="A989" i="3"/>
  <c r="A983" i="3"/>
  <c r="A979" i="3"/>
  <c r="A980" i="3"/>
  <c r="A981" i="3"/>
  <c r="A982" i="3"/>
  <c r="A984" i="3"/>
  <c r="A985" i="3"/>
  <c r="A986" i="3"/>
  <c r="A987" i="3"/>
  <c r="A988" i="3"/>
  <c r="A977" i="3" l="1"/>
  <c r="A976" i="3"/>
  <c r="A975" i="3"/>
  <c r="A974" i="3"/>
  <c r="A973" i="3"/>
  <c r="A972" i="3"/>
  <c r="A971" i="3"/>
  <c r="A970" i="3"/>
  <c r="A969" i="3"/>
  <c r="A968" i="3"/>
  <c r="A967" i="3"/>
  <c r="A966" i="3"/>
  <c r="A965" i="3"/>
  <c r="A964" i="3"/>
  <c r="A963" i="3"/>
  <c r="A962" i="3"/>
  <c r="A961" i="3"/>
  <c r="A960" i="3"/>
  <c r="A956" i="3"/>
  <c r="A957" i="3"/>
  <c r="A951" i="3"/>
  <c r="A952" i="3"/>
  <c r="C504" i="8"/>
  <c r="A958" i="3"/>
  <c r="A959" i="3"/>
  <c r="A953" i="3"/>
  <c r="A954" i="3"/>
  <c r="A955" i="3"/>
  <c r="A946" i="3"/>
  <c r="A947" i="3"/>
  <c r="A948" i="3"/>
  <c r="A949" i="3"/>
  <c r="A950" i="3"/>
  <c r="A945" i="3"/>
  <c r="A944" i="3" l="1"/>
  <c r="A943" i="3"/>
  <c r="A942" i="3"/>
  <c r="A941" i="3"/>
  <c r="A940" i="3"/>
  <c r="A939" i="3"/>
  <c r="C500" i="8"/>
  <c r="C496" i="8"/>
  <c r="A924" i="3" l="1"/>
  <c r="A925" i="3"/>
  <c r="A917" i="3"/>
  <c r="A918" i="3"/>
  <c r="A919" i="3"/>
  <c r="A920" i="3"/>
  <c r="A921" i="3"/>
  <c r="A922" i="3"/>
  <c r="A923" i="3"/>
  <c r="A932" i="3"/>
  <c r="A933" i="3"/>
  <c r="A929" i="3"/>
  <c r="A928" i="3"/>
  <c r="A930" i="3"/>
  <c r="A931" i="3"/>
  <c r="A936" i="3"/>
  <c r="A937" i="3"/>
  <c r="A938" i="3"/>
  <c r="A935" i="3" l="1"/>
  <c r="A934" i="3"/>
  <c r="A926" i="3"/>
  <c r="A927" i="3"/>
  <c r="A913" i="3"/>
  <c r="A912" i="3"/>
  <c r="A911" i="3"/>
  <c r="A910" i="3"/>
  <c r="A909" i="3" l="1"/>
  <c r="A908" i="3"/>
  <c r="A907" i="3"/>
  <c r="A906" i="3" l="1"/>
  <c r="A905" i="3"/>
  <c r="A902" i="3" l="1"/>
  <c r="A903" i="3"/>
  <c r="A904" i="3"/>
  <c r="A901" i="3"/>
  <c r="C488" i="8"/>
  <c r="A916" i="3"/>
  <c r="A915" i="3"/>
  <c r="A914" i="3"/>
  <c r="A884" i="3"/>
  <c r="C484" i="8"/>
  <c r="A900" i="3"/>
  <c r="A899" i="3"/>
  <c r="A898" i="3"/>
  <c r="A890" i="3"/>
  <c r="A897" i="3"/>
  <c r="A896" i="3"/>
  <c r="A895" i="3"/>
  <c r="A894" i="3"/>
  <c r="A893" i="3"/>
  <c r="A891" i="3"/>
  <c r="A892" i="3"/>
  <c r="A885" i="3"/>
  <c r="A886" i="3"/>
  <c r="A887" i="3"/>
  <c r="A888" i="3"/>
  <c r="A889" i="3"/>
  <c r="A883" i="3"/>
  <c r="A882" i="3" l="1"/>
  <c r="A881" i="3"/>
  <c r="A871" i="3"/>
  <c r="A878" i="3"/>
  <c r="A879" i="3"/>
  <c r="A880" i="3"/>
  <c r="A874" i="3"/>
  <c r="A875" i="3"/>
  <c r="A876" i="3"/>
  <c r="A877" i="3"/>
  <c r="A873" i="3"/>
  <c r="A872" i="3"/>
  <c r="A870" i="3"/>
  <c r="A868" i="3"/>
  <c r="A867" i="3"/>
  <c r="C472" i="8"/>
  <c r="A865" i="3"/>
  <c r="A869" i="3"/>
  <c r="A866" i="3" l="1"/>
  <c r="A864" i="3"/>
  <c r="C464" i="8" l="1"/>
  <c r="C468" i="8"/>
  <c r="A863" i="3"/>
  <c r="A861" i="3"/>
  <c r="A862" i="3"/>
  <c r="A860" i="3"/>
  <c r="A841" i="3"/>
  <c r="A859" i="3"/>
  <c r="A854" i="3"/>
  <c r="A855" i="3"/>
  <c r="A856" i="3"/>
  <c r="A857" i="3"/>
  <c r="A858" i="3"/>
  <c r="A853" i="3" l="1"/>
  <c r="A852" i="3"/>
  <c r="A851" i="3"/>
  <c r="A850" i="3"/>
  <c r="A849" i="3"/>
  <c r="A845" i="3" l="1"/>
  <c r="A846" i="3"/>
  <c r="A847" i="3"/>
  <c r="A848" i="3"/>
  <c r="A842" i="3"/>
  <c r="A843" i="3"/>
  <c r="A844" i="3"/>
  <c r="A840" i="3"/>
  <c r="A839" i="3"/>
  <c r="A838" i="3"/>
  <c r="C460" i="8"/>
  <c r="C456" i="8"/>
  <c r="A837" i="3" l="1"/>
  <c r="C452" i="8" l="1"/>
  <c r="C448" i="8"/>
  <c r="C444" i="8"/>
  <c r="A836" i="3" l="1"/>
  <c r="A835" i="3"/>
  <c r="A831" i="3"/>
  <c r="A834" i="3"/>
  <c r="A832" i="3" l="1"/>
  <c r="A833" i="3"/>
  <c r="A830" i="3"/>
  <c r="A829" i="3"/>
  <c r="A828" i="3"/>
  <c r="A827" i="3"/>
  <c r="A826" i="3"/>
  <c r="A825" i="3"/>
  <c r="A824" i="3" l="1"/>
  <c r="A823" i="3" l="1"/>
  <c r="A822" i="3"/>
  <c r="A821" i="3"/>
  <c r="A820" i="3"/>
  <c r="A819" i="3"/>
  <c r="A818" i="3"/>
  <c r="A817" i="3"/>
  <c r="A816" i="3"/>
  <c r="C440" i="8" l="1"/>
  <c r="A815" i="3"/>
  <c r="A814" i="3"/>
  <c r="A813" i="3"/>
  <c r="A812" i="3"/>
  <c r="A811" i="3"/>
  <c r="A810" i="3"/>
  <c r="A809" i="3"/>
  <c r="A808" i="3"/>
  <c r="A807" i="3"/>
  <c r="A806" i="3"/>
  <c r="A805" i="3" l="1"/>
  <c r="A804" i="3"/>
  <c r="A803" i="3"/>
  <c r="A802" i="3" l="1"/>
  <c r="A790" i="3"/>
  <c r="A793" i="3"/>
  <c r="A792" i="3"/>
  <c r="A791" i="3"/>
  <c r="A784" i="3"/>
  <c r="A783" i="3"/>
  <c r="A799" i="3"/>
  <c r="A800" i="3"/>
  <c r="A801" i="3"/>
  <c r="A798" i="3"/>
  <c r="A797" i="3"/>
  <c r="A794" i="3"/>
  <c r="A789" i="3"/>
  <c r="A788" i="3"/>
  <c r="A787" i="3"/>
  <c r="A782" i="3"/>
  <c r="A781" i="3"/>
  <c r="A780" i="3"/>
  <c r="A779" i="3"/>
  <c r="A796" i="3"/>
  <c r="A786" i="3"/>
  <c r="A785" i="3"/>
  <c r="A776" i="3"/>
  <c r="C433" i="8"/>
  <c r="A777" i="3"/>
  <c r="A795" i="3"/>
  <c r="A774" i="3"/>
  <c r="A775" i="3"/>
  <c r="A778" i="3"/>
  <c r="A773" i="3"/>
  <c r="A772" i="3"/>
  <c r="A771" i="3" l="1"/>
  <c r="A770" i="3"/>
  <c r="A769" i="3"/>
  <c r="A768" i="3"/>
  <c r="A767" i="3"/>
  <c r="A766" i="3"/>
  <c r="A765" i="3"/>
  <c r="A764" i="3"/>
  <c r="A763" i="3"/>
  <c r="C421" i="8"/>
  <c r="C417" i="8"/>
  <c r="A762" i="3" l="1"/>
  <c r="A761" i="3"/>
  <c r="F416" i="8" l="1"/>
  <c r="A760" i="3"/>
  <c r="A751" i="3"/>
  <c r="A752" i="3"/>
  <c r="A753" i="3"/>
  <c r="A759" i="3"/>
  <c r="A758" i="3"/>
  <c r="A757" i="3" l="1"/>
  <c r="A756" i="3"/>
  <c r="A755" i="3"/>
  <c r="A750" i="3"/>
  <c r="A754" i="3"/>
  <c r="C413" i="8"/>
  <c r="C409" i="8"/>
  <c r="A741" i="3" l="1"/>
  <c r="A742" i="3"/>
  <c r="A749" i="3"/>
  <c r="A748" i="3"/>
  <c r="A747" i="3"/>
  <c r="C405" i="8"/>
  <c r="A746" i="3"/>
  <c r="A740" i="3"/>
  <c r="A743" i="3"/>
  <c r="A744" i="3"/>
  <c r="A745" i="3"/>
  <c r="A739" i="3"/>
  <c r="A738" i="3"/>
  <c r="A737" i="3"/>
  <c r="A736" i="3"/>
  <c r="A735" i="3"/>
  <c r="A734" i="3"/>
  <c r="A733" i="3"/>
  <c r="A732" i="3"/>
  <c r="A731" i="3"/>
  <c r="A730" i="3"/>
  <c r="C401" i="8" l="1"/>
  <c r="C397" i="8"/>
  <c r="A729" i="3" l="1"/>
  <c r="A703" i="3" l="1"/>
  <c r="A728" i="3" l="1"/>
  <c r="A727" i="3"/>
  <c r="A726" i="3"/>
  <c r="A725" i="3"/>
  <c r="A722" i="3"/>
  <c r="A723" i="3"/>
  <c r="A724" i="3"/>
  <c r="A717" i="3"/>
  <c r="A718" i="3"/>
  <c r="A719" i="3"/>
  <c r="A720" i="3"/>
  <c r="A721" i="3"/>
  <c r="A716" i="3"/>
  <c r="A715" i="3"/>
  <c r="C393" i="8"/>
  <c r="A714" i="3"/>
  <c r="A713" i="3"/>
  <c r="A712" i="3"/>
  <c r="A711" i="3"/>
  <c r="A709" i="3"/>
  <c r="A705" i="3"/>
  <c r="C389" i="8"/>
  <c r="C385" i="8"/>
  <c r="A710" i="3"/>
  <c r="A706" i="3"/>
  <c r="A707" i="3"/>
  <c r="A708" i="3"/>
  <c r="A704" i="3"/>
  <c r="A702" i="3"/>
  <c r="A700" i="3" l="1"/>
  <c r="A699" i="3"/>
  <c r="A694" i="3"/>
  <c r="A698" i="3" l="1"/>
  <c r="A697" i="3" l="1"/>
  <c r="A696" i="3"/>
  <c r="A695" i="3"/>
  <c r="A701" i="3"/>
  <c r="A693" i="3" l="1"/>
  <c r="A692" i="3"/>
  <c r="A691" i="3"/>
  <c r="A690" i="3"/>
  <c r="C381" i="8"/>
  <c r="C377" i="8"/>
  <c r="A689" i="3" l="1"/>
  <c r="A688" i="3"/>
  <c r="A687" i="3"/>
  <c r="A686" i="3"/>
  <c r="A685" i="3"/>
  <c r="A684" i="3"/>
  <c r="A683" i="3"/>
  <c r="A682" i="3"/>
  <c r="C373" i="8"/>
  <c r="A681" i="3"/>
  <c r="A680" i="3"/>
  <c r="A679" i="3"/>
  <c r="A678" i="3"/>
  <c r="A677" i="3"/>
  <c r="A676" i="3"/>
  <c r="C369" i="8"/>
  <c r="C365" i="8"/>
  <c r="A675" i="3"/>
  <c r="A674" i="3"/>
  <c r="A673" i="3"/>
  <c r="A672" i="3"/>
  <c r="A659" i="3"/>
  <c r="A669" i="3"/>
  <c r="A670" i="3"/>
  <c r="A671" i="3"/>
  <c r="A668" i="3" l="1"/>
  <c r="A666" i="3" l="1"/>
  <c r="A667" i="3"/>
  <c r="A665" i="3"/>
  <c r="A664" i="3" l="1"/>
  <c r="A655" i="3"/>
  <c r="A656" i="3"/>
  <c r="A657" i="3"/>
  <c r="A658" i="3"/>
  <c r="A660" i="3"/>
  <c r="A661" i="3"/>
  <c r="A662" i="3"/>
  <c r="A663" i="3"/>
  <c r="A654" i="3"/>
  <c r="C361" i="8" l="1"/>
  <c r="C357" i="8"/>
  <c r="A653" i="3" l="1"/>
  <c r="A652" i="3" l="1"/>
  <c r="A651" i="3"/>
  <c r="A650" i="3" l="1"/>
  <c r="A649" i="3"/>
  <c r="A648" i="3"/>
  <c r="A647" i="3"/>
  <c r="A646" i="3"/>
  <c r="A645" i="3"/>
  <c r="A644" i="3"/>
  <c r="A643" i="3"/>
  <c r="A642" i="3"/>
  <c r="A641" i="3"/>
  <c r="F352" i="8"/>
  <c r="A640" i="3"/>
  <c r="C353" i="8"/>
  <c r="A637" i="3"/>
  <c r="A628" i="3"/>
  <c r="A625" i="3"/>
  <c r="A636" i="3"/>
  <c r="A635" i="3"/>
  <c r="A634" i="3"/>
  <c r="A633" i="3"/>
  <c r="A632" i="3"/>
  <c r="A631" i="3"/>
  <c r="A630" i="3"/>
  <c r="C349" i="8"/>
  <c r="A629" i="3"/>
  <c r="A638" i="3"/>
  <c r="A627" i="3"/>
  <c r="A626" i="3"/>
  <c r="A639" i="3"/>
  <c r="A624" i="3"/>
  <c r="C345" i="8"/>
  <c r="C341" i="8"/>
  <c r="C337" i="8"/>
  <c r="A623" i="3"/>
  <c r="A622" i="3"/>
  <c r="A621" i="3"/>
  <c r="A619" i="3"/>
  <c r="A620" i="3"/>
  <c r="A618" i="3"/>
  <c r="A617" i="3"/>
  <c r="A616" i="3"/>
  <c r="A615" i="3" l="1"/>
  <c r="A614" i="3"/>
  <c r="A613" i="3" l="1"/>
  <c r="A612" i="3"/>
  <c r="A611" i="3"/>
  <c r="A610" i="3"/>
  <c r="A609" i="3"/>
  <c r="A608" i="3"/>
  <c r="A607" i="3"/>
  <c r="A606" i="3"/>
  <c r="C333" i="8"/>
  <c r="A605" i="3" l="1"/>
  <c r="A604" i="3"/>
  <c r="A603" i="3"/>
  <c r="A602" i="3"/>
  <c r="C325" i="8"/>
  <c r="A595" i="3" l="1"/>
  <c r="A596" i="3"/>
  <c r="A597" i="3"/>
  <c r="A598" i="3"/>
  <c r="A599" i="3"/>
  <c r="A600" i="3"/>
  <c r="A601" i="3"/>
  <c r="A594" i="3"/>
  <c r="A593" i="3"/>
  <c r="A592" i="3" l="1"/>
  <c r="A591" i="3"/>
  <c r="A590" i="3"/>
  <c r="A589" i="3"/>
  <c r="A588" i="3"/>
  <c r="A587" i="3"/>
  <c r="C321" i="8"/>
  <c r="C317" i="8"/>
  <c r="A586" i="3" l="1"/>
  <c r="A585" i="3" l="1"/>
  <c r="A584" i="3"/>
  <c r="A583" i="3"/>
  <c r="A582" i="3"/>
  <c r="A581" i="3"/>
  <c r="A580" i="3"/>
  <c r="A579" i="3"/>
  <c r="A578" i="3"/>
  <c r="A577" i="3"/>
  <c r="A576" i="3"/>
  <c r="A575" i="3"/>
  <c r="A574" i="3"/>
  <c r="A573" i="3"/>
  <c r="C313" i="8"/>
  <c r="A572" i="3"/>
  <c r="A571" i="3"/>
  <c r="A570" i="3" l="1"/>
  <c r="A569" i="3"/>
  <c r="A568" i="3"/>
  <c r="A567" i="3"/>
  <c r="A566" i="3"/>
  <c r="A565" i="3"/>
  <c r="A564" i="3"/>
  <c r="A561" i="3"/>
  <c r="A562" i="3"/>
  <c r="A557" i="3"/>
  <c r="A558" i="3"/>
  <c r="A559" i="3"/>
  <c r="A560" i="3"/>
  <c r="A563" i="3"/>
  <c r="A556" i="3"/>
  <c r="A555" i="3"/>
  <c r="A554" i="3"/>
  <c r="A553" i="3"/>
  <c r="A552" i="3"/>
  <c r="C301" i="8" l="1"/>
  <c r="A551" i="3"/>
  <c r="A550" i="3"/>
  <c r="A549" i="3"/>
  <c r="A548" i="3"/>
  <c r="A547" i="3"/>
  <c r="A546" i="3"/>
  <c r="A545" i="3"/>
  <c r="A544" i="3"/>
  <c r="A543" i="3"/>
  <c r="A2" i="3"/>
  <c r="C297" i="8" l="1"/>
  <c r="A542" i="3" l="1"/>
  <c r="A541" i="3" l="1"/>
  <c r="A540" i="3"/>
  <c r="F296" i="8"/>
  <c r="A539" i="3"/>
  <c r="A538" i="3"/>
  <c r="A537" i="3"/>
  <c r="C293" i="8"/>
  <c r="C289" i="8"/>
  <c r="A536" i="3"/>
  <c r="A532" i="3"/>
  <c r="A531" i="3"/>
  <c r="A530" i="3"/>
  <c r="A535" i="3"/>
  <c r="A534" i="3"/>
  <c r="A533" i="3"/>
  <c r="A529" i="3"/>
  <c r="A525" i="3" l="1"/>
  <c r="A526" i="3"/>
  <c r="A527" i="3"/>
  <c r="A528" i="3"/>
  <c r="A524" i="3"/>
  <c r="A523" i="3"/>
  <c r="C281" i="8" l="1"/>
  <c r="A522" i="3"/>
  <c r="A521" i="3"/>
  <c r="A520" i="3"/>
  <c r="A519" i="3"/>
  <c r="A518" i="3"/>
  <c r="A517" i="3"/>
  <c r="A516" i="3"/>
  <c r="A515" i="3"/>
  <c r="A514" i="3"/>
  <c r="A513" i="3"/>
  <c r="A512" i="3"/>
  <c r="A511" i="3"/>
  <c r="A510" i="3"/>
  <c r="C277" i="8"/>
  <c r="A509" i="3" l="1"/>
  <c r="A508" i="3"/>
  <c r="A507" i="3"/>
  <c r="A506" i="3"/>
  <c r="A505" i="3"/>
  <c r="A504" i="3"/>
  <c r="A503" i="3"/>
  <c r="A502" i="3"/>
  <c r="A501" i="3"/>
  <c r="A499" i="3" l="1"/>
  <c r="A500" i="3"/>
  <c r="A498" i="3"/>
  <c r="A497" i="3"/>
  <c r="C273" i="8" l="1"/>
  <c r="A493" i="3" l="1"/>
  <c r="A494" i="3"/>
  <c r="A495" i="3"/>
  <c r="A496" i="3"/>
  <c r="A492" i="3" l="1"/>
  <c r="A491" i="3" l="1"/>
  <c r="A490" i="3"/>
  <c r="A489" i="3"/>
  <c r="A488" i="3"/>
  <c r="A487" i="3"/>
  <c r="A486" i="3"/>
  <c r="A485" i="3"/>
  <c r="C261" i="8" l="1"/>
  <c r="A484" i="3"/>
  <c r="A483" i="3"/>
  <c r="A482" i="3"/>
  <c r="A481" i="3"/>
  <c r="C257" i="8"/>
  <c r="A480" i="3" l="1"/>
  <c r="A479" i="3"/>
  <c r="A478" i="3"/>
  <c r="A477" i="3" l="1"/>
  <c r="A476" i="3"/>
  <c r="A475" i="3"/>
  <c r="A474" i="3"/>
  <c r="A472" i="3" l="1"/>
  <c r="A473" i="3"/>
  <c r="A468" i="3" l="1"/>
  <c r="A469" i="3"/>
  <c r="A470" i="3"/>
  <c r="A471" i="3"/>
  <c r="C249" i="8" l="1"/>
  <c r="A467" i="3"/>
  <c r="A465" i="3"/>
  <c r="A466" i="3" l="1"/>
  <c r="A464" i="3"/>
  <c r="C245" i="8"/>
  <c r="A463" i="3" l="1"/>
  <c r="A462" i="3" l="1"/>
  <c r="A461" i="3"/>
  <c r="A460" i="3"/>
  <c r="A459" i="3"/>
  <c r="A458" i="3"/>
  <c r="A457" i="3" l="1"/>
  <c r="A456" i="3"/>
  <c r="A455" i="3"/>
  <c r="A454" i="3"/>
  <c r="A453" i="3"/>
  <c r="A452" i="3"/>
  <c r="A451" i="3"/>
  <c r="A450" i="3"/>
  <c r="A449" i="3"/>
  <c r="A448" i="3"/>
  <c r="C237" i="8" l="1"/>
  <c r="A447" i="3" l="1"/>
  <c r="A446" i="3"/>
  <c r="A445" i="3"/>
  <c r="A444" i="3"/>
  <c r="A443" i="3"/>
  <c r="A442" i="3" l="1"/>
  <c r="A441" i="3"/>
  <c r="A440" i="3"/>
  <c r="A439" i="3"/>
  <c r="A434" i="3" l="1"/>
  <c r="A438" i="3" l="1"/>
  <c r="A437" i="3"/>
  <c r="A436" i="3"/>
  <c r="A435" i="3"/>
  <c r="A433" i="3"/>
  <c r="A432" i="3"/>
  <c r="C233" i="8"/>
  <c r="A431" i="3"/>
  <c r="A430" i="3"/>
  <c r="A429" i="3"/>
  <c r="A428" i="3" l="1"/>
  <c r="A427" i="3"/>
  <c r="A426" i="3"/>
  <c r="A425" i="3"/>
  <c r="A424" i="3"/>
  <c r="A423" i="3"/>
  <c r="A422" i="3"/>
  <c r="A421" i="3"/>
  <c r="C229" i="8" l="1"/>
  <c r="C217" i="8" l="1"/>
  <c r="C225" i="8"/>
  <c r="A420" i="3"/>
  <c r="A419" i="3" l="1"/>
  <c r="A418" i="3"/>
  <c r="A417" i="3" l="1"/>
  <c r="A416" i="3"/>
  <c r="A415" i="3"/>
  <c r="A414" i="3"/>
  <c r="A413" i="3"/>
  <c r="A412" i="3"/>
  <c r="A411" i="3" l="1"/>
  <c r="A410" i="3"/>
  <c r="A409" i="3"/>
  <c r="A408" i="3"/>
  <c r="A407" i="3"/>
  <c r="A406" i="3"/>
  <c r="A405" i="3"/>
  <c r="A404" i="3"/>
  <c r="A403" i="3"/>
  <c r="A402" i="3"/>
  <c r="A401" i="3"/>
  <c r="A400" i="3"/>
  <c r="A399" i="3"/>
  <c r="A398" i="3"/>
  <c r="A397" i="3"/>
  <c r="A396" i="3"/>
  <c r="A395" i="3"/>
  <c r="A394" i="3"/>
  <c r="A393" i="3" l="1"/>
  <c r="A392" i="3" l="1"/>
  <c r="C213" i="8" l="1"/>
  <c r="A391" i="3"/>
  <c r="A390" i="3" l="1"/>
  <c r="A389" i="3"/>
  <c r="A388" i="3"/>
  <c r="A387" i="3"/>
  <c r="A386" i="3"/>
  <c r="A385" i="3"/>
  <c r="F208" i="8" l="1"/>
  <c r="C209" i="8" l="1"/>
  <c r="C205" i="8"/>
  <c r="C201" i="8"/>
  <c r="A373" i="3"/>
  <c r="A384" i="3"/>
  <c r="A368" i="3"/>
  <c r="A383" i="3"/>
  <c r="A382" i="3"/>
  <c r="A381" i="3"/>
  <c r="A380" i="3"/>
  <c r="A367" i="3" l="1"/>
  <c r="A366" i="3"/>
  <c r="A365" i="3"/>
  <c r="A364" i="3"/>
  <c r="A363" i="3"/>
  <c r="A362" i="3"/>
  <c r="A361" i="3"/>
  <c r="A371" i="3"/>
  <c r="A370" i="3"/>
  <c r="A369" i="3"/>
  <c r="A375" i="3"/>
  <c r="A360" i="3"/>
  <c r="A359" i="3"/>
  <c r="A358" i="3"/>
  <c r="A378" i="3"/>
  <c r="A377" i="3"/>
  <c r="A376" i="3"/>
  <c r="A379" i="3"/>
  <c r="A374" i="3"/>
  <c r="A372" i="3"/>
  <c r="A357" i="3" l="1"/>
  <c r="A356" i="3"/>
  <c r="A355" i="3"/>
  <c r="A354" i="3"/>
  <c r="A353" i="3"/>
  <c r="A352" i="3"/>
  <c r="A351" i="3"/>
  <c r="A350" i="3"/>
  <c r="A349" i="3"/>
  <c r="A348" i="3"/>
  <c r="A347" i="3"/>
  <c r="A346" i="3"/>
  <c r="A345" i="3"/>
  <c r="A344" i="3" l="1"/>
  <c r="A343" i="3"/>
  <c r="A342" i="3"/>
  <c r="A339" i="3" l="1"/>
  <c r="A321" i="3" l="1"/>
  <c r="A340" i="3" l="1"/>
  <c r="A341" i="3"/>
  <c r="A338" i="3"/>
  <c r="A337" i="3" l="1"/>
  <c r="A336" i="3" l="1"/>
  <c r="A335" i="3"/>
  <c r="A334" i="3" l="1"/>
  <c r="A333" i="3"/>
  <c r="A332" i="3"/>
  <c r="A331" i="3"/>
  <c r="A330" i="3"/>
  <c r="A329" i="3"/>
  <c r="A328" i="3" l="1"/>
  <c r="A327" i="3"/>
  <c r="A326" i="3"/>
  <c r="A325" i="3"/>
  <c r="A324" i="3"/>
  <c r="A323" i="3"/>
  <c r="A322" i="3"/>
  <c r="A320" i="3"/>
  <c r="C185" i="8" l="1"/>
  <c r="A319" i="3" l="1"/>
  <c r="A318" i="3"/>
  <c r="A317" i="3"/>
  <c r="A316" i="3"/>
  <c r="A315" i="3"/>
  <c r="A314" i="3" l="1"/>
  <c r="A313" i="3"/>
  <c r="A312" i="3" l="1"/>
  <c r="A311" i="3" l="1"/>
  <c r="A310" i="3" l="1"/>
  <c r="A309" i="3"/>
  <c r="A308" i="3" l="1"/>
  <c r="A307" i="3"/>
  <c r="C173" i="8"/>
  <c r="A306" i="3" l="1"/>
  <c r="A305" i="3"/>
  <c r="A304" i="3"/>
  <c r="A303" i="3"/>
  <c r="A302" i="3" l="1"/>
  <c r="A301" i="3"/>
  <c r="A300" i="3"/>
  <c r="A299" i="3"/>
  <c r="A298" i="3"/>
  <c r="A297" i="3"/>
  <c r="A296" i="3"/>
  <c r="A295" i="3"/>
  <c r="A294" i="3"/>
  <c r="C165" i="8"/>
  <c r="D165" i="8"/>
  <c r="A293" i="3" l="1"/>
  <c r="A292" i="3"/>
  <c r="A291" i="3"/>
  <c r="A290" i="3"/>
  <c r="A289" i="3"/>
  <c r="A288" i="3"/>
  <c r="A287" i="3"/>
  <c r="A286" i="3"/>
  <c r="A285" i="3"/>
  <c r="A275" i="3"/>
  <c r="A253" i="3"/>
  <c r="C161" i="8"/>
  <c r="C157" i="8"/>
  <c r="C153" i="8"/>
  <c r="C145" i="8"/>
  <c r="A284" i="3" l="1"/>
  <c r="A283" i="3"/>
  <c r="A282" i="3"/>
  <c r="A281" i="3"/>
  <c r="A280" i="3"/>
  <c r="A279" i="3"/>
  <c r="A278" i="3"/>
  <c r="D157" i="8"/>
  <c r="A277" i="3" l="1"/>
  <c r="A274" i="3"/>
  <c r="A272" i="3"/>
  <c r="A273" i="3"/>
  <c r="A276" i="3"/>
  <c r="A271" i="3" l="1"/>
  <c r="A270" i="3"/>
  <c r="A269" i="3"/>
  <c r="A268" i="3"/>
  <c r="A267" i="3"/>
  <c r="A266" i="3"/>
  <c r="A265" i="3"/>
  <c r="A264" i="3"/>
  <c r="A263" i="3"/>
  <c r="A262" i="3" l="1"/>
  <c r="A261" i="3"/>
  <c r="A260" i="3"/>
  <c r="A259" i="3"/>
  <c r="A258" i="3"/>
  <c r="A257" i="3"/>
  <c r="A256" i="3"/>
  <c r="A255" i="3"/>
  <c r="A254" i="3"/>
  <c r="A252" i="3"/>
  <c r="A251" i="3"/>
  <c r="A250" i="3"/>
  <c r="A249" i="3"/>
  <c r="A248" i="3"/>
  <c r="A247" i="3"/>
  <c r="A246" i="3" l="1"/>
  <c r="A245" i="3"/>
  <c r="A244" i="3"/>
  <c r="A243" i="3"/>
  <c r="A242" i="3"/>
  <c r="C141" i="8"/>
  <c r="A241" i="3" l="1"/>
  <c r="A240" i="3"/>
  <c r="A239" i="3"/>
  <c r="A238" i="3"/>
  <c r="C137" i="8"/>
  <c r="A237" i="3" l="1"/>
  <c r="A236" i="3"/>
  <c r="A235" i="3"/>
  <c r="A234" i="3"/>
  <c r="A233" i="3"/>
  <c r="A227" i="3"/>
  <c r="A226" i="3"/>
  <c r="A224" i="3"/>
  <c r="A231" i="3"/>
  <c r="A225" i="3"/>
  <c r="A230" i="3"/>
  <c r="A229" i="3"/>
  <c r="A228" i="3"/>
  <c r="A232" i="3" l="1"/>
  <c r="A223" i="3"/>
  <c r="A222" i="3"/>
  <c r="A221" i="3" l="1"/>
  <c r="A220" i="3"/>
  <c r="A219" i="3"/>
  <c r="A217" i="3" l="1"/>
  <c r="A218" i="3"/>
  <c r="A210" i="3"/>
  <c r="C133" i="8" l="1"/>
  <c r="A216" i="3" l="1"/>
  <c r="A215" i="3"/>
  <c r="A214" i="3"/>
  <c r="A213" i="3" l="1"/>
  <c r="A212" i="3" l="1"/>
  <c r="A211" i="3"/>
  <c r="A205" i="3"/>
  <c r="A201" i="3"/>
  <c r="C127" i="8"/>
  <c r="A207" i="3"/>
  <c r="A206" i="3"/>
  <c r="A209" i="3"/>
  <c r="A208" i="3"/>
  <c r="A203" i="3"/>
  <c r="A202" i="3"/>
  <c r="A204" i="3"/>
  <c r="A200" i="3"/>
  <c r="A199" i="3" l="1"/>
  <c r="A198" i="3"/>
  <c r="A197" i="3"/>
  <c r="A196" i="3"/>
  <c r="A195" i="3"/>
  <c r="A194" i="3" l="1"/>
  <c r="A193" i="3"/>
  <c r="A192" i="3"/>
  <c r="A3" i="3" l="1"/>
  <c r="A4" i="3"/>
  <c r="A6" i="3"/>
  <c r="A10" i="3"/>
  <c r="A11" i="3"/>
  <c r="A15" i="3"/>
  <c r="A22" i="3"/>
  <c r="A23" i="3"/>
  <c r="A18" i="3"/>
  <c r="A25" i="3"/>
  <c r="A26" i="3"/>
  <c r="A27" i="3"/>
  <c r="A9" i="3"/>
  <c r="A8" i="3"/>
  <c r="A28" i="3"/>
  <c r="A29" i="3"/>
  <c r="A12" i="3"/>
  <c r="A13" i="3"/>
  <c r="A19" i="3"/>
  <c r="A20" i="3"/>
  <c r="A21" i="3"/>
  <c r="A30" i="3"/>
  <c r="A31" i="3"/>
  <c r="A5" i="3"/>
  <c r="A7" i="3"/>
  <c r="A14" i="3"/>
  <c r="A16" i="3"/>
  <c r="A17" i="3"/>
  <c r="A24" i="3"/>
  <c r="A33" i="3"/>
  <c r="A34" i="3"/>
  <c r="A35" i="3"/>
  <c r="A42" i="3"/>
  <c r="A43" i="3"/>
  <c r="A44" i="3"/>
  <c r="A36" i="3"/>
  <c r="A37" i="3"/>
  <c r="A38" i="3"/>
  <c r="A45" i="3"/>
  <c r="A46" i="3"/>
  <c r="A47" i="3"/>
  <c r="A48" i="3"/>
  <c r="A49" i="3"/>
  <c r="A50" i="3"/>
  <c r="A51" i="3"/>
  <c r="A39" i="3"/>
  <c r="A40" i="3"/>
  <c r="A41" i="3"/>
  <c r="A52" i="3"/>
  <c r="A53" i="3"/>
  <c r="A54" i="3"/>
  <c r="A56" i="3"/>
  <c r="A55" i="3"/>
  <c r="A57" i="3"/>
  <c r="A58" i="3"/>
  <c r="A59" i="3"/>
  <c r="A60" i="3"/>
  <c r="A61" i="3"/>
  <c r="A62" i="3"/>
  <c r="A63" i="3"/>
  <c r="A69" i="3"/>
  <c r="A64" i="3"/>
  <c r="A70" i="3"/>
  <c r="A65" i="3"/>
  <c r="A66" i="3"/>
  <c r="A67" i="3"/>
  <c r="A68" i="3"/>
  <c r="A71" i="3"/>
  <c r="A72" i="3"/>
  <c r="A73" i="3"/>
  <c r="A74" i="3"/>
  <c r="A75" i="3"/>
  <c r="A76" i="3"/>
  <c r="A81" i="3"/>
  <c r="A82" i="3"/>
  <c r="A83" i="3"/>
  <c r="A77" i="3"/>
  <c r="A78" i="3"/>
  <c r="A84" i="3"/>
  <c r="A85" i="3"/>
  <c r="A89" i="3"/>
  <c r="A90" i="3"/>
  <c r="A91" i="3"/>
  <c r="A79" i="3"/>
  <c r="A80" i="3"/>
  <c r="A86" i="3"/>
  <c r="A87" i="3"/>
  <c r="A88" i="3"/>
  <c r="A92" i="3"/>
  <c r="A93" i="3"/>
  <c r="A94" i="3"/>
  <c r="A95" i="3"/>
  <c r="A96" i="3"/>
  <c r="A102" i="3"/>
  <c r="A103" i="3"/>
  <c r="A109" i="3"/>
  <c r="A110" i="3"/>
  <c r="A117" i="3"/>
  <c r="A122" i="3"/>
  <c r="A105" i="3"/>
  <c r="A108" i="3"/>
  <c r="A111" i="3"/>
  <c r="A112" i="3"/>
  <c r="A113" i="3"/>
  <c r="A114" i="3"/>
  <c r="A121" i="3"/>
  <c r="A123" i="3"/>
  <c r="A124" i="3"/>
  <c r="A97" i="3"/>
  <c r="A106" i="3"/>
  <c r="A119" i="3"/>
  <c r="A125" i="3"/>
  <c r="A98" i="3"/>
  <c r="A99" i="3"/>
  <c r="A100" i="3"/>
  <c r="A101" i="3"/>
  <c r="A32" i="3"/>
  <c r="A107" i="3"/>
  <c r="A104" i="3"/>
  <c r="A115" i="3"/>
  <c r="A116" i="3"/>
  <c r="A120" i="3"/>
  <c r="A118" i="3"/>
  <c r="A126" i="3"/>
  <c r="A127" i="3"/>
  <c r="A128" i="3"/>
  <c r="A129" i="3"/>
  <c r="A130" i="3"/>
  <c r="A131" i="3"/>
  <c r="A132" i="3"/>
  <c r="A136" i="3"/>
  <c r="A133" i="3"/>
  <c r="A134" i="3"/>
  <c r="A135"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1" i="3"/>
  <c r="A190" i="3"/>
  <c r="C109" i="8" l="1"/>
  <c r="C123" i="8"/>
  <c r="D113" i="8" l="1"/>
  <c r="C120" i="8"/>
  <c r="D111" i="8" l="1"/>
  <c r="D112" i="8"/>
  <c r="C98" i="8" l="1"/>
  <c r="C106" i="8" l="1"/>
  <c r="D103" i="8"/>
  <c r="C73" i="8" l="1"/>
  <c r="C72" i="8"/>
  <c r="C71" i="8"/>
  <c r="C70" i="8"/>
  <c r="C61" i="8" l="1"/>
  <c r="C38" i="8" l="1"/>
  <c r="C37" i="8"/>
  <c r="C32" i="8" l="1"/>
  <c r="C31" i="8"/>
  <c r="C27" i="8" l="1"/>
  <c r="C26" i="8"/>
  <c r="C25" i="8"/>
  <c r="C24" i="8"/>
  <c r="J37" i="2" l="1"/>
  <c r="J25" i="2"/>
  <c r="J14" i="2"/>
  <c r="J3" i="2"/>
  <c r="C14" i="2" l="1"/>
  <c r="D14" i="2"/>
  <c r="E14" i="2"/>
  <c r="F14" i="2"/>
  <c r="G14" i="2"/>
  <c r="H14" i="2"/>
  <c r="I14" i="2"/>
  <c r="D37" i="2"/>
  <c r="E37" i="2"/>
  <c r="F37" i="2"/>
  <c r="G37" i="2"/>
  <c r="H37" i="2"/>
  <c r="I37" i="2"/>
  <c r="C37" i="2"/>
  <c r="D25" i="2"/>
  <c r="E25" i="2"/>
  <c r="F25" i="2"/>
  <c r="G25" i="2"/>
  <c r="H25" i="2"/>
  <c r="I25" i="2"/>
  <c r="C25" i="2"/>
  <c r="D3" i="2"/>
  <c r="E3" i="2"/>
  <c r="F3" i="2"/>
  <c r="G3" i="2"/>
  <c r="H3" i="2"/>
  <c r="I3" i="2"/>
  <c r="C3" i="2"/>
  <c r="C6" i="8" l="1"/>
  <c r="J2" i="5" l="1"/>
</calcChain>
</file>

<file path=xl/sharedStrings.xml><?xml version="1.0" encoding="utf-8"?>
<sst xmlns="http://schemas.openxmlformats.org/spreadsheetml/2006/main" count="26555" uniqueCount="2386">
  <si>
    <t>Mech.</t>
  </si>
  <si>
    <t>Oper.</t>
  </si>
  <si>
    <t xml:space="preserve">Mixer </t>
  </si>
  <si>
    <t>Oven</t>
  </si>
  <si>
    <t>Cooler</t>
  </si>
  <si>
    <t>Wrap</t>
  </si>
  <si>
    <t>Type</t>
  </si>
  <si>
    <t>Cause</t>
  </si>
  <si>
    <t>Area</t>
  </si>
  <si>
    <t>Shift</t>
  </si>
  <si>
    <t>Ptype</t>
  </si>
  <si>
    <t>Description</t>
  </si>
  <si>
    <t>Minutes</t>
  </si>
  <si>
    <t>Mixer refrig.</t>
  </si>
  <si>
    <t>Flour system</t>
  </si>
  <si>
    <t>Water meters</t>
  </si>
  <si>
    <t>Sugar meters</t>
  </si>
  <si>
    <t>Yeast system</t>
  </si>
  <si>
    <t>Sponge mixer</t>
  </si>
  <si>
    <t>Dough mixer</t>
  </si>
  <si>
    <t>Chunker</t>
  </si>
  <si>
    <t>North KRD</t>
  </si>
  <si>
    <t>North POM</t>
  </si>
  <si>
    <t>South KRD</t>
  </si>
  <si>
    <t>South POM</t>
  </si>
  <si>
    <t>P- Conveyors</t>
  </si>
  <si>
    <t>Proofbox</t>
  </si>
  <si>
    <t>O- Conveyors</t>
  </si>
  <si>
    <t>Seeder/Splitter/Glaze</t>
  </si>
  <si>
    <t>D- Conveyors</t>
  </si>
  <si>
    <t>Depanner</t>
  </si>
  <si>
    <t>R-Conveyors</t>
  </si>
  <si>
    <t>Pan Stacker</t>
  </si>
  <si>
    <t>Pan Unstacker</t>
  </si>
  <si>
    <t>C-Conveyors</t>
  </si>
  <si>
    <t>Metal detectors</t>
  </si>
  <si>
    <t>9A Bagger</t>
  </si>
  <si>
    <t>9B Bagger</t>
  </si>
  <si>
    <t>#7 packaging</t>
  </si>
  <si>
    <t>#8 packaging</t>
  </si>
  <si>
    <t>Boiler / Air comp</t>
  </si>
  <si>
    <t>Power off</t>
  </si>
  <si>
    <t xml:space="preserve">Description of issue </t>
  </si>
  <si>
    <t>Event Date</t>
  </si>
  <si>
    <t xml:space="preserve">Clean Bake </t>
  </si>
  <si>
    <t xml:space="preserve">National </t>
  </si>
  <si>
    <t>Prod line</t>
  </si>
  <si>
    <t xml:space="preserve">Prod Line </t>
  </si>
  <si>
    <t>Remake</t>
  </si>
  <si>
    <t>Code</t>
  </si>
  <si>
    <t>Location Code</t>
  </si>
  <si>
    <t>BUN</t>
  </si>
  <si>
    <t>STRING</t>
  </si>
  <si>
    <t>BREAD</t>
  </si>
  <si>
    <t>MUFFIN</t>
  </si>
  <si>
    <t>POR-DAVIS</t>
  </si>
  <si>
    <t>P068</t>
  </si>
  <si>
    <t>Stringline Porland Davis</t>
  </si>
  <si>
    <t>P069</t>
  </si>
  <si>
    <t>Bun Line Portland Davis</t>
  </si>
  <si>
    <t>P071</t>
  </si>
  <si>
    <t>Bread Line Portland Davis</t>
  </si>
  <si>
    <t>P072</t>
  </si>
  <si>
    <t>Eng Muffins Portland Davis</t>
  </si>
  <si>
    <t xml:space="preserve">Divider </t>
  </si>
  <si>
    <t xml:space="preserve">Oven </t>
  </si>
  <si>
    <t xml:space="preserve">Cooler </t>
  </si>
  <si>
    <t>Other</t>
  </si>
  <si>
    <t>Mixer</t>
  </si>
  <si>
    <t xml:space="preserve">Electrical </t>
  </si>
  <si>
    <t>Mechanical</t>
  </si>
  <si>
    <t>Power</t>
  </si>
  <si>
    <t>Scheduling</t>
  </si>
  <si>
    <t>Human Error</t>
  </si>
  <si>
    <t>Natural Disaster</t>
  </si>
  <si>
    <t>Yes</t>
  </si>
  <si>
    <t>PT2029</t>
  </si>
  <si>
    <t>PT2020</t>
  </si>
  <si>
    <t>PT1209</t>
  </si>
  <si>
    <t>PT1153</t>
  </si>
  <si>
    <t>PT0343</t>
  </si>
  <si>
    <t>PT0304</t>
  </si>
  <si>
    <t>PLC</t>
  </si>
  <si>
    <t>VFD</t>
  </si>
  <si>
    <t xml:space="preserve">Added Sales </t>
  </si>
  <si>
    <t>stuff broke</t>
  </si>
  <si>
    <t xml:space="preserve">no work </t>
  </si>
  <si>
    <t xml:space="preserve">blah blah blah </t>
  </si>
  <si>
    <t>blah blah blah 1</t>
  </si>
  <si>
    <t>blah blah blah 2</t>
  </si>
  <si>
    <t>blah blah blah 3</t>
  </si>
  <si>
    <t>blah blah blah 4</t>
  </si>
  <si>
    <t>blah blah blah 5</t>
  </si>
  <si>
    <t>blah blah blah 6</t>
  </si>
  <si>
    <t>blah blah blah 7</t>
  </si>
  <si>
    <t>blah blah blah 8</t>
  </si>
  <si>
    <t>blah blah blah 9</t>
  </si>
  <si>
    <t>blah blah blah 10</t>
  </si>
  <si>
    <t>blah blah blah 11</t>
  </si>
  <si>
    <t>blah blah blah 12</t>
  </si>
  <si>
    <t>blah blah blah 13</t>
  </si>
  <si>
    <t>blah blah blah 14</t>
  </si>
  <si>
    <t>blah blah blah 15</t>
  </si>
  <si>
    <t>blah blah blah 16</t>
  </si>
  <si>
    <t>blah blah blah 17</t>
  </si>
  <si>
    <t>blah blah blah 18</t>
  </si>
  <si>
    <t>blah blah blah 19</t>
  </si>
  <si>
    <t>blah blah blah 20</t>
  </si>
  <si>
    <t>blah blah blah 21</t>
  </si>
  <si>
    <t>blah blah blah 22</t>
  </si>
  <si>
    <t>blah blah blah 23</t>
  </si>
  <si>
    <t>blah blah blah 24</t>
  </si>
  <si>
    <t>blah blah blah 25</t>
  </si>
  <si>
    <t>blah blah blah 26</t>
  </si>
  <si>
    <t>blah blah blah 27</t>
  </si>
  <si>
    <t>blah blah blah 28</t>
  </si>
  <si>
    <t>blah blah blah 29</t>
  </si>
  <si>
    <t>blah blah blah 30</t>
  </si>
  <si>
    <t>blah blah blah 31</t>
  </si>
  <si>
    <t>blah blah blah 32</t>
  </si>
  <si>
    <t>blah blah blah 33</t>
  </si>
  <si>
    <t>blah blah blah 34</t>
  </si>
  <si>
    <t>blah blah blah 35</t>
  </si>
  <si>
    <t>blah blah blah 36</t>
  </si>
  <si>
    <t>blah blah blah 37</t>
  </si>
  <si>
    <t>blah blah blah 38</t>
  </si>
  <si>
    <t>blah blah blah 39</t>
  </si>
  <si>
    <t>blah blah blah 40</t>
  </si>
  <si>
    <t>blah blah blah 41</t>
  </si>
  <si>
    <t>blah blah blah 42</t>
  </si>
  <si>
    <t>blah blah blah 43</t>
  </si>
  <si>
    <t>blah blah blah 44</t>
  </si>
  <si>
    <t>blah blah blah 45</t>
  </si>
  <si>
    <t>blah blah blah 46</t>
  </si>
  <si>
    <t>blah blah blah 47</t>
  </si>
  <si>
    <t>blah blah blah 48</t>
  </si>
  <si>
    <t>blah blah blah 49</t>
  </si>
  <si>
    <t>blah blah blah 50</t>
  </si>
  <si>
    <t>blah blah blah 51</t>
  </si>
  <si>
    <t>blah blah blah 52</t>
  </si>
  <si>
    <t>blah blah blah 53</t>
  </si>
  <si>
    <t>blah blah blah 54</t>
  </si>
  <si>
    <t>blah blah blah 55</t>
  </si>
  <si>
    <t>blah blah blah 56</t>
  </si>
  <si>
    <t>blah blah blah 57</t>
  </si>
  <si>
    <t>blah blah blah 58</t>
  </si>
  <si>
    <t>blah blah blah 59</t>
  </si>
  <si>
    <t>blah blah blah 60</t>
  </si>
  <si>
    <t>blah blah blah 61</t>
  </si>
  <si>
    <t>blah blah blah 62</t>
  </si>
  <si>
    <t>blah blah blah 63</t>
  </si>
  <si>
    <t>blah blah blah 64</t>
  </si>
  <si>
    <t>blah blah blah 65</t>
  </si>
  <si>
    <t>blah blah blah 66</t>
  </si>
  <si>
    <t>blah blah blah 67</t>
  </si>
  <si>
    <t>blah blah blah 68</t>
  </si>
  <si>
    <t>blah blah blah 69</t>
  </si>
  <si>
    <t>blah blah blah 70</t>
  </si>
  <si>
    <t>blah blah blah 71</t>
  </si>
  <si>
    <t>blah blah blah 72</t>
  </si>
  <si>
    <t>blah blah blah 73</t>
  </si>
  <si>
    <t>blah blah blah 74</t>
  </si>
  <si>
    <t>blah blah blah 75</t>
  </si>
  <si>
    <t>blah blah blah 76</t>
  </si>
  <si>
    <t>blah blah blah 77</t>
  </si>
  <si>
    <t>blah blah blah 78</t>
  </si>
  <si>
    <t>blah blah blah 79</t>
  </si>
  <si>
    <t>blah blah blah 80</t>
  </si>
  <si>
    <t>blah blah blah 81</t>
  </si>
  <si>
    <t>blah blah blah 82</t>
  </si>
  <si>
    <t>blah blah blah 83</t>
  </si>
  <si>
    <t>blah blah blah 84</t>
  </si>
  <si>
    <t>blah blah blah 85</t>
  </si>
  <si>
    <t>blah blah blah 86</t>
  </si>
  <si>
    <t>blah blah blah 87</t>
  </si>
  <si>
    <t>blah blah blah 88</t>
  </si>
  <si>
    <t>blah blah blah 89</t>
  </si>
  <si>
    <t>blah blah blah 90</t>
  </si>
  <si>
    <t>blah blah blah 91</t>
  </si>
  <si>
    <t>blah blah blah 92</t>
  </si>
  <si>
    <t>blah blah blah 93</t>
  </si>
  <si>
    <t>blah blah blah 94</t>
  </si>
  <si>
    <t>blah blah blah 95</t>
  </si>
  <si>
    <t>blah blah blah 96</t>
  </si>
  <si>
    <t>blah blah blah 97</t>
  </si>
  <si>
    <t>blah blah blah 98</t>
  </si>
  <si>
    <t>blah blah blah 99</t>
  </si>
  <si>
    <t>blah blah blah 100</t>
  </si>
  <si>
    <t>blah blah blah 101</t>
  </si>
  <si>
    <t>blah blah blah 102</t>
  </si>
  <si>
    <t>blah blah blah 103</t>
  </si>
  <si>
    <t>blah blah blah 104</t>
  </si>
  <si>
    <t>blah blah blah 105</t>
  </si>
  <si>
    <t>blah blah blah 106</t>
  </si>
  <si>
    <t>blah blah blah 107</t>
  </si>
  <si>
    <t>blah blah blah 108</t>
  </si>
  <si>
    <t>blah blah blah 109</t>
  </si>
  <si>
    <t>blah blah blah 110</t>
  </si>
  <si>
    <t>blah blah blah 111</t>
  </si>
  <si>
    <t>blah blah blah 112</t>
  </si>
  <si>
    <t>blah blah blah 113</t>
  </si>
  <si>
    <t>blah blah blah 114</t>
  </si>
  <si>
    <t>blah blah blah 115</t>
  </si>
  <si>
    <t>blah blah blah 116</t>
  </si>
  <si>
    <t>blah blah blah 117</t>
  </si>
  <si>
    <t>blah blah blah 118</t>
  </si>
  <si>
    <t>blah blah blah 119</t>
  </si>
  <si>
    <t>blah blah blah 120</t>
  </si>
  <si>
    <t>blah blah blah 121</t>
  </si>
  <si>
    <t>blah blah blah 122</t>
  </si>
  <si>
    <t>blah blah blah 123</t>
  </si>
  <si>
    <t>blah blah blah 124</t>
  </si>
  <si>
    <t>blah blah blah 125</t>
  </si>
  <si>
    <t>blah blah blah 126</t>
  </si>
  <si>
    <t>blah blah blah 127</t>
  </si>
  <si>
    <t>blah blah blah 128</t>
  </si>
  <si>
    <t>blah blah blah 129</t>
  </si>
  <si>
    <t>blah blah blah 130</t>
  </si>
  <si>
    <t>blah blah blah 131</t>
  </si>
  <si>
    <t>blah blah blah 132</t>
  </si>
  <si>
    <t>blah blah blah 133</t>
  </si>
  <si>
    <t>blah blah blah 134</t>
  </si>
  <si>
    <t>blah blah blah 135</t>
  </si>
  <si>
    <t>blah blah blah 136</t>
  </si>
  <si>
    <t>blah blah blah 137</t>
  </si>
  <si>
    <t>blah blah blah 138</t>
  </si>
  <si>
    <t>blah blah blah 139</t>
  </si>
  <si>
    <t>blah blah blah 140</t>
  </si>
  <si>
    <t>blah blah blah 141</t>
  </si>
  <si>
    <t>blah blah blah 142</t>
  </si>
  <si>
    <t>blah blah blah 143</t>
  </si>
  <si>
    <t>blah blah blah 144</t>
  </si>
  <si>
    <t>blah blah blah 145</t>
  </si>
  <si>
    <t>blah blah blah 146</t>
  </si>
  <si>
    <t>blah blah blah 147</t>
  </si>
  <si>
    <t>blah blah blah 148</t>
  </si>
  <si>
    <t>blah blah blah 149</t>
  </si>
  <si>
    <t>blah blah blah 150</t>
  </si>
  <si>
    <t>blah blah blah 151</t>
  </si>
  <si>
    <t>blah blah blah 152</t>
  </si>
  <si>
    <t>blah blah blah 153</t>
  </si>
  <si>
    <t>blah blah blah 154</t>
  </si>
  <si>
    <t>blah blah blah 155</t>
  </si>
  <si>
    <t>blah blah blah 156</t>
  </si>
  <si>
    <t>blah blah blah 157</t>
  </si>
  <si>
    <t>blah blah blah 158</t>
  </si>
  <si>
    <t>blah blah blah 159</t>
  </si>
  <si>
    <t>blah blah blah 160</t>
  </si>
  <si>
    <t>blah blah blah 161</t>
  </si>
  <si>
    <t>blah blah blah 162</t>
  </si>
  <si>
    <t>blah blah blah 163</t>
  </si>
  <si>
    <t>blah blah blah 164</t>
  </si>
  <si>
    <t>blah blah blah 165</t>
  </si>
  <si>
    <t>blah blah blah 166</t>
  </si>
  <si>
    <t>blah blah blah 167</t>
  </si>
  <si>
    <t>blah blah blah 168</t>
  </si>
  <si>
    <t>blah blah blah 169</t>
  </si>
  <si>
    <t>blah blah blah 170</t>
  </si>
  <si>
    <t>blah blah blah 171</t>
  </si>
  <si>
    <t>blah blah blah 172</t>
  </si>
  <si>
    <t>blah blah blah 173</t>
  </si>
  <si>
    <t>blah blah blah 174</t>
  </si>
  <si>
    <t>blah blah blah 175</t>
  </si>
  <si>
    <t>blah blah blah 176</t>
  </si>
  <si>
    <t>blah blah blah 177</t>
  </si>
  <si>
    <t>blah blah blah 178</t>
  </si>
  <si>
    <t>blah blah blah 179</t>
  </si>
  <si>
    <t>blah blah blah 180</t>
  </si>
  <si>
    <t>blah blah blah 181</t>
  </si>
  <si>
    <t>blah blah blah 182</t>
  </si>
  <si>
    <t>blah blah blah 183</t>
  </si>
  <si>
    <t>blah blah blah 184</t>
  </si>
  <si>
    <t>blah blah blah 185</t>
  </si>
  <si>
    <t>blah blah blah 186</t>
  </si>
  <si>
    <t>blah blah blah 187</t>
  </si>
  <si>
    <t>blah blah blah 188</t>
  </si>
  <si>
    <t>blah blah blah 189</t>
  </si>
  <si>
    <t>blah blah blah 190</t>
  </si>
  <si>
    <t>blah blah blah 191</t>
  </si>
  <si>
    <t>blah blah blah 192</t>
  </si>
  <si>
    <t>blah blah blah 193</t>
  </si>
  <si>
    <t>blah blah blah 194</t>
  </si>
  <si>
    <t>blah blah blah 195</t>
  </si>
  <si>
    <t>blah blah blah 196</t>
  </si>
  <si>
    <t>blah blah blah 197</t>
  </si>
  <si>
    <t>blah blah blah 198</t>
  </si>
  <si>
    <t>blah blah blah 199</t>
  </si>
  <si>
    <t>blah blah blah 200</t>
  </si>
  <si>
    <t>blah blah blah 201</t>
  </si>
  <si>
    <t>blah blah blah 202</t>
  </si>
  <si>
    <t>blah blah blah 203</t>
  </si>
  <si>
    <t>blah blah blah 204</t>
  </si>
  <si>
    <t>blah blah blah 205</t>
  </si>
  <si>
    <t>blah blah blah 206</t>
  </si>
  <si>
    <t>blah blah blah 207</t>
  </si>
  <si>
    <t>blah blah blah 208</t>
  </si>
  <si>
    <t>blah blah blah 209</t>
  </si>
  <si>
    <t>blah blah blah 210</t>
  </si>
  <si>
    <t>blah blah blah 211</t>
  </si>
  <si>
    <t>blah blah blah 212</t>
  </si>
  <si>
    <t>blah blah blah 213</t>
  </si>
  <si>
    <t>blah blah blah 214</t>
  </si>
  <si>
    <t>blah blah blah 215</t>
  </si>
  <si>
    <t>blah blah blah 216</t>
  </si>
  <si>
    <t>blah blah blah 217</t>
  </si>
  <si>
    <t>blah blah blah 218</t>
  </si>
  <si>
    <t>blah blah blah 219</t>
  </si>
  <si>
    <t>blah blah blah 220</t>
  </si>
  <si>
    <t>blah blah blah 221</t>
  </si>
  <si>
    <t>blah blah blah 222</t>
  </si>
  <si>
    <t>blah blah blah 223</t>
  </si>
  <si>
    <t>blah blah blah 224</t>
  </si>
  <si>
    <t>blah blah blah 225</t>
  </si>
  <si>
    <t>blah blah blah 226</t>
  </si>
  <si>
    <t>blah blah blah 227</t>
  </si>
  <si>
    <t>blah blah blah 228</t>
  </si>
  <si>
    <t>blah blah blah 229</t>
  </si>
  <si>
    <t>blah blah blah 230</t>
  </si>
  <si>
    <t>blah blah blah 231</t>
  </si>
  <si>
    <t>blah blah blah 232</t>
  </si>
  <si>
    <t>blah blah blah 233</t>
  </si>
  <si>
    <t>blah blah blah 234</t>
  </si>
  <si>
    <t>blah blah blah 235</t>
  </si>
  <si>
    <t>blah blah blah 236</t>
  </si>
  <si>
    <t>blah blah blah 237</t>
  </si>
  <si>
    <t>blah blah blah 238</t>
  </si>
  <si>
    <t>blah blah blah 239</t>
  </si>
  <si>
    <t>blah blah blah 240</t>
  </si>
  <si>
    <t>blah blah blah 241</t>
  </si>
  <si>
    <t>blah blah blah 242</t>
  </si>
  <si>
    <t>blah blah blah 243</t>
  </si>
  <si>
    <t>blah blah blah 244</t>
  </si>
  <si>
    <t>blah blah blah 245</t>
  </si>
  <si>
    <t>blah blah blah 246</t>
  </si>
  <si>
    <t>blah blah blah 247</t>
  </si>
  <si>
    <t>blah blah blah 248</t>
  </si>
  <si>
    <t>blah blah blah 249</t>
  </si>
  <si>
    <t>blah blah blah 250</t>
  </si>
  <si>
    <t>blah blah blah 251</t>
  </si>
  <si>
    <t>blah blah blah 252</t>
  </si>
  <si>
    <t>blah blah blah 253</t>
  </si>
  <si>
    <t>blah blah blah 254</t>
  </si>
  <si>
    <t>blah blah blah 255</t>
  </si>
  <si>
    <t>aaron is the best</t>
  </si>
  <si>
    <t>Long Changeover</t>
  </si>
  <si>
    <t>Long Cleanout</t>
  </si>
  <si>
    <t>Sanitation</t>
  </si>
  <si>
    <t xml:space="preserve">vdfnjasklvbnfljkdshvljufbndsvnfjkldsnjk </t>
  </si>
  <si>
    <t>yes</t>
  </si>
  <si>
    <t>Waiting on Dough</t>
  </si>
  <si>
    <t>Waiting on Pans</t>
  </si>
  <si>
    <t xml:space="preserve">bad setup </t>
  </si>
  <si>
    <t>Sales date</t>
  </si>
  <si>
    <t>p069</t>
  </si>
  <si>
    <t>After ADJ</t>
  </si>
  <si>
    <t>Pan jams on deep</t>
  </si>
  <si>
    <t>Seal bar-broken wire</t>
  </si>
  <si>
    <t>p072</t>
  </si>
  <si>
    <t>p071</t>
  </si>
  <si>
    <t>Conatimination- ingredient foreign substance</t>
  </si>
  <si>
    <t>remake from contaimination</t>
  </si>
  <si>
    <t>Molder belt slipping/tracking</t>
  </si>
  <si>
    <t>Pan</t>
  </si>
  <si>
    <t>Adamatic Divider</t>
  </si>
  <si>
    <t>Adamatic Overhead</t>
  </si>
  <si>
    <t>Adamatic Stamper</t>
  </si>
  <si>
    <t>Adamatic Pan Indexer</t>
  </si>
  <si>
    <t>Vemag Divider</t>
  </si>
  <si>
    <t>Rounder</t>
  </si>
  <si>
    <t>Overhead Conveyor</t>
  </si>
  <si>
    <t>Winkler</t>
  </si>
  <si>
    <t>Pan-O-mat</t>
  </si>
  <si>
    <t>Tromp</t>
  </si>
  <si>
    <t>Seeder/Splitter</t>
  </si>
  <si>
    <t>Metal detector</t>
  </si>
  <si>
    <t>#10 packaging</t>
  </si>
  <si>
    <t>#11 packaging</t>
  </si>
  <si>
    <t>Sponge mixer #3</t>
  </si>
  <si>
    <t>Dough mixer #4</t>
  </si>
  <si>
    <t>V-MAG Divider</t>
  </si>
  <si>
    <t>Overhead</t>
  </si>
  <si>
    <t>Moulder/Sheeter</t>
  </si>
  <si>
    <t>Widget</t>
  </si>
  <si>
    <t>Topping Unit</t>
  </si>
  <si>
    <t>Prod. Conveyors</t>
  </si>
  <si>
    <t>Pan Conveyors</t>
  </si>
  <si>
    <t>#1 Slicer</t>
  </si>
  <si>
    <t>#2 Slicer</t>
  </si>
  <si>
    <t>#1 Overwrapper</t>
  </si>
  <si>
    <t>#2 Overwrapper</t>
  </si>
  <si>
    <t>#1 Bagger</t>
  </si>
  <si>
    <t>#2 Bagger</t>
  </si>
  <si>
    <t>Dough Pump</t>
  </si>
  <si>
    <t>Overhead Proofer</t>
  </si>
  <si>
    <t>Griddle</t>
  </si>
  <si>
    <t>Slicer</t>
  </si>
  <si>
    <t>#5 Bagger</t>
  </si>
  <si>
    <t>#6 Bagger</t>
  </si>
  <si>
    <t>Column1</t>
  </si>
  <si>
    <t>a</t>
  </si>
  <si>
    <t>b</t>
  </si>
  <si>
    <t>c</t>
  </si>
  <si>
    <t>d</t>
  </si>
  <si>
    <t>Makeup</t>
  </si>
  <si>
    <t>Day</t>
  </si>
  <si>
    <t>Swing</t>
  </si>
  <si>
    <t>Night</t>
  </si>
  <si>
    <t>Wrong Setup</t>
  </si>
  <si>
    <t>4x</t>
  </si>
  <si>
    <t>both bulk packers set-up wrong bk 5in</t>
  </si>
  <si>
    <t>couldn’t draw yeast</t>
  </si>
  <si>
    <t>Forgot yeast in sponges</t>
  </si>
  <si>
    <t>seal bar down</t>
  </si>
  <si>
    <t>shortage at wrap</t>
  </si>
  <si>
    <t>Lost key for mesh belt</t>
  </si>
  <si>
    <t>throw back from bad make-up</t>
  </si>
  <si>
    <t>stick-ups at molder</t>
  </si>
  <si>
    <t>Keto sponges stuck in chute</t>
  </si>
  <si>
    <t>Wrong conversion from cream to IDY- ran out cream, plus remake</t>
  </si>
  <si>
    <t>mess at griddle</t>
  </si>
  <si>
    <t>jam ups on zig zag</t>
  </si>
  <si>
    <t>short 1251 on WW muffins</t>
  </si>
  <si>
    <t>didn't bag sour run correctly, wrong amounts for wrong bags</t>
  </si>
  <si>
    <t>bagged wrong product on 10 pack</t>
  </si>
  <si>
    <t>throwback and jam-ups</t>
  </si>
  <si>
    <t>printer down</t>
  </si>
  <si>
    <t>jam ups on winkler</t>
  </si>
  <si>
    <t xml:space="preserve">Pan jams </t>
  </si>
  <si>
    <t>pan jam behind oven</t>
  </si>
  <si>
    <t>small doughs</t>
  </si>
  <si>
    <t>Slow proof</t>
  </si>
  <si>
    <t>dough jams, stick-ups</t>
  </si>
  <si>
    <t>tromp down</t>
  </si>
  <si>
    <t>outfeed belt</t>
  </si>
  <si>
    <t>excessive scrap</t>
  </si>
  <si>
    <t>Break for wrap- stacker down</t>
  </si>
  <si>
    <t>remake on BJ wides</t>
  </si>
  <si>
    <t>mixer error</t>
  </si>
  <si>
    <t>Recycle, dough jams</t>
  </si>
  <si>
    <t>encoder down 50, 32 for remake</t>
  </si>
  <si>
    <t>rework dough</t>
  </si>
  <si>
    <t>Pan Jam</t>
  </si>
  <si>
    <t>Sales Date</t>
  </si>
  <si>
    <t>jam ups/recycle</t>
  </si>
  <si>
    <t>not sealing properly</t>
  </si>
  <si>
    <t>remake 4.5 ses- no more details</t>
  </si>
  <si>
    <t>subs</t>
  </si>
  <si>
    <t>Jams at the grouper</t>
  </si>
  <si>
    <t>double sugar</t>
  </si>
  <si>
    <t>pan line down 1.5 hours at start up</t>
  </si>
  <si>
    <t>too much sugar</t>
  </si>
  <si>
    <t>2 remakes</t>
  </si>
  <si>
    <t>8x</t>
  </si>
  <si>
    <t>sour transfer</t>
  </si>
  <si>
    <t>pan jam in unloader</t>
  </si>
  <si>
    <t>encoder</t>
  </si>
  <si>
    <t>PB off</t>
  </si>
  <si>
    <t>timing issue@ griddle discharge</t>
  </si>
  <si>
    <t>issues with first street 12 pack bags</t>
  </si>
  <si>
    <t>too much recycle</t>
  </si>
  <si>
    <t>10</t>
  </si>
  <si>
    <t>remake- no yeast on WW</t>
  </si>
  <si>
    <t>stick up with imprinter</t>
  </si>
  <si>
    <t>issues with seeder</t>
  </si>
  <si>
    <t>krnksr</t>
  </si>
  <si>
    <t>stick-up with imprinters</t>
  </si>
  <si>
    <t>6x</t>
  </si>
  <si>
    <t>this ended up being un-necessary</t>
  </si>
  <si>
    <t>glycol down</t>
  </si>
  <si>
    <t>Pan line down</t>
  </si>
  <si>
    <t>retractable belt</t>
  </si>
  <si>
    <t>warm doughs</t>
  </si>
  <si>
    <t>kicking out</t>
  </si>
  <si>
    <t>Pan indexer down</t>
  </si>
  <si>
    <t>flour system down- bad motor?</t>
  </si>
  <si>
    <t>vfd kicking out</t>
  </si>
  <si>
    <t>beater bar fault</t>
  </si>
  <si>
    <t>sponge door sensor</t>
  </si>
  <si>
    <t>mixer 3 down during sour</t>
  </si>
  <si>
    <t>X10</t>
  </si>
  <si>
    <t>Loading issues on mixer 4- keto sponge, cycle time</t>
  </si>
  <si>
    <t>break for wrap to throw back on</t>
  </si>
  <si>
    <t>stacker down</t>
  </si>
  <si>
    <t>break for depanner down</t>
  </si>
  <si>
    <t>remake on CB</t>
  </si>
  <si>
    <t>slicer</t>
  </si>
  <si>
    <t>Wrap accidently shut off cooler when cleaning</t>
  </si>
  <si>
    <t>X2</t>
  </si>
  <si>
    <t>clam shells stopped X2</t>
  </si>
  <si>
    <t>x6</t>
  </si>
  <si>
    <t>did not come up to temp @ start-up</t>
  </si>
  <si>
    <t>jam-ups</t>
  </si>
  <si>
    <t>stick-ups in zig-zag</t>
  </si>
  <si>
    <t>Employee knocked off sprinkler head</t>
  </si>
  <si>
    <t>Wrong Pans on the Line</t>
  </si>
  <si>
    <t xml:space="preserve">Loading Mixer/ Sponge Stuck in chute </t>
  </si>
  <si>
    <t xml:space="preserve">Long Mixer cleanout </t>
  </si>
  <si>
    <t>only using mixer #4 for sour</t>
  </si>
  <si>
    <t>Waiting on dough repeatedly</t>
  </si>
  <si>
    <t xml:space="preserve">Proof Break </t>
  </si>
  <si>
    <t xml:space="preserve">Cold Proof box at start up. </t>
  </si>
  <si>
    <t xml:space="preserve">Pan Stacker </t>
  </si>
  <si>
    <t xml:space="preserve">Pan Stacker Down </t>
  </si>
  <si>
    <t>Pan O Mat</t>
  </si>
  <si>
    <t>Drop Gate no closing completely</t>
  </si>
  <si>
    <t>multiple pan Jams</t>
  </si>
  <si>
    <t>just wrote wrap down</t>
  </si>
  <si>
    <t>Long mixes</t>
  </si>
  <si>
    <t>no yeast in Keto</t>
  </si>
  <si>
    <t>digging Keto sponges</t>
  </si>
  <si>
    <t>refer turned off</t>
  </si>
  <si>
    <t>Operator didn’t turned refer on / remade dough</t>
  </si>
  <si>
    <t>doubles</t>
  </si>
  <si>
    <t>excess rework dough</t>
  </si>
  <si>
    <t>pan jam</t>
  </si>
  <si>
    <t>Mixer Stoped While Mixer/ Mixer late</t>
  </si>
  <si>
    <t xml:space="preserve">WW flour Draw issues </t>
  </si>
  <si>
    <t>x3</t>
  </si>
  <si>
    <t>Wrap Down</t>
  </si>
  <si>
    <t>Mixer Lates</t>
  </si>
  <si>
    <t xml:space="preserve">Chunker set to Manual </t>
  </si>
  <si>
    <t>Broken Basket Conveyor/ Remake</t>
  </si>
  <si>
    <t>Recycle Dough</t>
  </si>
  <si>
    <t>Added Sacks</t>
  </si>
  <si>
    <t>Waiting on dough</t>
  </si>
  <si>
    <t>Break for re wraps</t>
  </si>
  <si>
    <t>Rough Run at the divider</t>
  </si>
  <si>
    <t xml:space="preserve">No wrap foremen </t>
  </si>
  <si>
    <t xml:space="preserve">Mixer Lates </t>
  </si>
  <si>
    <t>ROUGH RUN ON WW</t>
  </si>
  <si>
    <t>remake 585 10pk PL</t>
  </si>
  <si>
    <t>long sour transfer</t>
  </si>
  <si>
    <t>Mixer Lates x 11</t>
  </si>
  <si>
    <t>Mixer Lates x 8</t>
  </si>
  <si>
    <t>Mixer late Small doughs</t>
  </si>
  <si>
    <t>Pan Jam at Pan Cleaner</t>
  </si>
  <si>
    <t>Ingridiator Down</t>
  </si>
  <si>
    <t>Jam up on Zig zag</t>
  </si>
  <si>
    <t xml:space="preserve">Remake 5" due to issues with Bulk packers. </t>
  </si>
  <si>
    <t>Adamatic retractable/ Pan Line Down</t>
  </si>
  <si>
    <t>No Pans</t>
  </si>
  <si>
    <t>WOD during CVR Raisin</t>
  </si>
  <si>
    <t>Yeast system down.</t>
  </si>
  <si>
    <t>Recycle dough</t>
  </si>
  <si>
    <t>Mixer Didn’t Start</t>
  </si>
  <si>
    <t>Jam up at the day feeder</t>
  </si>
  <si>
    <t>WOD X 3</t>
  </si>
  <si>
    <t xml:space="preserve">New mixer mixing on the new mixer </t>
  </si>
  <si>
    <t xml:space="preserve">Dough Jam </t>
  </si>
  <si>
    <t>added sacks for DP pans being bad</t>
  </si>
  <si>
    <t>WOD x 2</t>
  </si>
  <si>
    <t>ring for divder missing, fell off during a clean out, found</t>
  </si>
  <si>
    <t>dough jams @ zig zag x 2</t>
  </si>
  <si>
    <t>excess recycle dough</t>
  </si>
  <si>
    <t xml:space="preserve">Mixer Error/ Double water tank. </t>
  </si>
  <si>
    <t xml:space="preserve">Chunker belt down </t>
  </si>
  <si>
    <t>Small Sack Sizes</t>
  </si>
  <si>
    <t>Mixer lates</t>
  </si>
  <si>
    <t xml:space="preserve">Griddle out of timing </t>
  </si>
  <si>
    <t>Dough Rebuild from griddle issues</t>
  </si>
  <si>
    <t>Dough Jam at Zig zag</t>
  </si>
  <si>
    <t xml:space="preserve">No Refridgeration </t>
  </si>
  <si>
    <t>Long changeover/ Clean out</t>
  </si>
  <si>
    <t>Dough Jam on zig zag</t>
  </si>
  <si>
    <t>Mixer error from 2nd shift</t>
  </si>
  <si>
    <t>Break for wrap per Supervisor</t>
  </si>
  <si>
    <t>long mixes, running out of dough</t>
  </si>
  <si>
    <t>small dough's on CVR 20oz</t>
  </si>
  <si>
    <t>break for wrap to clean rollers on UBE's during 51% WW run</t>
  </si>
  <si>
    <t>Mixer lates x4</t>
  </si>
  <si>
    <t>Overhead Cups Broken</t>
  </si>
  <si>
    <t xml:space="preserve">Divider Belt down x2 </t>
  </si>
  <si>
    <t>Slicer Down</t>
  </si>
  <si>
    <t>Jam up on zig zag</t>
  </si>
  <si>
    <t>Hose on glazer wrong</t>
  </si>
  <si>
    <t>WOD</t>
  </si>
  <si>
    <t>PAN JAM</t>
  </si>
  <si>
    <t>WOD, Keto</t>
  </si>
  <si>
    <t>Too long of a sour transfer, took longer</t>
  </si>
  <si>
    <t>Griddle Down / clean griddle</t>
  </si>
  <si>
    <t>bagger down</t>
  </si>
  <si>
    <t>remake 2 dough's Prem. Sour</t>
  </si>
  <si>
    <t>extended C/O after NGMO, feed muffins on, slicer down</t>
  </si>
  <si>
    <t>repair slicer</t>
  </si>
  <si>
    <t>added sacks due to slicer down, short case order</t>
  </si>
  <si>
    <t>Remake 1,170 10pk. No info given to account  for shortage</t>
  </si>
  <si>
    <t>Break for muffin wrap</t>
  </si>
  <si>
    <t>Dough Mixer</t>
  </si>
  <si>
    <t>bad dough / trying to repair</t>
  </si>
  <si>
    <t>multiple dough Jams</t>
  </si>
  <si>
    <t>both mixer &amp; Foreman fell beind on mixing</t>
  </si>
  <si>
    <t>Fell behind transferring sour</t>
  </si>
  <si>
    <t>Remake 4.5 CRNSPLT, Wrap operator plug whole run on Friday sales</t>
  </si>
  <si>
    <t>WOD during Subs</t>
  </si>
  <si>
    <t>WOD during Coney's</t>
  </si>
  <si>
    <t>WOD during 4.5" Carl's</t>
  </si>
  <si>
    <t xml:space="preserve">Recycle dough </t>
  </si>
  <si>
    <t xml:space="preserve">Flour Draw issues </t>
  </si>
  <si>
    <t>recycle dough</t>
  </si>
  <si>
    <t xml:space="preserve">Pan unStacker Down </t>
  </si>
  <si>
    <t>Long Mix</t>
  </si>
  <si>
    <t>No manifold pressure</t>
  </si>
  <si>
    <t>Mixer late</t>
  </si>
  <si>
    <t>Pan jam x2</t>
  </si>
  <si>
    <t>Mixer lates x2</t>
  </si>
  <si>
    <t xml:space="preserve">Pan jam </t>
  </si>
  <si>
    <t>Mixer lates.</t>
  </si>
  <si>
    <t>Contamination/ gasket found in dough</t>
  </si>
  <si>
    <t>Recut scrap due to elevator being down</t>
  </si>
  <si>
    <t>Dough jam in overhead</t>
  </si>
  <si>
    <t>Rework Dough</t>
  </si>
  <si>
    <t>Proof box Down</t>
  </si>
  <si>
    <t>Pan jam</t>
  </si>
  <si>
    <t>Flour drawing Slow</t>
  </si>
  <si>
    <t>Vemag Kicking out x3 bad plc card</t>
  </si>
  <si>
    <t>recycle Dough</t>
  </si>
  <si>
    <t>Retractable belt down</t>
  </si>
  <si>
    <t>lost Hydrolic fluid to the mixer</t>
  </si>
  <si>
    <t>Trough door seal fell into the dough</t>
  </si>
  <si>
    <t>Ran out of Strussel</t>
  </si>
  <si>
    <t xml:space="preserve">Jam up on zig zag </t>
  </si>
  <si>
    <t xml:space="preserve">Remake on sour/ Edited Dpugh sheets short. </t>
  </si>
  <si>
    <t>Small Doughs</t>
  </si>
  <si>
    <t>MIXER ERROR</t>
  </si>
  <si>
    <t>DOUGH JAM</t>
  </si>
  <si>
    <t>Adamatic Dough chute not cleaned out / streusel in it</t>
  </si>
  <si>
    <t>wrap down</t>
  </si>
  <si>
    <t>SOUR too small, waiting</t>
  </si>
  <si>
    <t>Added sacks due to remake of 10pk PL of 1.055</t>
  </si>
  <si>
    <t>jam in cooler</t>
  </si>
  <si>
    <t>WOD, 4.5" Carl's</t>
  </si>
  <si>
    <t>jams @ &amp; under zig zag x 2</t>
  </si>
  <si>
    <t>Dough jams at day feeder</t>
  </si>
  <si>
    <t>Long Sour bake off</t>
  </si>
  <si>
    <t>No refer</t>
  </si>
  <si>
    <t>Remake from refer</t>
  </si>
  <si>
    <t>Break for wrap 51%</t>
  </si>
  <si>
    <t xml:space="preserve">Dough hard to run </t>
  </si>
  <si>
    <t xml:space="preserve">Water meter would not shut off. </t>
  </si>
  <si>
    <t>Mixer error x 2</t>
  </si>
  <si>
    <t>added sacks due to mixer error</t>
  </si>
  <si>
    <t>multiple jam ups @ zig zag</t>
  </si>
  <si>
    <t>WOD x 3</t>
  </si>
  <si>
    <t>270 Short Thursday sales Prem PL, falling in griddle</t>
  </si>
  <si>
    <t>183 short Prem Sour, falling in griddle</t>
  </si>
  <si>
    <t>Longer sour transfer</t>
  </si>
  <si>
    <t>WOD - Late dough drop</t>
  </si>
  <si>
    <t>Dough jam up in sheeter</t>
  </si>
  <si>
    <t>Mixer error - Remix dough</t>
  </si>
  <si>
    <t>WOD during GV Hots</t>
  </si>
  <si>
    <t>Break for wrap, Flat Packer</t>
  </si>
  <si>
    <t>Clean up wrap, break for them</t>
  </si>
  <si>
    <t>Excess reycle dough</t>
  </si>
  <si>
    <t>Drum Put in Bakwards</t>
  </si>
  <si>
    <t xml:space="preserve">Clam Shells  and Sifter down </t>
  </si>
  <si>
    <t>Dough Jam</t>
  </si>
  <si>
    <t>Broken Wire</t>
  </si>
  <si>
    <t>Bushing/Pin came out</t>
  </si>
  <si>
    <t>Lunch break put in the line</t>
  </si>
  <si>
    <t>WOD (Keto)</t>
  </si>
  <si>
    <t>Break for wrap/ bag in Kwik Loc</t>
  </si>
  <si>
    <t>O4 kicked out x3</t>
  </si>
  <si>
    <t>Cooler down, take away belt</t>
  </si>
  <si>
    <t>Kwik Loc down</t>
  </si>
  <si>
    <t>wrap behind, muffins to work back in; muffin in Kwik Loc</t>
  </si>
  <si>
    <t>small dough's, WOD</t>
  </si>
  <si>
    <t>Splitter not working</t>
  </si>
  <si>
    <t>WOD during long run of Keto</t>
  </si>
  <si>
    <t>dough jams in day feeder on Agave, stiff dough</t>
  </si>
  <si>
    <t>100#'s extra CRW in sponge, couldn’t fix….Remake</t>
  </si>
  <si>
    <t>Stiff GV Hot's, issues running at KRD's</t>
  </si>
  <si>
    <t xml:space="preserve">pan jams on DP </t>
  </si>
  <si>
    <t>mixer didn’t have liuid butter, had to go to basement</t>
  </si>
  <si>
    <t>remake 2 dough's 4.25RR, one no sugar, other no salt</t>
  </si>
  <si>
    <t>remake 2 dough's GV Hot's, both stiff</t>
  </si>
  <si>
    <t>dough stuck in hopper</t>
  </si>
  <si>
    <t>no sugar in dough</t>
  </si>
  <si>
    <t>cross spitter down, remake</t>
  </si>
  <si>
    <t>dough jam @ zig zag</t>
  </si>
  <si>
    <t>added 1 sack of dough to WW</t>
  </si>
  <si>
    <t>reject kicking too many muffins out</t>
  </si>
  <si>
    <t>remake 30 cases</t>
  </si>
  <si>
    <t>jam up on zig zag</t>
  </si>
  <si>
    <t>broken bolt</t>
  </si>
  <si>
    <t>ran out of pans</t>
  </si>
  <si>
    <t>Dough stuck in hopper</t>
  </si>
  <si>
    <t>agave 24 grain</t>
  </si>
  <si>
    <t>going into keto from seeds</t>
  </si>
  <si>
    <t>chunker turned off</t>
  </si>
  <si>
    <t>remake on 4in BV</t>
  </si>
  <si>
    <t>deep pans</t>
  </si>
  <si>
    <t>4.5 cutter down</t>
  </si>
  <si>
    <t>5in pans</t>
  </si>
  <si>
    <t>CONTROL wire out, reboot</t>
  </si>
  <si>
    <t>WOD during sour make up</t>
  </si>
  <si>
    <t>WOD during Keto</t>
  </si>
  <si>
    <t>stiff Agave dough's, many jams</t>
  </si>
  <si>
    <t>EXCESS sour tranfer time</t>
  </si>
  <si>
    <t>mixer wasn’t started</t>
  </si>
  <si>
    <t>NKRD moulder belt shut off</t>
  </si>
  <si>
    <t>couldn't draw flour, bridged</t>
  </si>
  <si>
    <t xml:space="preserve">jam up on zig zags, </t>
  </si>
  <si>
    <t>break for wrap, rework muffins</t>
  </si>
  <si>
    <t>knife not cutting paper</t>
  </si>
  <si>
    <t>NO PANS</t>
  </si>
  <si>
    <t>Slow proof on Sprouted</t>
  </si>
  <si>
    <t>Down to 1 mixer, #2 down, no high speed</t>
  </si>
  <si>
    <t>Foreman didn’t notify wrap to switch to 6pk, remake Sour</t>
  </si>
  <si>
    <t>Bucky dough's causing jams &amp; doubles</t>
  </si>
  <si>
    <t>no pans x 2</t>
  </si>
  <si>
    <t>2nd lost a dough and never replaced it, added sacks remake</t>
  </si>
  <si>
    <t>Dividown x2</t>
  </si>
  <si>
    <t xml:space="preserve">Dough Jam at sheeter </t>
  </si>
  <si>
    <t>Mixer off on Sponges</t>
  </si>
  <si>
    <t>Ran Extra Dough</t>
  </si>
  <si>
    <t>Mixer error had to be fixed. Double yeast</t>
  </si>
  <si>
    <t xml:space="preserve">KRD Down on one side. </t>
  </si>
  <si>
    <t xml:space="preserve">multiple pan Jams </t>
  </si>
  <si>
    <t>No Power</t>
  </si>
  <si>
    <t>Mixer down</t>
  </si>
  <si>
    <t>last 4 doughs were small in sack size</t>
  </si>
  <si>
    <t>mixer lates / Keto</t>
  </si>
  <si>
    <t>Late on first dough of Non Gmo</t>
  </si>
  <si>
    <t>Recycle Dough throughout the day</t>
  </si>
  <si>
    <t xml:space="preserve">Line link </t>
  </si>
  <si>
    <t>Re work dough</t>
  </si>
  <si>
    <t>Extra changeover for wrap</t>
  </si>
  <si>
    <t xml:space="preserve">Long proof on Keto </t>
  </si>
  <si>
    <t xml:space="preserve">Long mix time </t>
  </si>
  <si>
    <t>Remake Sprouted, sough fell</t>
  </si>
  <si>
    <t>broken air line on hopper door</t>
  </si>
  <si>
    <t>Mixer error, no salt in dough</t>
  </si>
  <si>
    <t>Late on the salt drops</t>
  </si>
  <si>
    <t>WOD x 2, small dough's</t>
  </si>
  <si>
    <t>break for Sprouted, slow proof</t>
  </si>
  <si>
    <t>remake 2 dough of sour, mixer errors</t>
  </si>
  <si>
    <t>remake 916 WW from Thursday sales + C/O's</t>
  </si>
  <si>
    <t>Employee left after break, said he couldn’t stay OT</t>
  </si>
  <si>
    <t>bad sprocket @ table top roller bed</t>
  </si>
  <si>
    <t>slow proof on 24GR, delayed sour tranfer</t>
  </si>
  <si>
    <t>long mix ime on Keto, WOD x 8</t>
  </si>
  <si>
    <t xml:space="preserve">small dough's on Carl's Jr., WOD </t>
  </si>
  <si>
    <t>Pan jams at unstacker &amp; R20 x 2</t>
  </si>
  <si>
    <t>operator split the RR 4.25 Sesame</t>
  </si>
  <si>
    <t>change over</t>
  </si>
  <si>
    <t>Tromp Down</t>
  </si>
  <si>
    <t>mixer lates</t>
  </si>
  <si>
    <t>Shut power off on mixer</t>
  </si>
  <si>
    <t>Mixer late x2</t>
  </si>
  <si>
    <t>Pan jam at Grouper</t>
  </si>
  <si>
    <t>Dough jam</t>
  </si>
  <si>
    <t>Dough add</t>
  </si>
  <si>
    <t>Mixer 1&amp;4 down due to no power and a bad safety</t>
  </si>
  <si>
    <t>Mixer loss Power</t>
  </si>
  <si>
    <t>Proof box would not heat up</t>
  </si>
  <si>
    <t xml:space="preserve">Cooler jam up. </t>
  </si>
  <si>
    <t>Power Glitch</t>
  </si>
  <si>
    <t>Jam at grouper</t>
  </si>
  <si>
    <t>Waiting on sour</t>
  </si>
  <si>
    <t>Mixer Error</t>
  </si>
  <si>
    <t>Replace Meter</t>
  </si>
  <si>
    <t>Outdoor rolls flat</t>
  </si>
  <si>
    <t>Remake wrap issues</t>
  </si>
  <si>
    <t>Replace gear box</t>
  </si>
  <si>
    <t xml:space="preserve">Stiff Dough/ Jam ups in day feeder </t>
  </si>
  <si>
    <t>Jam up on Zig zag board</t>
  </si>
  <si>
    <t>Mixer lates x3</t>
  </si>
  <si>
    <t xml:space="preserve">Kicked out. </t>
  </si>
  <si>
    <t>Cutter stick up</t>
  </si>
  <si>
    <t>Bent Loop/ Safety</t>
  </si>
  <si>
    <t>Dough jam at day feeder</t>
  </si>
  <si>
    <t>Mixer late x3</t>
  </si>
  <si>
    <t>Back end going down</t>
  </si>
  <si>
    <t>Remake from 1st</t>
  </si>
  <si>
    <t>swing</t>
  </si>
  <si>
    <t>left the excess steam from the test from night before</t>
  </si>
  <si>
    <t>3x</t>
  </si>
  <si>
    <t>Issues with mix inconsistency</t>
  </si>
  <si>
    <t>remake on white</t>
  </si>
  <si>
    <t>Issues with Non-gmo's</t>
  </si>
  <si>
    <t xml:space="preserve">Flour system Down </t>
  </si>
  <si>
    <t xml:space="preserve">Stacker Down </t>
  </si>
  <si>
    <t>Flour gate fell off</t>
  </si>
  <si>
    <t xml:space="preserve">MCR Button issues </t>
  </si>
  <si>
    <t xml:space="preserve">Jam up </t>
  </si>
  <si>
    <t>South KRD Down</t>
  </si>
  <si>
    <t xml:space="preserve">Loading issues. </t>
  </si>
  <si>
    <t>injury on the line</t>
  </si>
  <si>
    <t>Pan line issues</t>
  </si>
  <si>
    <t>Mix adjustments</t>
  </si>
  <si>
    <t>break for wrap</t>
  </si>
  <si>
    <t xml:space="preserve">Mixer Late </t>
  </si>
  <si>
    <t>Scrap dough</t>
  </si>
  <si>
    <t xml:space="preserve">Cooler down </t>
  </si>
  <si>
    <t>Loose hose glazer</t>
  </si>
  <si>
    <t>Dough jams throughout the day</t>
  </si>
  <si>
    <t>Waiting on 24GR, slow</t>
  </si>
  <si>
    <t>WOD on Keto</t>
  </si>
  <si>
    <t>No Org. Sour C/O scheduled</t>
  </si>
  <si>
    <t>divider operator too slow</t>
  </si>
  <si>
    <t>Pan jammed in loading bar, burnt buns</t>
  </si>
  <si>
    <t>1st shift mixer too far ahead on mixes</t>
  </si>
  <si>
    <t>Foreman error on mix, repair</t>
  </si>
  <si>
    <t xml:space="preserve">Oven not up to temp. </t>
  </si>
  <si>
    <t>Dough Jam at stamper</t>
  </si>
  <si>
    <t>Broken Loop in cooler</t>
  </si>
  <si>
    <t>Break for engineering to fix cooler</t>
  </si>
  <si>
    <t>Dough rebuild from cooler issue</t>
  </si>
  <si>
    <t xml:space="preserve">Remake from cooler being down </t>
  </si>
  <si>
    <t>Mixer error/ Double Salt</t>
  </si>
  <si>
    <t xml:space="preserve">Late Start Elevator Door open </t>
  </si>
  <si>
    <t xml:space="preserve">Dough jam </t>
  </si>
  <si>
    <t>Oven unloader/Broken wire</t>
  </si>
  <si>
    <t>Oven Unloader</t>
  </si>
  <si>
    <t>Pan jam R-20</t>
  </si>
  <si>
    <t>Remake/Oven unloader</t>
  </si>
  <si>
    <t xml:space="preserve">WOD </t>
  </si>
  <si>
    <t>bad door seal</t>
  </si>
  <si>
    <t>Jam at R20</t>
  </si>
  <si>
    <t xml:space="preserve">Bad bearing on feed screw, chain too long. </t>
  </si>
  <si>
    <t>pan line wouldn’t start, loose wire</t>
  </si>
  <si>
    <t>Jam @ zig zag</t>
  </si>
  <si>
    <t>Long mix time WOD x 3</t>
  </si>
  <si>
    <t>pan jams @ stacker</t>
  </si>
  <si>
    <t>WOD, mixer error</t>
  </si>
  <si>
    <t>WOD x 5, long mix times</t>
  </si>
  <si>
    <t>wrong set up on 10pk</t>
  </si>
  <si>
    <t>remake 606 packages sour / Friday sales</t>
  </si>
  <si>
    <t>excess rewraps on WW</t>
  </si>
  <si>
    <t>pan jams @ grouper</t>
  </si>
  <si>
    <t>WOD, small dough's</t>
  </si>
  <si>
    <t>WOD - long mix</t>
  </si>
  <si>
    <t>Loader out of time</t>
  </si>
  <si>
    <t>Dough jams</t>
  </si>
  <si>
    <t>Mixer error</t>
  </si>
  <si>
    <t>Rework dough</t>
  </si>
  <si>
    <t>Stacker motor overload</t>
  </si>
  <si>
    <t>Jam up grouper</t>
  </si>
  <si>
    <t>Work product back in</t>
  </si>
  <si>
    <t>Lost time WW</t>
  </si>
  <si>
    <t>Outfeed belt down</t>
  </si>
  <si>
    <t>slow proof on Sprouted</t>
  </si>
  <si>
    <t>Foreman Day shift cut a white dough that was needed</t>
  </si>
  <si>
    <t>Broken shaft, remake 4" BV</t>
  </si>
  <si>
    <t>Broken shaft, remake 5" BK</t>
  </si>
  <si>
    <t>Broken shaft, remake 4.5" Carl's</t>
  </si>
  <si>
    <t>Ran out of dough</t>
  </si>
  <si>
    <t>dough on probe, WOD</t>
  </si>
  <si>
    <t>Remake 459 10pk from day shift</t>
  </si>
  <si>
    <t>dough jams x 2</t>
  </si>
  <si>
    <t>WW drawing slow and stops drawing, have to restart</t>
  </si>
  <si>
    <t>issues running the NGMO White</t>
  </si>
  <si>
    <t>Short handed, call outs from winter storm</t>
  </si>
  <si>
    <t>Short bodies to winter storm</t>
  </si>
  <si>
    <t>WOD, small dough's on Raisin</t>
  </si>
  <si>
    <t>Grinding noise in divider</t>
  </si>
  <si>
    <t>could not draw Organic flour</t>
  </si>
  <si>
    <t>Slow proof on Sprouted &amp; 24GR</t>
  </si>
  <si>
    <t>Adamatic stamper down</t>
  </si>
  <si>
    <t>dough jam @ drum x 3</t>
  </si>
  <si>
    <t>vertical belt unplugged</t>
  </si>
  <si>
    <t>pan jams x 2</t>
  </si>
  <si>
    <t>blown fuse, NPOM stamper</t>
  </si>
  <si>
    <t>C6 &amp; C7 repair</t>
  </si>
  <si>
    <t>Oven loader jammed</t>
  </si>
  <si>
    <t>product gate down</t>
  </si>
  <si>
    <t>says there was a jam up in griddle???</t>
  </si>
  <si>
    <t>Prem PL wet, jams @ zig zag</t>
  </si>
  <si>
    <t>clearing griddle of Prem. PL, stuck in griddle</t>
  </si>
  <si>
    <t>pan jam @ grouper</t>
  </si>
  <si>
    <t>oven loader down x 2 + repair</t>
  </si>
  <si>
    <t>not enough dough for order on Kirkland</t>
  </si>
  <si>
    <t>lost K-Way in C4 motor</t>
  </si>
  <si>
    <t>Refer not working</t>
  </si>
  <si>
    <t>Indexing forks down</t>
  </si>
  <si>
    <t>Dough Jams</t>
  </si>
  <si>
    <t>C-4 down</t>
  </si>
  <si>
    <t>C17 +18 down</t>
  </si>
  <si>
    <t>Pan Conveyor before stacker tripping in panel</t>
  </si>
  <si>
    <t>Dough jam/coney board</t>
  </si>
  <si>
    <t>Remake/buns jammed in flights</t>
  </si>
  <si>
    <t>WOD on 20oz Org. White</t>
  </si>
  <si>
    <t>Mixer 4 down</t>
  </si>
  <si>
    <t>WOD on Agave</t>
  </si>
  <si>
    <t>No pans</t>
  </si>
  <si>
    <t>Mixer didn’t start when button pushed</t>
  </si>
  <si>
    <t>Wrap a mess, had to clean up</t>
  </si>
  <si>
    <t xml:space="preserve">Explanation of cause </t>
  </si>
  <si>
    <t>Solution</t>
  </si>
  <si>
    <t>Timeline</t>
  </si>
  <si>
    <t>box machine #4 not printing labels or forming boxes</t>
  </si>
  <si>
    <t>WOD on Org. +17; WOD on Keto +13</t>
  </si>
  <si>
    <t>Employee messed up dough, tried to fix himself</t>
  </si>
  <si>
    <t>no ingredients for NGMO dough's</t>
  </si>
  <si>
    <t>Recut from issues with drum</t>
  </si>
  <si>
    <t>Put in break</t>
  </si>
  <si>
    <t>Pan Jams</t>
  </si>
  <si>
    <t>Eye out of alignment/Chunker</t>
  </si>
  <si>
    <t>Dough Jam/Coney boards</t>
  </si>
  <si>
    <t>Using #2 so bread could use #1 because #3 was down</t>
  </si>
  <si>
    <t>Remake because mixer was down</t>
  </si>
  <si>
    <t>mixer error, mixer shut off and Foreman didn't notice</t>
  </si>
  <si>
    <t>rod loose in griddle</t>
  </si>
  <si>
    <t>repairing two doughs that were messed up</t>
  </si>
  <si>
    <t>repairing a dough</t>
  </si>
  <si>
    <t>scaper causing issues with dough on drum</t>
  </si>
  <si>
    <t>timing issues with stamper</t>
  </si>
  <si>
    <t>PB for Keto</t>
  </si>
  <si>
    <t>break for oven, turbine off</t>
  </si>
  <si>
    <t>WOD on Sour x 2</t>
  </si>
  <si>
    <t xml:space="preserve">WOD on Org. Sour </t>
  </si>
  <si>
    <t>Bad kicker roller</t>
  </si>
  <si>
    <t>adjust divder head</t>
  </si>
  <si>
    <t>No reason given for remake</t>
  </si>
  <si>
    <t>WOD on Org White</t>
  </si>
  <si>
    <t>Slow proof on Org. White</t>
  </si>
  <si>
    <t>tight Org doughs, 24GR &amp; Agave</t>
  </si>
  <si>
    <t>Supervisor locked swing arm, broke shear pin on griddle. Had a bad dough in proofer</t>
  </si>
  <si>
    <t>Remake sour from 3rd shift</t>
  </si>
  <si>
    <t>New formula card incorrect on H2O for Prem. Sour</t>
  </si>
  <si>
    <t xml:space="preserve">Dough jams </t>
  </si>
  <si>
    <t>Divider down</t>
  </si>
  <si>
    <t>Cooler down</t>
  </si>
  <si>
    <t>Unstacker jam</t>
  </si>
  <si>
    <t>Yeast system not turned on after cleaning</t>
  </si>
  <si>
    <t>Pan stacker/motor overload</t>
  </si>
  <si>
    <t>Vemag/loose nozzle</t>
  </si>
  <si>
    <t>Late Start</t>
  </si>
  <si>
    <t>Raisin bag mixed in dough</t>
  </si>
  <si>
    <t>Dough jam/Zig zag</t>
  </si>
  <si>
    <t>wet pub dough, wouldn’t run</t>
  </si>
  <si>
    <t>dough sticking to roller / bad roller</t>
  </si>
  <si>
    <t xml:space="preserve">remake CVR from contamination </t>
  </si>
  <si>
    <t>WOD on Sprouted</t>
  </si>
  <si>
    <t>bad roller, recut dough</t>
  </si>
  <si>
    <t>Org sour transfer time too short</t>
  </si>
  <si>
    <t>bucket conveyor down</t>
  </si>
  <si>
    <t>jam at zig zag</t>
  </si>
  <si>
    <t>jam at zig zag x 2</t>
  </si>
  <si>
    <t>dough jam</t>
  </si>
  <si>
    <t>PL White running bad</t>
  </si>
  <si>
    <t>ran out of dough</t>
  </si>
  <si>
    <t>WW Flour tank bridged</t>
  </si>
  <si>
    <t>Mixer 4 down, Software glitch</t>
  </si>
  <si>
    <t>Update Program</t>
  </si>
  <si>
    <t>PLC frozen, Major fault caused by changing the glycol timer while timer was counting. New time was less than elapsed time causing a negative value which faulted the PLC. Shaffer was unable to duplicate the fault.</t>
  </si>
  <si>
    <t>3mo</t>
  </si>
  <si>
    <t>replace the gearbox</t>
  </si>
  <si>
    <t>Mixer # 3 door gearbox mounting ear broke off ripping a chunk of the case with it causing the oil to leak out. The gearbox is ancient and probably has had stress cracks in it for years until it finally gave out.</t>
  </si>
  <si>
    <t>done</t>
  </si>
  <si>
    <t>bad dough mix stuck to everything in the divider gumming it all up, the roller is a bad design from the factory</t>
  </si>
  <si>
    <t>replace roller with knife</t>
  </si>
  <si>
    <t>roller cutter is a terrible design, easily gumming up and malfunctioning</t>
  </si>
  <si>
    <t>Replace roller with a cutter</t>
  </si>
  <si>
    <t>roller cutter is a terrible design, easily gumming up and malfunctioning, the timing was fine, but the divider was providing the stamper with bad dough balls</t>
  </si>
  <si>
    <t>Fork assembly broke, bushings are worn badly</t>
  </si>
  <si>
    <t>replace fork assembly</t>
  </si>
  <si>
    <t>Spring conveyor shaft broke</t>
  </si>
  <si>
    <t>replace shaft</t>
  </si>
  <si>
    <t>Oven Down</t>
  </si>
  <si>
    <t>Long sour bake off</t>
  </si>
  <si>
    <t>Muffin jam in cooler</t>
  </si>
  <si>
    <t>Broken belt coming out of oven</t>
  </si>
  <si>
    <t>Dough jams and doubles</t>
  </si>
  <si>
    <t>PB, Box cold</t>
  </si>
  <si>
    <t>C/O time for Sour makeup</t>
  </si>
  <si>
    <t>down</t>
  </si>
  <si>
    <t>dough jam in Winkler</t>
  </si>
  <si>
    <t>clean out hangers</t>
  </si>
  <si>
    <t>bad Outdoor, had to remake</t>
  </si>
  <si>
    <t xml:space="preserve">Foreman added 1 sack on WW by "mistake" </t>
  </si>
  <si>
    <t>white undermixed, running bad</t>
  </si>
  <si>
    <t>doughs jams on NGMO WW, undermixed</t>
  </si>
  <si>
    <t>WOD on WW</t>
  </si>
  <si>
    <t>paddles jammed up</t>
  </si>
  <si>
    <t xml:space="preserve">ran out of cream yeast, had to convert to dry, issues with conversion being incorret </t>
  </si>
  <si>
    <t xml:space="preserve">remake doughs from bad yeast conversion </t>
  </si>
  <si>
    <t>H2O meter issues</t>
  </si>
  <si>
    <t>doughs jams on NGMO WW, too wet</t>
  </si>
  <si>
    <t>WOD x 4</t>
  </si>
  <si>
    <t xml:space="preserve">ran out of cream yeast, had to convert to dry, </t>
  </si>
  <si>
    <t>fix frayed belt</t>
  </si>
  <si>
    <t>replace solinoid on SPOM clam shells</t>
  </si>
  <si>
    <t>remake all Coney's, yeast conversion issues. Ran out of cream yeast</t>
  </si>
  <si>
    <t>Power glitch</t>
  </si>
  <si>
    <t>stop to cleanout dough buildup</t>
  </si>
  <si>
    <t>Knife modification did not work, dough buildup on backside of knife. Went back to the roller</t>
  </si>
  <si>
    <t>WODx3 long mix Wendys 3.6</t>
  </si>
  <si>
    <t>WOD 5"BK - missing flour, added late</t>
  </si>
  <si>
    <t>not enough Coney doug added for amount of shortage, still 3,000 short</t>
  </si>
  <si>
    <t>Stamper down</t>
  </si>
  <si>
    <t xml:space="preserve">Scrap from kicker roller </t>
  </si>
  <si>
    <t>Pan jam x3</t>
  </si>
  <si>
    <t>Trouble at day feeder</t>
  </si>
  <si>
    <t>Spray hose for mixer broke/ long C/O</t>
  </si>
  <si>
    <t xml:space="preserve">Belt wouldn’t run </t>
  </si>
  <si>
    <t>Jam up at Zig zag board.</t>
  </si>
  <si>
    <t xml:space="preserve">Rework Dough </t>
  </si>
  <si>
    <t>Tromp elevator down</t>
  </si>
  <si>
    <t>P Conveyors down</t>
  </si>
  <si>
    <t>Dough stuck in chute</t>
  </si>
  <si>
    <t xml:space="preserve">Lost time at the divider.. Divider op. </t>
  </si>
  <si>
    <t>dough mixer</t>
  </si>
  <si>
    <t>waiting on dough</t>
  </si>
  <si>
    <t>did not start mixer</t>
  </si>
  <si>
    <t>break in line to clean griddle</t>
  </si>
  <si>
    <t>jog button not working</t>
  </si>
  <si>
    <t>remake of white dough</t>
  </si>
  <si>
    <t>Drum jamming up</t>
  </si>
  <si>
    <t>Remake outdoor</t>
  </si>
  <si>
    <t>Clean mixer at startup</t>
  </si>
  <si>
    <t>Pan jams</t>
  </si>
  <si>
    <t>water sprayer off, no seeds (Arbys deep)</t>
  </si>
  <si>
    <t>Stamper out of time twice</t>
  </si>
  <si>
    <t>Pan jams X2</t>
  </si>
  <si>
    <t>Can't draw yeast</t>
  </si>
  <si>
    <t>Bagger down</t>
  </si>
  <si>
    <t>Remake Outdoor</t>
  </si>
  <si>
    <t>Dough Stuck in chute</t>
  </si>
  <si>
    <t>Dough jams at dayfeeder</t>
  </si>
  <si>
    <t>Bagger and Yeast system down</t>
  </si>
  <si>
    <t>Rework product</t>
  </si>
  <si>
    <t>WOD, WW flour drawing slow</t>
  </si>
  <si>
    <t>jam @ divider</t>
  </si>
  <si>
    <t>WOD, small doughs</t>
  </si>
  <si>
    <t>Jam @ divider</t>
  </si>
  <si>
    <t>mixer 4 down</t>
  </si>
  <si>
    <t>box not turned on correctly, too cold</t>
  </si>
  <si>
    <t>dough jams @ stamper</t>
  </si>
  <si>
    <t>Yeast System stuck in step 5 on CIP. We suspect it's possible a bad check valve could have caused it, we did find a back check on the pump and replaced it. Hasn't happened since, but we need to keep a close eye on it.</t>
  </si>
  <si>
    <t>Out of timing somehow. Appears to have jumped the overhead drive chain by about 3 teeth. Re-timed it.</t>
  </si>
  <si>
    <t>See line 854</t>
  </si>
  <si>
    <t>Adamatic…. Made multiple adjustments</t>
  </si>
  <si>
    <t>Mixer Late</t>
  </si>
  <si>
    <t>Unaccounted for DT</t>
  </si>
  <si>
    <t>stamper &amp; OH down x 3</t>
  </si>
  <si>
    <t>remake / wrap issues Thursday sales</t>
  </si>
  <si>
    <t>remake from Thursday sales</t>
  </si>
  <si>
    <t>recut from excess scrap</t>
  </si>
  <si>
    <t>replace cups in Winkler</t>
  </si>
  <si>
    <t>repair dough from Winkler down</t>
  </si>
  <si>
    <t>oven down</t>
  </si>
  <si>
    <t xml:space="preserve">stiff doughs </t>
  </si>
  <si>
    <t>WOD on 24GR</t>
  </si>
  <si>
    <t xml:space="preserve">WOD on Keto </t>
  </si>
  <si>
    <t>remake 884 Wendy's 3.6</t>
  </si>
  <si>
    <t>remake due to bad dough</t>
  </si>
  <si>
    <t>remake 4.5" Carl's GLZ, broken brake cylinder for seal bar</t>
  </si>
  <si>
    <t>Stamper down X3</t>
  </si>
  <si>
    <t>Belt down</t>
  </si>
  <si>
    <t>Run 1 KRD/No box help</t>
  </si>
  <si>
    <t>Not enough raisins bagged up</t>
  </si>
  <si>
    <t>Remake hots from chunker being down</t>
  </si>
  <si>
    <t>Break for kwic loc</t>
  </si>
  <si>
    <t>ice jacket off</t>
  </si>
  <si>
    <t>small doughs WOD</t>
  </si>
  <si>
    <t>WOD on White</t>
  </si>
  <si>
    <t>White slow in box</t>
  </si>
  <si>
    <t>no pans</t>
  </si>
  <si>
    <t>No vinegar in shop</t>
  </si>
  <si>
    <t>Remake from moulder down</t>
  </si>
  <si>
    <t xml:space="preserve">Stamper kept loosing power, Found a number of dirty and intermittently failing contacts. Also traced a few wires that had internal breaks in them intermittently loosing conductivity. </t>
  </si>
  <si>
    <t>Found intermittently failing contacts in the stop button, took a while to diagnose…</t>
  </si>
  <si>
    <t>moulder belt down (Day Feeder)</t>
  </si>
  <si>
    <t>The Day feeder motor failed. When the motor failed it blew up the controller and blew the fuse in the main electrical controls enclosure. We initially found the blown fuse and traced it back to the day feeder. We replaced the fuse, and checked the controller and founf the controller had failed. We thought this is what blew the fuse in the main enclosure. We found another (used) controller and tried it with no sucess. We found another known good controller, verified the output and installed it (no success). It was at this point we pulled the brushes on the motor and found oil on them. The motor/gearbox shaft seal had failed filling the motor with oil, thus killing the motor, and the controller. After replacing the motor, controller, and fuses we limped it to life. We will swap this setup for a AC motor and VFD (parts ordered)</t>
  </si>
  <si>
    <t>Jam up at Day feeder</t>
  </si>
  <si>
    <t>Sifter not working</t>
  </si>
  <si>
    <t>Motor burned out</t>
  </si>
  <si>
    <t>bad motor</t>
  </si>
  <si>
    <t>running slow (on one side due to chunker down)</t>
  </si>
  <si>
    <t>pan jam at stacker</t>
  </si>
  <si>
    <t>flour sifter plugged up</t>
  </si>
  <si>
    <t>stacker and timing issues</t>
  </si>
  <si>
    <t>small doughs, WOD</t>
  </si>
  <si>
    <t>lost program at start up Thursday sales</t>
  </si>
  <si>
    <t>Agave stiff, stuck in chute</t>
  </si>
  <si>
    <t>slowed line down for 12pk cases. First Street bags bad</t>
  </si>
  <si>
    <t>running 3.6 Webdy's @ 55ppm, Nav shows 60ppm</t>
  </si>
  <si>
    <t>broken belt on pan line</t>
  </si>
  <si>
    <t>Discharge eye out of alignment</t>
  </si>
  <si>
    <t>Tromp down</t>
  </si>
  <si>
    <t>Not enough people for cases/Run I KRD</t>
  </si>
  <si>
    <t>Dough jams/Day feeder</t>
  </si>
  <si>
    <t>No ingredients set up</t>
  </si>
  <si>
    <t>Water meter malfunction</t>
  </si>
  <si>
    <t>Pan jam/Stacker</t>
  </si>
  <si>
    <t>No yeast in 4 1/2" ses</t>
  </si>
  <si>
    <t>Indexer buried/Remake 5" BK</t>
  </si>
  <si>
    <t>Indexer buried/Remake 4" Plain</t>
  </si>
  <si>
    <t>Oven Behind</t>
  </si>
  <si>
    <t>Jam ups at Dayfeeder</t>
  </si>
  <si>
    <t>ran 5" BK at 47cpm</t>
  </si>
  <si>
    <t>WOD on White, slowed divider to 54cpm</t>
  </si>
  <si>
    <t>bagger down, bad encoder</t>
  </si>
  <si>
    <t>depanner down. Electrical issue</t>
  </si>
  <si>
    <t>repair depanner</t>
  </si>
  <si>
    <t xml:space="preserve">contamination </t>
  </si>
  <si>
    <t>Mixer error on Blue Berry Streusel</t>
  </si>
  <si>
    <t xml:space="preserve">Widget issues </t>
  </si>
  <si>
    <t>WOD, also ran divider at 54cpm</t>
  </si>
  <si>
    <t xml:space="preserve">Repair Widget </t>
  </si>
  <si>
    <t>bake incorrect, no 4.5" Pan, still at glazer</t>
  </si>
  <si>
    <t>splitting doughs in 2 due to incorrect bake</t>
  </si>
  <si>
    <t>chunker belt slipping &amp; had blown fuse</t>
  </si>
  <si>
    <t>jam @ zig zag</t>
  </si>
  <si>
    <t>Tromp down, low rack</t>
  </si>
  <si>
    <t>oven lost power</t>
  </si>
  <si>
    <t>dough recycle from oven issues</t>
  </si>
  <si>
    <t>remake CRNSPLT 4.5" from oven issues</t>
  </si>
  <si>
    <t>remake 4.5" CRNKSR from oven issues</t>
  </si>
  <si>
    <t>pan conveyors down x 2</t>
  </si>
  <si>
    <t>remake 4" JIBSPLT, wrap issues</t>
  </si>
  <si>
    <t>remake 4" JIB, wrap issues</t>
  </si>
  <si>
    <t>remake 4" RR Brioche, wrap issues</t>
  </si>
  <si>
    <t xml:space="preserve">remake 4.25 AN, wrong yeast put in, </t>
  </si>
  <si>
    <t>safety wire tripped, reset</t>
  </si>
  <si>
    <t>small doughs, cannot keep up</t>
  </si>
  <si>
    <t xml:space="preserve">moulder belt down     </t>
  </si>
  <si>
    <t>lost scaling</t>
  </si>
  <si>
    <t>Running Keto @54.  Nav set for 55</t>
  </si>
  <si>
    <t>Depanner down/Vacuum</t>
  </si>
  <si>
    <t>Bad Fuse</t>
  </si>
  <si>
    <t>Mixer left water out/remix</t>
  </si>
  <si>
    <t>Mix adjustemnt</t>
  </si>
  <si>
    <t>Operator shut off/couldn’t restart</t>
  </si>
  <si>
    <t>Remake 10 pack white</t>
  </si>
  <si>
    <t>Break for wrappers</t>
  </si>
  <si>
    <t>Late starting dough/raisin sticking in griddle</t>
  </si>
  <si>
    <t xml:space="preserve">Reamke 4 1/2" Carl's </t>
  </si>
  <si>
    <t>Reamke 4 1/2" Ses</t>
  </si>
  <si>
    <t>several doug hjams @ divider</t>
  </si>
  <si>
    <t>wrong numbers for dough, too wet</t>
  </si>
  <si>
    <t>dough jam @ stamper x 6</t>
  </si>
  <si>
    <t>retractable belt down</t>
  </si>
  <si>
    <t>Kept adjusted timing to get through the run, found (after considerable diagnostics) that the drive gears for the stacker were off 3 teeth when homed. Reset the gears, but took considerable time to reset all the timing for each product change reflected in the rest of the DT events below</t>
  </si>
  <si>
    <t>Encoder failed. Once replaced the timing needed adjusted and fine tuned. While it was being fixed, also found the index wheel was worn, replaced it.</t>
  </si>
  <si>
    <t>Breaker Panel bus bar blown, panel replacement needed, ran temporary power to keep running via extension cord</t>
  </si>
  <si>
    <t>Disputed, The repair was performed during the sour break, no time or product ws lost.</t>
  </si>
  <si>
    <t>Blown 100A breaker, replaced</t>
  </si>
  <si>
    <t>Oil found in plug and cord, shorted out one leg to ground and single phased motor.</t>
  </si>
  <si>
    <t>New breaker panel was installed, but depanner was landed backwards.</t>
  </si>
  <si>
    <t>Found guard not closed all the way so safety circuit wasn't made.</t>
  </si>
  <si>
    <t>sour sticking in cups</t>
  </si>
  <si>
    <t>issues with scaling  / timing on PL Coney's</t>
  </si>
  <si>
    <t>pan jam R26</t>
  </si>
  <si>
    <t>set up issues on Coney's</t>
  </si>
  <si>
    <t>dough jams @ day feeder</t>
  </si>
  <si>
    <t xml:space="preserve">blown fuse </t>
  </si>
  <si>
    <t xml:space="preserve">WOD x 8, small dough sizes hurt efficiency's </t>
  </si>
  <si>
    <t>seeder plugged up with piece of bag, no seeds on product</t>
  </si>
  <si>
    <t>loose vertical belt</t>
  </si>
  <si>
    <t>short handed in wrap, ran 5" slow</t>
  </si>
  <si>
    <t>WOD X 2</t>
  </si>
  <si>
    <t>repair dough from leak at sponger</t>
  </si>
  <si>
    <t>issues with air cylinder on NPOM</t>
  </si>
  <si>
    <t>pan jam @ PB</t>
  </si>
  <si>
    <t>had to cut sour for the day, wasn’t ready</t>
  </si>
  <si>
    <t>remake 2 doughs of sour, previous run huge</t>
  </si>
  <si>
    <t>Bread sticking in pans, short on help..callouts</t>
  </si>
  <si>
    <t>scaling issues on the Adamatic</t>
  </si>
  <si>
    <t>pan break X 2</t>
  </si>
  <si>
    <t>repair dough, too much H2O</t>
  </si>
  <si>
    <t>dough jams in Winkler</t>
  </si>
  <si>
    <t xml:space="preserve">dough jam @ stamper   </t>
  </si>
  <si>
    <t>clean board &amp; moulder @ Winkler</t>
  </si>
  <si>
    <t>V-Mag assembled wrong by sanitation</t>
  </si>
  <si>
    <t>dough jams under zig zag on Sour</t>
  </si>
  <si>
    <t>Belt slipping, Adjusted</t>
  </si>
  <si>
    <t>Overloaded motor, replaced motor, found it pulling more amps than normal</t>
  </si>
  <si>
    <t>Replaced belt, needed adjusted</t>
  </si>
  <si>
    <t>Dough was very stiff, production doused with oilcausing the stiff chunks to not stick together. Machine was operational</t>
  </si>
  <si>
    <t>issues running Coney's, weak crew, short handed</t>
  </si>
  <si>
    <t>ran 5" BK at 47cpm, no basket washer. Short handed</t>
  </si>
  <si>
    <t>Small doughs, WOD</t>
  </si>
  <si>
    <t>sifter above zig zag not working good, dough jams</t>
  </si>
  <si>
    <t>remake 676 10pk PL, issues at wrap with chute, not mechanical</t>
  </si>
  <si>
    <t>tons of rewraps, issues with muffin going down chute to bucket conveyor</t>
  </si>
  <si>
    <t>lost scaling x 3</t>
  </si>
  <si>
    <t>Issues at divider, dough got old</t>
  </si>
  <si>
    <t>seeder unplugged, kept filling up hopper, drive for mandrel gummed up, remake 4.25 RR Sesame</t>
  </si>
  <si>
    <t>rough start on Coney's</t>
  </si>
  <si>
    <t>small doughs hurt efficiencies</t>
  </si>
  <si>
    <t>Mixer error, had to remix dough</t>
  </si>
  <si>
    <t>dough stickup, lost too much dough resulting remake</t>
  </si>
  <si>
    <t>Vertial belt stopped</t>
  </si>
  <si>
    <t>remake on PL Coneys</t>
  </si>
  <si>
    <t>remake on Prem. Coneys</t>
  </si>
  <si>
    <t>Not scaling</t>
  </si>
  <si>
    <t>Dough jam and pan jam</t>
  </si>
  <si>
    <t>Break to rework muffins</t>
  </si>
  <si>
    <t>Muffins jammed in cooler</t>
  </si>
  <si>
    <t>Long C/O to organic</t>
  </si>
  <si>
    <t>Long proof/Sour</t>
  </si>
  <si>
    <t>Floor time for sour</t>
  </si>
  <si>
    <t>Mixer error/rebuild dough</t>
  </si>
  <si>
    <t>remake 4" BV</t>
  </si>
  <si>
    <t>fresh glazed pans turning</t>
  </si>
  <si>
    <t>repair depanner belt</t>
  </si>
  <si>
    <t>inexperience, difficulty with Coneys</t>
  </si>
  <si>
    <t>Return Valve for refer Turned off</t>
  </si>
  <si>
    <t>Dough jam drum</t>
  </si>
  <si>
    <t>Replace seperator belt</t>
  </si>
  <si>
    <t>Late start on mixer</t>
  </si>
  <si>
    <t xml:space="preserve">Floor time </t>
  </si>
  <si>
    <t>Wrap got running order mixed up</t>
  </si>
  <si>
    <t>Remake 9B indexer Coneys</t>
  </si>
  <si>
    <t>Remake 9B indexer Remake Subs</t>
  </si>
  <si>
    <t>Mixer left refer off</t>
  </si>
  <si>
    <t xml:space="preserve">out of pans </t>
  </si>
  <si>
    <t xml:space="preserve">Tromp Down/ Low rack. </t>
  </si>
  <si>
    <t xml:space="preserve">Pan Jams on 4" deep </t>
  </si>
  <si>
    <t xml:space="preserve">Pan jams on 4" Deep </t>
  </si>
  <si>
    <t>Unstacker Down</t>
  </si>
  <si>
    <t>Doubles at day feeder</t>
  </si>
  <si>
    <t>slowed line down for 12pk</t>
  </si>
  <si>
    <t xml:space="preserve">Break for wrap to rework product. </t>
  </si>
  <si>
    <t>Jam ups</t>
  </si>
  <si>
    <t>Break for wrap</t>
  </si>
  <si>
    <t xml:space="preserve">Coder Jam up/ Missing rod. </t>
  </si>
  <si>
    <t>Wrappers called out/late start</t>
  </si>
  <si>
    <t>Winkler down</t>
  </si>
  <si>
    <t>Slow sour</t>
  </si>
  <si>
    <t>Unloader broke</t>
  </si>
  <si>
    <t>WOD/Swapping vinegar barrels</t>
  </si>
  <si>
    <t>Rework muffins</t>
  </si>
  <si>
    <t>Remakes</t>
  </si>
  <si>
    <t>pan jam at grouper</t>
  </si>
  <si>
    <t>Adamatic Down</t>
  </si>
  <si>
    <t>Multiple Pan jams</t>
  </si>
  <si>
    <t>Pan Stacker  conveyors down</t>
  </si>
  <si>
    <t>Sideways pans at grouper</t>
  </si>
  <si>
    <t xml:space="preserve">Bent pans/ pan jams N/S krd </t>
  </si>
  <si>
    <t>4" deep pans jamming up + buns in pans</t>
  </si>
  <si>
    <t>Rework Product from wrap issues</t>
  </si>
  <si>
    <t>Wrap down</t>
  </si>
  <si>
    <t>Scaling seems to come and go, ongoing diagnosis is needed</t>
  </si>
  <si>
    <t>Sanitation turned the ball valve off, and forgot to turn it back on. Spoke with them about not using the valves.</t>
  </si>
  <si>
    <t>Timing found to be all out of whack, replaced index gate pneumatic actuator, seems to have fixed the issue.</t>
  </si>
  <si>
    <t>Frame on the oven that holds the unloader broke, needed to be jacked up and welded back together. The unloader rake knuckle broke itself because of the broken frame and also needed welded back together.</t>
  </si>
  <si>
    <t>We found no hydraulic pressure, likely caused by an intermittantly failing solenoid valve or coil. We replaced the entire hydraulic system and did a fluid flush, seems to be working very well now. Finally got a good diagnosis and fixed the scaling issue that's been plauging us for weeks.</t>
  </si>
  <si>
    <t>Interlox sprocket and rod worked loose, had to repair, no work around.</t>
  </si>
  <si>
    <t>Ghost voltage causing relay to stay latched, isolated and repaired</t>
  </si>
  <si>
    <t>Remakes from #11 being down</t>
  </si>
  <si>
    <t>Deep pan jams</t>
  </si>
  <si>
    <t>scaling issues</t>
  </si>
  <si>
    <t>Fix pan conveyor</t>
  </si>
  <si>
    <t>Clean hangers out of overhead</t>
  </si>
  <si>
    <t>Pan cleaner down</t>
  </si>
  <si>
    <t>Slow proof/sour</t>
  </si>
  <si>
    <t>Break to clean zig zag board</t>
  </si>
  <si>
    <t>Remale from pan cleaner going down</t>
  </si>
  <si>
    <t>Random printer bent</t>
  </si>
  <si>
    <t>Cooler down/slicer blade broke</t>
  </si>
  <si>
    <t>Divider keeps faulting</t>
  </si>
  <si>
    <t>Mixer error/ Double yeast</t>
  </si>
  <si>
    <t>remake from mixing error</t>
  </si>
  <si>
    <t>Drum clean out after every dough</t>
  </si>
  <si>
    <t>Chunker Belt Slipping.</t>
  </si>
  <si>
    <t>R 26  Slipping</t>
  </si>
  <si>
    <t xml:space="preserve">deep pans skipping at pan stacker. </t>
  </si>
  <si>
    <t xml:space="preserve">Stiff Doughs/ increased mix. </t>
  </si>
  <si>
    <t>Remake from mixer error</t>
  </si>
  <si>
    <t>Dough adds for dough on floor when chunker went down</t>
  </si>
  <si>
    <t>Overhead overheated</t>
  </si>
  <si>
    <t>Oven down</t>
  </si>
  <si>
    <t>3 bad doughs sour</t>
  </si>
  <si>
    <t>Replace door seal</t>
  </si>
  <si>
    <t>Scraper in bowl came apart</t>
  </si>
  <si>
    <t>Dough jam around drum</t>
  </si>
  <si>
    <t>Mixer #1 down</t>
  </si>
  <si>
    <t>Vemag kicking out</t>
  </si>
  <si>
    <t>Oven behind</t>
  </si>
  <si>
    <t>Sponges stuck in chute</t>
  </si>
  <si>
    <t>No vacuum</t>
  </si>
  <si>
    <t>Long mix</t>
  </si>
  <si>
    <t>Reset button not working correctly</t>
  </si>
  <si>
    <t>Remake 5" BK</t>
  </si>
  <si>
    <t>Remake 4" BV</t>
  </si>
  <si>
    <t>Remake 4" PL</t>
  </si>
  <si>
    <t>stop to pull hangers out of overhead</t>
  </si>
  <si>
    <t>Repair lower gate</t>
  </si>
  <si>
    <t>Main Processor failed, network malfunctioned EIP error</t>
  </si>
  <si>
    <t>Motor/Gearbox coupling failed, sheared bolt and started shredding the "tire" on the guard. Removed broken bolt and got it running, Will install fresh coupling on down day.</t>
  </si>
  <si>
    <t>VFD cooling fan failed, VFD overheated. Also found a sticking relay that looks like it had water intrusion</t>
  </si>
  <si>
    <t>Found operators had the infeed drive cranked to maximum causing the system to overheat, Was set to 5, should run closer to 1.</t>
  </si>
  <si>
    <t>Combination of inconsistent doughs and oil use. We did increase hydraulic pressure to 1200 psi and seemed to handle the bad dough better</t>
  </si>
  <si>
    <t xml:space="preserve">Combination of inconsistent doughs and oil use. </t>
  </si>
  <si>
    <t>Dough wrapped around drum</t>
  </si>
  <si>
    <t>Slow changeover</t>
  </si>
  <si>
    <t>Remakes from 2nd wrap</t>
  </si>
  <si>
    <t>Trough handle broke/went down chute into screws</t>
  </si>
  <si>
    <t>Broken airline</t>
  </si>
  <si>
    <t>Adamatic divider kept kicking out</t>
  </si>
  <si>
    <t>Problems with pan sensor</t>
  </si>
  <si>
    <t>Longer process time for larger dough</t>
  </si>
  <si>
    <t>Break to rework muffins/kwic loc down</t>
  </si>
  <si>
    <t>Remake split JIB/Glazer stopped working</t>
  </si>
  <si>
    <t>Break/rework muffins/flat packer down</t>
  </si>
  <si>
    <t>Mixer forgot to start mixer before getting ice</t>
  </si>
  <si>
    <t>Issues with touchscreen</t>
  </si>
  <si>
    <t>Bag Inflate was weak, made some adjustments, but did not seem to help. Manually actuated all valves, and confirmed supply pressure. Ended up power cycling and for no good reason it started working fine. It's a bit of a mystery.</t>
  </si>
  <si>
    <t>Dough stick ups</t>
  </si>
  <si>
    <t>Scaled at wrong weight</t>
  </si>
  <si>
    <t>Remake 52 cases</t>
  </si>
  <si>
    <t>Replace touchscreen</t>
  </si>
  <si>
    <t>wrong scaling weight (2 doughs remake)</t>
  </si>
  <si>
    <t>New operator</t>
  </si>
  <si>
    <t>Remake on 4.5 Ses</t>
  </si>
  <si>
    <t>Glaze unit down (bad fuse)</t>
  </si>
  <si>
    <t>Index belt down</t>
  </si>
  <si>
    <t>Double eliminator jam</t>
  </si>
  <si>
    <t>Broken belt</t>
  </si>
  <si>
    <t>Oven discharge down</t>
  </si>
  <si>
    <t>Break to rework rolls</t>
  </si>
  <si>
    <t>Hangers</t>
  </si>
  <si>
    <t>Divider problems</t>
  </si>
  <si>
    <t>Long mix/Keto</t>
  </si>
  <si>
    <t>Remake/dough jams</t>
  </si>
  <si>
    <t>Broken wire in panel</t>
  </si>
  <si>
    <t>Conveyor jam</t>
  </si>
  <si>
    <t>Extra scrap</t>
  </si>
  <si>
    <t>Oven Fire</t>
  </si>
  <si>
    <t>Replace motor</t>
  </si>
  <si>
    <t>Dough jams/day feeder</t>
  </si>
  <si>
    <t>Pan indexer broke</t>
  </si>
  <si>
    <t>Motor burned up</t>
  </si>
  <si>
    <t>New operator/long changeovers</t>
  </si>
  <si>
    <t>Cooler tripped</t>
  </si>
  <si>
    <t>r-26 down</t>
  </si>
  <si>
    <t>remakes on PL Coneys</t>
  </si>
  <si>
    <t>Loader down</t>
  </si>
  <si>
    <t>Belt slipping</t>
  </si>
  <si>
    <t>S randown printer fuse</t>
  </si>
  <si>
    <t xml:space="preserve">Glaze unit down </t>
  </si>
  <si>
    <t>WOD/Keto</t>
  </si>
  <si>
    <t>Dough jam cutter</t>
  </si>
  <si>
    <t>Remake subs</t>
  </si>
  <si>
    <t>Incline belt slipping</t>
  </si>
  <si>
    <t>Motor burned up and remake</t>
  </si>
  <si>
    <t>Stiff doughs</t>
  </si>
  <si>
    <t>Put in breaks and lunches/No break person</t>
  </si>
  <si>
    <t>Long sour transfer</t>
  </si>
  <si>
    <t>R-13 down</t>
  </si>
  <si>
    <t>Cant draw flour</t>
  </si>
  <si>
    <t>Long C/O</t>
  </si>
  <si>
    <t>Long processing time</t>
  </si>
  <si>
    <t>Added scrap</t>
  </si>
  <si>
    <t>Break to work product back on</t>
  </si>
  <si>
    <t>Power surge</t>
  </si>
  <si>
    <t>Break for oven</t>
  </si>
  <si>
    <t>Cooler down + remake</t>
  </si>
  <si>
    <t>Knife inverter faults and proofer safe loads</t>
  </si>
  <si>
    <t>Couldn't draw flour</t>
  </si>
  <si>
    <t xml:space="preserve"> </t>
  </si>
  <si>
    <t>Depanner down</t>
  </si>
  <si>
    <t>Replace section of cooler</t>
  </si>
  <si>
    <t>Knife inverter fault</t>
  </si>
  <si>
    <t>Oven has not been cleaned out per the MSS scheduler, excessive buildup of crumb and seeds has been catching fire.</t>
  </si>
  <si>
    <t>Motor failed, replaced.</t>
  </si>
  <si>
    <t>Coil wire broken, took excessive time to diagnose</t>
  </si>
  <si>
    <t>Excessive ambient temperature caused electrical gremlins throuought bakery (120+°F in bakery)</t>
  </si>
  <si>
    <t>Vamag fault</t>
  </si>
  <si>
    <t>Seeder down</t>
  </si>
  <si>
    <t>R Conveyors</t>
  </si>
  <si>
    <t>Conveyors</t>
  </si>
  <si>
    <t>All pan conveyors quit</t>
  </si>
  <si>
    <t>Bagger</t>
  </si>
  <si>
    <t>Scrape moulder</t>
  </si>
  <si>
    <t>POM</t>
  </si>
  <si>
    <t>Chunker down</t>
  </si>
  <si>
    <t>Stamper</t>
  </si>
  <si>
    <t>Stamper quit working</t>
  </si>
  <si>
    <t>Mixer drew up wrong flour</t>
  </si>
  <si>
    <t>Divider</t>
  </si>
  <si>
    <t>Time loss during raisin</t>
  </si>
  <si>
    <t>Cutter</t>
  </si>
  <si>
    <t>Overheated, Motor failing killed drive</t>
  </si>
  <si>
    <t>Overheated</t>
  </si>
  <si>
    <t>Overheated motor failing</t>
  </si>
  <si>
    <t>Too much old dough buildup on belts caused belts to slip, cleaned the dough out and it was fine.</t>
  </si>
  <si>
    <t>Panel was overheated</t>
  </si>
  <si>
    <t>slow wheat draw</t>
  </si>
  <si>
    <t>night</t>
  </si>
  <si>
    <t>slicer blade down, air valve?</t>
  </si>
  <si>
    <t>communication error on vmag?</t>
  </si>
  <si>
    <t>Engineer dropped probe in hopper, missing pieces, cleanout</t>
  </si>
  <si>
    <t>flat pack remake</t>
  </si>
  <si>
    <t>Dough Jam up</t>
  </si>
  <si>
    <t>Long Sour Transfer</t>
  </si>
  <si>
    <t xml:space="preserve">mixer not cleaned out night before </t>
  </si>
  <si>
    <t xml:space="preserve">Plastic in dough </t>
  </si>
  <si>
    <t xml:space="preserve">Proof box down </t>
  </si>
  <si>
    <t xml:space="preserve">Chunker Down </t>
  </si>
  <si>
    <t xml:space="preserve">Broken Belt </t>
  </si>
  <si>
    <t xml:space="preserve">cooler down  </t>
  </si>
  <si>
    <t>Rebuild dough</t>
  </si>
  <si>
    <t xml:space="preserve">Deep pans  </t>
  </si>
  <si>
    <t>Remake 4.25 BK</t>
  </si>
  <si>
    <t xml:space="preserve">Cutter down </t>
  </si>
  <si>
    <t>Cutter jam, readjust</t>
  </si>
  <si>
    <t xml:space="preserve">Depanner Down </t>
  </si>
  <si>
    <t xml:space="preserve">No pans  </t>
  </si>
  <si>
    <t xml:space="preserve">Dough Jams </t>
  </si>
  <si>
    <t>Jam up with Shear pin</t>
  </si>
  <si>
    <t xml:space="preserve">Adamatic Down </t>
  </si>
  <si>
    <t xml:space="preserve">Divider door not closing </t>
  </si>
  <si>
    <t>Equipment</t>
  </si>
  <si>
    <t xml:space="preserve">Vemag Drive Flash </t>
  </si>
  <si>
    <t>New motor finally installed and flashed with the correct program</t>
  </si>
  <si>
    <t>Door safety switch on the cage wasn't made because dough pushed the door open and operator didn't notice</t>
  </si>
  <si>
    <t>Cam wheel fell off for the piston block, re-installed</t>
  </si>
  <si>
    <t>Speed pot wire loose</t>
  </si>
  <si>
    <t>No one knows how this happened officially (or will admit it), but it appears too much dough built up on the belt eventually catching the drop plate drawing the metal drop plate into the belt cutting it up lengthwise. I'd wager it made an awful noise while it happened.</t>
  </si>
  <si>
    <t>We were working on the dough probe and the ceramic insulator broke apoart into the dough requiring a full cleanout. Upon investigation the ceramic has been cracked for quite some time. We ordered new teflon insulated probes for short term, and will install a laser long term.</t>
  </si>
  <si>
    <t>Solenoid failed, replaced</t>
  </si>
  <si>
    <t>Flour bridged</t>
  </si>
  <si>
    <t>Long Change over to BJ's</t>
  </si>
  <si>
    <t xml:space="preserve">Long Change over to sliders </t>
  </si>
  <si>
    <t>South POM conveyor down</t>
  </si>
  <si>
    <t>remake from 2nd</t>
  </si>
  <si>
    <t>No POM operator</t>
  </si>
  <si>
    <t xml:space="preserve">Stamper Jam up. </t>
  </si>
  <si>
    <t>extra scrap</t>
  </si>
  <si>
    <t xml:space="preserve">Conveyors down </t>
  </si>
  <si>
    <t xml:space="preserve">Cooler  Down at the wrap </t>
  </si>
  <si>
    <t xml:space="preserve">Deep pan issues </t>
  </si>
  <si>
    <t>Pan Grouper Down</t>
  </si>
  <si>
    <t>Jam up on Zig zags</t>
  </si>
  <si>
    <t xml:space="preserve">Cooler Down </t>
  </si>
  <si>
    <t>Jam up on pressure boards</t>
  </si>
  <si>
    <t xml:space="preserve">Jam up at grouper. </t>
  </si>
  <si>
    <t xml:space="preserve">Dough Jam ups </t>
  </si>
  <si>
    <t>No Vacuume on vemag</t>
  </si>
  <si>
    <t xml:space="preserve">Divider Bowl Sweeper blade Broke. </t>
  </si>
  <si>
    <t xml:space="preserve">Jam upd at the day feeder. </t>
  </si>
  <si>
    <t>Dough Stuck in Chute</t>
  </si>
  <si>
    <t>Conveyor Down at wrap</t>
  </si>
  <si>
    <t xml:space="preserve">Pan line kicked out </t>
  </si>
  <si>
    <t>Gate issues/ coney set up</t>
  </si>
  <si>
    <t xml:space="preserve">#7 down, only running one side. </t>
  </si>
  <si>
    <t xml:space="preserve">Pan jam/ cascade down </t>
  </si>
  <si>
    <t xml:space="preserve">South side cutter down. </t>
  </si>
  <si>
    <t>Mixer Didn’t latch Dough trough/ Dough Spilled on mixing deck</t>
  </si>
  <si>
    <t xml:space="preserve">Pan Grouper down </t>
  </si>
  <si>
    <t xml:space="preserve">Streusel Applicator Down </t>
  </si>
  <si>
    <t xml:space="preserve">Divider down </t>
  </si>
  <si>
    <t>Winckler Down</t>
  </si>
  <si>
    <t xml:space="preserve">Pan jam at grouper </t>
  </si>
  <si>
    <t xml:space="preserve">Deep remake </t>
  </si>
  <si>
    <t>Run Vemag slow</t>
  </si>
  <si>
    <t>Sour not cut night before</t>
  </si>
  <si>
    <t>remake</t>
  </si>
  <si>
    <t>Adamatic Shutting off</t>
  </si>
  <si>
    <t>Cutter Jam up</t>
  </si>
  <si>
    <t>Dough Jam on Coney Board</t>
  </si>
  <si>
    <t>Broken Conveyor</t>
  </si>
  <si>
    <t xml:space="preserve">Pan Greaser down </t>
  </si>
  <si>
    <t>Had to grab ingredients</t>
  </si>
  <si>
    <t>Remake bulk packer down</t>
  </si>
  <si>
    <t>Replaced divider belt</t>
  </si>
  <si>
    <t>v-mag down</t>
  </si>
  <si>
    <t>Flour system down</t>
  </si>
  <si>
    <t>Remake/Bad paper</t>
  </si>
  <si>
    <t>Slicer blade won't go op for coneys</t>
  </si>
  <si>
    <t>Pan conveyors tripped</t>
  </si>
  <si>
    <t>Stiff dough</t>
  </si>
  <si>
    <t>WW Flour not drawing</t>
  </si>
  <si>
    <t>Remake 3.6</t>
  </si>
  <si>
    <t>dough jams</t>
  </si>
  <si>
    <t>divider cups fell out</t>
  </si>
  <si>
    <t>wod</t>
  </si>
  <si>
    <t>Rough run on deep</t>
  </si>
  <si>
    <t>infeed conveyor down</t>
  </si>
  <si>
    <t>broken bruckets</t>
  </si>
  <si>
    <t>band slicer down</t>
  </si>
  <si>
    <t>slow down krd</t>
  </si>
  <si>
    <t>cutter down/no power</t>
  </si>
  <si>
    <t>glaze unit down</t>
  </si>
  <si>
    <t>broken buckets/cups</t>
  </si>
  <si>
    <t>adamatic line down</t>
  </si>
  <si>
    <t xml:space="preserve">Divider Belt down </t>
  </si>
  <si>
    <t>Glaze unit down</t>
  </si>
  <si>
    <t>Losing Vacuum</t>
  </si>
  <si>
    <t>Pan jams x2</t>
  </si>
  <si>
    <t>Long cleanout</t>
  </si>
  <si>
    <t>adamatic down</t>
  </si>
  <si>
    <t>cooler down</t>
  </si>
  <si>
    <t>RSAB overloaded in panel</t>
  </si>
  <si>
    <t>R-20 down x2</t>
  </si>
  <si>
    <t>Pan Jam x2</t>
  </si>
  <si>
    <t>break for wrap to rewrap product</t>
  </si>
  <si>
    <t>remake from wrap issue</t>
  </si>
  <si>
    <t>pan line down</t>
  </si>
  <si>
    <t>not enough bodies for sour transfer</t>
  </si>
  <si>
    <t>Kept shutting off</t>
  </si>
  <si>
    <t>Difficulty  run stiff organic doughs</t>
  </si>
  <si>
    <t>Dough stuck on hopper probe</t>
  </si>
  <si>
    <t xml:space="preserve">Pan Jam </t>
  </si>
  <si>
    <t>Pan sensor down</t>
  </si>
  <si>
    <t>Vmag down</t>
  </si>
  <si>
    <t>Pan Jams - Deep</t>
  </si>
  <si>
    <t>PanJam</t>
  </si>
  <si>
    <t xml:space="preserve">Pan cleaner coveyor shut off </t>
  </si>
  <si>
    <t>Wrap issues on Coneys</t>
  </si>
  <si>
    <t>Employee walked off job, burnt product, remake</t>
  </si>
  <si>
    <t>Lots of doubles</t>
  </si>
  <si>
    <t>Safety cover open alarm, but hopper wasn’t closed all the way.</t>
  </si>
  <si>
    <t xml:space="preserve">Oven loader down </t>
  </si>
  <si>
    <t>Dough jam/drum</t>
  </si>
  <si>
    <t>Bad rack/Tromp Jam</t>
  </si>
  <si>
    <t>Dough jams/coneys</t>
  </si>
  <si>
    <t>Diverter to #6 won't switch</t>
  </si>
  <si>
    <t>Break for flat pack</t>
  </si>
  <si>
    <t>Extra doughs/flat packer running bad</t>
  </si>
  <si>
    <t>Mixer late on doughs</t>
  </si>
  <si>
    <t>Mixer error on dough</t>
  </si>
  <si>
    <t>unnacounted for time loss</t>
  </si>
  <si>
    <t xml:space="preserve">Dough jam up </t>
  </si>
  <si>
    <t>wrap was not told about remake</t>
  </si>
  <si>
    <t>cutters dough jam</t>
  </si>
  <si>
    <t>Operator unsure how to fix</t>
  </si>
  <si>
    <t>Rework coney dough</t>
  </si>
  <si>
    <t>Oven down twice and remix doughs</t>
  </si>
  <si>
    <t>Remake from cooler being down</t>
  </si>
  <si>
    <t>Tier safety tripped, had to jump some teeth.</t>
  </si>
  <si>
    <t>Wad of muffins bent the bucket guide rods and jammed up the conveyor</t>
  </si>
  <si>
    <t>Main motor drive failed, replaced drive</t>
  </si>
  <si>
    <t>Somehow wires were pulled on so hard they ripped the terminals clean out of the VFD, had to replace the VFD</t>
  </si>
  <si>
    <t>Intermittantly failing motor contactor for the unloader motor, replaced contactor.</t>
  </si>
  <si>
    <t>flour system down</t>
  </si>
  <si>
    <t xml:space="preserve">Added Scrap </t>
  </si>
  <si>
    <t xml:space="preserve">incline feed conveyor down </t>
  </si>
  <si>
    <t>Clean off Divider knife</t>
  </si>
  <si>
    <t xml:space="preserve">Reversing belt down </t>
  </si>
  <si>
    <t>Conveyors Tripped</t>
  </si>
  <si>
    <t>Cooler Tripped</t>
  </si>
  <si>
    <t xml:space="preserve">Wrapp issues/ cooler down </t>
  </si>
  <si>
    <t xml:space="preserve">Cutter Dough jam up </t>
  </si>
  <si>
    <t xml:space="preserve">Deep pan Jams </t>
  </si>
  <si>
    <t xml:space="preserve">Mixer error </t>
  </si>
  <si>
    <t>Glazer unit down + chunker</t>
  </si>
  <si>
    <t xml:space="preserve">kwik Lok Down </t>
  </si>
  <si>
    <t>Glazer down</t>
  </si>
  <si>
    <t xml:space="preserve">Wrap Issues </t>
  </si>
  <si>
    <t xml:space="preserve">remake </t>
  </si>
  <si>
    <t>Dirty Eye</t>
  </si>
  <si>
    <t xml:space="preserve">mixer late </t>
  </si>
  <si>
    <t xml:space="preserve">deep pan issues </t>
  </si>
  <si>
    <t xml:space="preserve">Break for sprouted </t>
  </si>
  <si>
    <t xml:space="preserve">Dough jams at day feeder </t>
  </si>
  <si>
    <t xml:space="preserve">Mixer Error </t>
  </si>
  <si>
    <t xml:space="preserve">Mixer late </t>
  </si>
  <si>
    <t xml:space="preserve">Jam up on Zig zag </t>
  </si>
  <si>
    <t>winkler drive chain down</t>
  </si>
  <si>
    <t>mixer late x3</t>
  </si>
  <si>
    <t>proof box had a dirty eye</t>
  </si>
  <si>
    <t>deep pans/jam up</t>
  </si>
  <si>
    <t>pan jam r-26</t>
  </si>
  <si>
    <t>pan jam at pan grouper</t>
  </si>
  <si>
    <t>pan jam x2</t>
  </si>
  <si>
    <t>short handed/longer change over time</t>
  </si>
  <si>
    <t>test doughs/dough jam/wet doughs</t>
  </si>
  <si>
    <t>R-22 conveyor down</t>
  </si>
  <si>
    <t xml:space="preserve">Pan jam's </t>
  </si>
  <si>
    <t>Faulty E-stop switch</t>
  </si>
  <si>
    <t>DAY</t>
  </si>
  <si>
    <t>issues starting up</t>
  </si>
  <si>
    <t>Seeder not working</t>
  </si>
  <si>
    <t>pan jams</t>
  </si>
  <si>
    <t>Transfer conveyor down</t>
  </si>
  <si>
    <t>Stacker out of timing</t>
  </si>
  <si>
    <t>feeder roller doubles</t>
  </si>
  <si>
    <t xml:space="preserve">Would not start </t>
  </si>
  <si>
    <t xml:space="preserve">Dough Jam up. </t>
  </si>
  <si>
    <t>Problem running sour</t>
  </si>
  <si>
    <t xml:space="preserve">Sour floor time </t>
  </si>
  <si>
    <t xml:space="preserve">break for wrap. </t>
  </si>
  <si>
    <t xml:space="preserve">Sideways pan </t>
  </si>
  <si>
    <t xml:space="preserve">Deep pan jam </t>
  </si>
  <si>
    <t>Pan jam on the deep everywhere</t>
  </si>
  <si>
    <t xml:space="preserve">had to stop the mixer do to the deep pan jams </t>
  </si>
  <si>
    <t xml:space="preserve">Slowed the KRD down for the wrap </t>
  </si>
  <si>
    <t xml:space="preserve">Dough Jam upper Shaft </t>
  </si>
  <si>
    <t xml:space="preserve">pan jam </t>
  </si>
  <si>
    <t xml:space="preserve">4" deep pans  </t>
  </si>
  <si>
    <t>Mixer error/mixer drew up 500lbs too much flour.</t>
  </si>
  <si>
    <t>break in line for wrap</t>
  </si>
  <si>
    <t>short handed/longer change over time/wod</t>
  </si>
  <si>
    <t>Proof unloader rake jam up due to deep pans</t>
  </si>
  <si>
    <t>Pan Jams on deep</t>
  </si>
  <si>
    <t xml:space="preserve">Waiting on pans </t>
  </si>
  <si>
    <t xml:space="preserve">Had to dum 736 lb's of dough due to being too Stiff and unmachinable </t>
  </si>
  <si>
    <t xml:space="preserve">Added dough. </t>
  </si>
  <si>
    <t xml:space="preserve">pan Jam/ Conveyor fell off. </t>
  </si>
  <si>
    <t>Scrape coney boards</t>
  </si>
  <si>
    <t>Replace O Ring</t>
  </si>
  <si>
    <t>Vemag down</t>
  </si>
  <si>
    <t>Testing Vemag</t>
  </si>
  <si>
    <t xml:space="preserve">Cant draw flour </t>
  </si>
  <si>
    <t xml:space="preserve">Could not draw flour </t>
  </si>
  <si>
    <t>Unstacker down/ bad safety</t>
  </si>
  <si>
    <t>Coney board jam up</t>
  </si>
  <si>
    <t>R Conveyors kicked out</t>
  </si>
  <si>
    <t>4" Deep Pan Jams</t>
  </si>
  <si>
    <t>Cooler down at wrap</t>
  </si>
  <si>
    <t>Forgot to start mixer x2</t>
  </si>
  <si>
    <t>Remix dough, too much water added</t>
  </si>
  <si>
    <t>Conveyor belt down</t>
  </si>
  <si>
    <t>adamatic belt down</t>
  </si>
  <si>
    <t>stamper conveyor down</t>
  </si>
  <si>
    <t>did not have enough ingredients upstair.</t>
  </si>
  <si>
    <t>fork broke</t>
  </si>
  <si>
    <t>coupling broke on shaft</t>
  </si>
  <si>
    <t>one of the augers shaving off</t>
  </si>
  <si>
    <t xml:space="preserve">Deep pans </t>
  </si>
  <si>
    <t>Winkler jam up</t>
  </si>
  <si>
    <t>Pan Stacker jam up</t>
  </si>
  <si>
    <t>WODx4</t>
  </si>
  <si>
    <t xml:space="preserve">Sanitation didn't finish clean up and left a big mess to clean. </t>
  </si>
  <si>
    <t>Chunker belt down at start</t>
  </si>
  <si>
    <t>KRD down - Employee injury.</t>
  </si>
  <si>
    <t>Jam up on coney board</t>
  </si>
  <si>
    <t>Pan stacker sideways pan x2</t>
  </si>
  <si>
    <t xml:space="preserve">Pan jams EVERYWHERE during 4" Deep run. </t>
  </si>
  <si>
    <t xml:space="preserve">Not enough bodies for the Deep run in the shop. </t>
  </si>
  <si>
    <t>Small pan jammed</t>
  </si>
  <si>
    <t>remake/mixer error</t>
  </si>
  <si>
    <t>dirty eye</t>
  </si>
  <si>
    <t>worn out sheeter &amp; sprocket</t>
  </si>
  <si>
    <t>Bagger down/ break to rework muffins and rebuild dough</t>
  </si>
  <si>
    <t>miscommunication between mixers/bad dough</t>
  </si>
  <si>
    <t xml:space="preserve">R Conveyors tripped in panel </t>
  </si>
  <si>
    <t>BAD RUN AT WRAP/ REMAKE</t>
  </si>
  <si>
    <t>Broken moulder belt</t>
  </si>
  <si>
    <t>Jam up day feeder</t>
  </si>
  <si>
    <t>Proof break</t>
  </si>
  <si>
    <t>No Flour</t>
  </si>
  <si>
    <t>Oven operational issues</t>
  </si>
  <si>
    <t>Waiting on pans pan jam x2</t>
  </si>
  <si>
    <t xml:space="preserve">Wrap accidentally Turned off the cooler. </t>
  </si>
  <si>
    <t>Glazer missing the screen filter and plugged up.</t>
  </si>
  <si>
    <t>Stop contacts failed. Difficult to diagnose, replaced switch and contacts</t>
  </si>
  <si>
    <t>O-ring leaking, replaced O-ring</t>
  </si>
  <si>
    <t>Screws installed backwards caused shavings</t>
  </si>
  <si>
    <t>System sprung an air leak and flour packed the lines.</t>
  </si>
  <si>
    <t>added scrap</t>
  </si>
  <si>
    <t xml:space="preserve">Tromp down </t>
  </si>
  <si>
    <t>long change over</t>
  </si>
  <si>
    <t>Dough Jam x2</t>
  </si>
  <si>
    <t xml:space="preserve">Widget jam up </t>
  </si>
  <si>
    <t xml:space="preserve">break in line, personnel issues </t>
  </si>
  <si>
    <t xml:space="preserve">Remake. </t>
  </si>
  <si>
    <t>Jam up @ K</t>
  </si>
  <si>
    <t>Break to clean griddle</t>
  </si>
  <si>
    <t>Dough jam x2</t>
  </si>
  <si>
    <t>Add scrap</t>
  </si>
  <si>
    <t>Pan jam @ tromp</t>
  </si>
  <si>
    <t>Takeaway belt lost keyway</t>
  </si>
  <si>
    <t>Flour gate not working</t>
  </si>
  <si>
    <t>Long changeover - New KRD operator</t>
  </si>
  <si>
    <t>A lot of problems running Prem Coneys @ KRD</t>
  </si>
  <si>
    <t>R Conveyors down - Pan Jam</t>
  </si>
  <si>
    <t>Jam ups &amp; Buns in pans - 4" Deep</t>
  </si>
  <si>
    <t xml:space="preserve">Doubles/Jam ups. Old dough. </t>
  </si>
  <si>
    <t>Coney board jam up x2</t>
  </si>
  <si>
    <t xml:space="preserve">Oven temp too low </t>
  </si>
  <si>
    <t xml:space="preserve">Buns in pans </t>
  </si>
  <si>
    <t>stick up sheet roller</t>
  </si>
  <si>
    <t>Remake 4" wendy</t>
  </si>
  <si>
    <t xml:space="preserve">Issues with the gate </t>
  </si>
  <si>
    <t xml:space="preserve">Mixing error </t>
  </si>
  <si>
    <t xml:space="preserve">Pan jam at proof box </t>
  </si>
  <si>
    <t xml:space="preserve">Pan jam Behind KRD's </t>
  </si>
  <si>
    <t xml:space="preserve">Indexing gate Down </t>
  </si>
  <si>
    <t xml:space="preserve">Dough Jams all Day </t>
  </si>
  <si>
    <t xml:space="preserve">Divider down. </t>
  </si>
  <si>
    <t xml:space="preserve">No raisins </t>
  </si>
  <si>
    <t>r-26 conveyors Down</t>
  </si>
  <si>
    <t>dough jam/broken cups</t>
  </si>
  <si>
    <t>broken belt on sheeter</t>
  </si>
  <si>
    <t>remake from 1st shift</t>
  </si>
  <si>
    <t>mixer error/ too much flour in dough</t>
  </si>
  <si>
    <t>mixer had the wrong set up for white muffins at the mixer</t>
  </si>
  <si>
    <t>Flight came loose and jammed up.</t>
  </si>
  <si>
    <t>vemag vacuum system filled with old dough</t>
  </si>
  <si>
    <t>Remake  4.25 Red Robin</t>
  </si>
  <si>
    <t>Remake Prm Hots</t>
  </si>
  <si>
    <t>MIXER DOWN</t>
  </si>
  <si>
    <t>Sheeter jam up day feeder</t>
  </si>
  <si>
    <t>Molder wrap up</t>
  </si>
  <si>
    <t>jam up R-22</t>
  </si>
  <si>
    <t>KRD operator error</t>
  </si>
  <si>
    <t>Pan in cooler</t>
  </si>
  <si>
    <t>No pans on line</t>
  </si>
  <si>
    <t>Cascade conveyor down</t>
  </si>
  <si>
    <t>mixer error remake</t>
  </si>
  <si>
    <t>Personnel issues</t>
  </si>
  <si>
    <t>Wrapper down</t>
  </si>
  <si>
    <t>Glove caught in v-mag</t>
  </si>
  <si>
    <t>ran out of flour</t>
  </si>
  <si>
    <t>cooler down/ transfer belt down</t>
  </si>
  <si>
    <t>yeast meter down on dough mixer</t>
  </si>
  <si>
    <t>chunker belt down</t>
  </si>
  <si>
    <t>PAN JAM/ DEEP PANS</t>
  </si>
  <si>
    <t>pan return conveyor down</t>
  </si>
  <si>
    <t>sub pan went on cooler</t>
  </si>
  <si>
    <t>R CONVEYOR KICKED OUT (SHOP)</t>
  </si>
  <si>
    <t>Belt slipping x2</t>
  </si>
  <si>
    <t>Belt slipping x3</t>
  </si>
  <si>
    <t>Out of time</t>
  </si>
  <si>
    <t>R-2 Motor not starting</t>
  </si>
  <si>
    <t>Proofbox down</t>
  </si>
  <si>
    <t>Sideways pans</t>
  </si>
  <si>
    <t>Sheeter drums shaving off plastic</t>
  </si>
  <si>
    <t>12 sack remake due to plastic in doughs</t>
  </si>
  <si>
    <t>Sponge hung up in trough - New mixer</t>
  </si>
  <si>
    <t>No pans - Oven operator issues</t>
  </si>
  <si>
    <t>SPONGES STUCK IN TRO</t>
  </si>
  <si>
    <t>BELT SLIPPING</t>
  </si>
  <si>
    <t>Break in line to repair cooler</t>
  </si>
  <si>
    <t>break in line to rework muffins</t>
  </si>
  <si>
    <t>BROKEN BAND  SLICER BLADE</t>
  </si>
  <si>
    <t>DIRTY MIXER AT THE START OF THE SHIFT</t>
  </si>
  <si>
    <t>MULTIPLE PAN JAMS</t>
  </si>
  <si>
    <t>remake from 1st shift/ BIG BUNS</t>
  </si>
  <si>
    <t>Cooler Down</t>
  </si>
  <si>
    <t>Day Feeder down</t>
  </si>
  <si>
    <t xml:space="preserve">Changover issues </t>
  </si>
  <si>
    <t>Waiting on small sour</t>
  </si>
  <si>
    <t xml:space="preserve">Remake </t>
  </si>
  <si>
    <t>Clean up small muffins</t>
  </si>
  <si>
    <t>Conveyors down twice</t>
  </si>
  <si>
    <t>Issues with program</t>
  </si>
  <si>
    <t>Eye adjustment</t>
  </si>
  <si>
    <t>Remake 4.5 ses</t>
  </si>
  <si>
    <t>Remake white</t>
  </si>
  <si>
    <t>dough needed flour time.</t>
  </si>
  <si>
    <t>mixer hoist down</t>
  </si>
  <si>
    <t>moulder belt down</t>
  </si>
  <si>
    <t>knife adjutment</t>
  </si>
  <si>
    <t xml:space="preserve">Late start up </t>
  </si>
  <si>
    <t>new drum doesn't work</t>
  </si>
  <si>
    <t>remake caused by downtime from the drum</t>
  </si>
  <si>
    <t>remake no yeast in dough</t>
  </si>
  <si>
    <t>mixer error x4</t>
  </si>
  <si>
    <t>Longer process time mixing out of #1</t>
  </si>
  <si>
    <t>mixer down #1</t>
  </si>
  <si>
    <t>unable to use keto program</t>
  </si>
  <si>
    <t>Adamatic door would not close</t>
  </si>
  <si>
    <t>extra water in dough</t>
  </si>
  <si>
    <t>mixer dropped dough in wrong chute</t>
  </si>
  <si>
    <t>Jam up cutter</t>
  </si>
  <si>
    <t>cooler down pan on cooler</t>
  </si>
  <si>
    <t>pan jam deep pans</t>
  </si>
  <si>
    <t>Remake from prior shift</t>
  </si>
  <si>
    <t>added scrap dough</t>
  </si>
  <si>
    <t>c17/C18 down</t>
  </si>
  <si>
    <t>plc back up battey died</t>
  </si>
  <si>
    <t>4' deep pan issues</t>
  </si>
  <si>
    <t xml:space="preserve">R conveyor down </t>
  </si>
  <si>
    <t>R20 Conveyors Down x2</t>
  </si>
  <si>
    <t>Pan jam at pan grouper</t>
  </si>
  <si>
    <t xml:space="preserve">Bad mix </t>
  </si>
  <si>
    <t>Mixer error, no yeast.</t>
  </si>
  <si>
    <t>Mixer error.</t>
  </si>
  <si>
    <t>Remake/big product.</t>
  </si>
  <si>
    <t>over OPER left water spliter on.</t>
  </si>
  <si>
    <t>Belt came off - Ran out of pans</t>
  </si>
  <si>
    <t>Chunker incline belt down</t>
  </si>
  <si>
    <t>Reduced Speed on Coneys</t>
  </si>
  <si>
    <t>Chunker conveyor dough jam</t>
  </si>
  <si>
    <t>4" Deep problems</t>
  </si>
  <si>
    <t>Bad mix from prior shift</t>
  </si>
  <si>
    <t>Rounder Belt issues</t>
  </si>
  <si>
    <t>Bad mix</t>
  </si>
  <si>
    <t>Mixer forget to add dry ingredients to dough</t>
  </si>
  <si>
    <t>Reduce speed on coneys</t>
  </si>
  <si>
    <t xml:space="preserve">No pans online </t>
  </si>
  <si>
    <t>Rounder belt shaft down</t>
  </si>
  <si>
    <t>Jam up</t>
  </si>
  <si>
    <t xml:space="preserve">Jam up feeder </t>
  </si>
  <si>
    <t>Divider belt timing was off</t>
  </si>
  <si>
    <t>Remix dough.</t>
  </si>
  <si>
    <t>Comminication error in PLC</t>
  </si>
  <si>
    <t>Belt filled with gunk</t>
  </si>
  <si>
    <t>VFD needed a reset, overloaded</t>
  </si>
  <si>
    <t>New sheeter installed, needed adjusted once product hit it.</t>
  </si>
  <si>
    <t>Wendway section between cooler nad wrap broke and wadded up into a ball. Large section replaced</t>
  </si>
  <si>
    <t>Found a loose wire in safety circuit</t>
  </si>
  <si>
    <t>Load off belt gearbox siezed up</t>
  </si>
  <si>
    <t>Load off belt gearbox siezed up, replaced</t>
  </si>
  <si>
    <t>Upper coupling broke allowing the trough to "jackknife" sideways damaging the lift</t>
  </si>
  <si>
    <t>Production simply loosing time due to using the other mixer, takes a bit longer to move the troughs around</t>
  </si>
  <si>
    <t>New one piece drum didn't quite work, looks like it wasn't clocked right?</t>
  </si>
  <si>
    <t>Lost program, needed to reload</t>
  </si>
  <si>
    <t>Rounder belt slipping due to a ton of gunk under it, needed removed and cleaned badly</t>
  </si>
  <si>
    <t>Mixer start mixer late</t>
  </si>
  <si>
    <t>Mixer ran out of dough</t>
  </si>
  <si>
    <t>Overhead dough jam</t>
  </si>
  <si>
    <t>Nut fell off the flour sifter and went through the sheeter rollor.</t>
  </si>
  <si>
    <t>Product gate down</t>
  </si>
  <si>
    <t>Cooler down/bulk packer down</t>
  </si>
  <si>
    <t>Digging out sponges because of trough hoist</t>
  </si>
  <si>
    <t>two mixer errors</t>
  </si>
  <si>
    <t>Winkler cutter  belt down 4 times</t>
  </si>
  <si>
    <t>Chunker jam</t>
  </si>
  <si>
    <t>Burnt product/buns stuck in pans/remakes</t>
  </si>
  <si>
    <t>Break to rework product</t>
  </si>
  <si>
    <t>WINKLER DOWN</t>
  </si>
  <si>
    <t>CONVEYORS DOWN</t>
  </si>
  <si>
    <t>Dough jam up</t>
  </si>
  <si>
    <t>Winkler spring broke</t>
  </si>
  <si>
    <t>Oven unloader Motor Down/ Broken shaft key</t>
  </si>
  <si>
    <t>motor key sheared off. Replaced motor and key.</t>
  </si>
  <si>
    <t>pan jam, eye bypass keyswitch on… removed wires and wire nutted so keyswitch is inoperable.</t>
  </si>
  <si>
    <t xml:space="preserve">chain conveyor drive shaft broke, ran by hand to finish the run. Removed entire chain conveyor and lengthened the interlox. </t>
  </si>
  <si>
    <t>?????????????</t>
  </si>
  <si>
    <t>unloader bar broke</t>
  </si>
  <si>
    <t>R-5 Conveyor kept kicking out</t>
  </si>
  <si>
    <t>Remake from contamination</t>
  </si>
  <si>
    <t>S Hook lodged in v-mag</t>
  </si>
  <si>
    <t xml:space="preserve">Dough jam x3 </t>
  </si>
  <si>
    <t xml:space="preserve">Flour Sifter Down/ Caused Dough Jam </t>
  </si>
  <si>
    <t xml:space="preserve">Remake due to Bulk packer being down </t>
  </si>
  <si>
    <t>Shipping lost Product</t>
  </si>
  <si>
    <t xml:space="preserve">Jam ups  </t>
  </si>
  <si>
    <t xml:space="preserve">Stamper Down </t>
  </si>
  <si>
    <t>Broken spring/gate</t>
  </si>
  <si>
    <t>Proofer down</t>
  </si>
  <si>
    <t>Deep pans jamming</t>
  </si>
  <si>
    <t>Remake/Bunsstuck in pans</t>
  </si>
  <si>
    <t>Divider stopped</t>
  </si>
  <si>
    <t>Remake/poor setup</t>
  </si>
  <si>
    <t>incline chunker belt down</t>
  </si>
  <si>
    <t>broken pan line</t>
  </si>
  <si>
    <t>wrap issue</t>
  </si>
  <si>
    <t>photo eye out of alignment</t>
  </si>
  <si>
    <t>pan jam in the stacker</t>
  </si>
  <si>
    <t>Dough Jam - Adamatic</t>
  </si>
  <si>
    <t>Dough Jam - Overhead</t>
  </si>
  <si>
    <t>Dough Jam - Sheeter</t>
  </si>
  <si>
    <t>WODx2</t>
  </si>
  <si>
    <t>Pan Jam x3</t>
  </si>
  <si>
    <t>Electrical problems 90* Conveyor KRD</t>
  </si>
  <si>
    <t>Panline down</t>
  </si>
  <si>
    <t>Slow change over on cutter</t>
  </si>
  <si>
    <t>O-Conveyors kicked out x2</t>
  </si>
  <si>
    <t>Sideways Pan @ Grouper</t>
  </si>
  <si>
    <t>Proofer unloader eye down</t>
  </si>
  <si>
    <t>Streussel Conveyor down</t>
  </si>
  <si>
    <t>Coupler Broke on Mixer</t>
  </si>
  <si>
    <t>WOD x3</t>
  </si>
  <si>
    <t>Chain on Northside overhead came off</t>
  </si>
  <si>
    <t>Remake from Pan return conveyor going down</t>
  </si>
  <si>
    <t>Pan return conveyor down</t>
  </si>
  <si>
    <t>Break in line for wrap to rework product - 9B Coney slicer down</t>
  </si>
  <si>
    <t>Moulder belt broke</t>
  </si>
  <si>
    <t>Dough jam - Moulder belt slipping</t>
  </si>
  <si>
    <t>Feeder issue</t>
  </si>
  <si>
    <t xml:space="preserve">Bad dough - Sour </t>
  </si>
  <si>
    <t xml:space="preserve">No Pans </t>
  </si>
  <si>
    <t>Added scrap.</t>
  </si>
  <si>
    <t>Deep Pans Jamming up</t>
  </si>
  <si>
    <t>Down for cleaning due to an engineer's injury</t>
  </si>
  <si>
    <t>Ran out dough + Jam ups on Zigzag</t>
  </si>
  <si>
    <t xml:space="preserve">Bagger down </t>
  </si>
  <si>
    <t>Sticky dough - Jamups</t>
  </si>
  <si>
    <t>Remake due to contamination</t>
  </si>
  <si>
    <t xml:space="preserve">Issues with Bulk Film </t>
  </si>
  <si>
    <t xml:space="preserve">Issues wrap / Remake on PL coneys </t>
  </si>
  <si>
    <t>Chunker incline belt slipping</t>
  </si>
  <si>
    <t>P-Conveyors and proofbox unloader down</t>
  </si>
  <si>
    <t>Water didn't drop on 1st stage. Remix dough.</t>
  </si>
  <si>
    <t>Doubles @ Moulder</t>
  </si>
  <si>
    <t xml:space="preserve">Break for wrap to rework product - no slice </t>
  </si>
  <si>
    <t>Extra change over break for wrap</t>
  </si>
  <si>
    <t xml:space="preserve">Sprocket on auger out of time - causing it to grind. </t>
  </si>
  <si>
    <t>WOD x2</t>
  </si>
  <si>
    <t>Moulder belt slipping</t>
  </si>
  <si>
    <t>Break for wrappers to rework WW</t>
  </si>
  <si>
    <t>Pan Jam in the unloader</t>
  </si>
  <si>
    <t xml:space="preserve">Pan jam, Had to cut out Shelf. </t>
  </si>
  <si>
    <t xml:space="preserve">Broken Wire on #7 </t>
  </si>
  <si>
    <t xml:space="preserve">Debris From Engineering. </t>
  </si>
  <si>
    <t>Zig zag jam up</t>
  </si>
  <si>
    <t>Pan jam @ grouper</t>
  </si>
  <si>
    <t>Jam up - buns on pans</t>
  </si>
  <si>
    <t>Stacker down</t>
  </si>
  <si>
    <t>Dough jam @ sheeter</t>
  </si>
  <si>
    <t xml:space="preserve">Stick ups </t>
  </si>
  <si>
    <t>PLC failure 9A Slicer</t>
  </si>
  <si>
    <t>Qwik lok down @ wrap.</t>
  </si>
  <si>
    <t>Piston #2 not scaling</t>
  </si>
  <si>
    <t xml:space="preserve">No sugar and oil - due to no power. </t>
  </si>
  <si>
    <t>4" Deep pan jams</t>
  </si>
  <si>
    <t>Round robin system down</t>
  </si>
  <si>
    <t xml:space="preserve">Break in line for wrappers - Flat packer not running right. </t>
  </si>
  <si>
    <t xml:space="preserve">Foreign material found @ mixer. </t>
  </si>
  <si>
    <t>Bearing &amp; roller replaced on POM</t>
  </si>
  <si>
    <t>replaced slicer motor</t>
  </si>
  <si>
    <t>Tromp down - Rebooted.</t>
  </si>
  <si>
    <t>Mixer Error- Keto flour drawn</t>
  </si>
  <si>
    <t>Stick ups on SL Overhead.</t>
  </si>
  <si>
    <t>Flour gate left off by sanitation</t>
  </si>
  <si>
    <t>Gemco switch replaced</t>
  </si>
  <si>
    <t>Oven down - pan caught @ discharge</t>
  </si>
  <si>
    <t>Sideways pans @ panstacker</t>
  </si>
  <si>
    <t>Pan jam @ return line</t>
  </si>
  <si>
    <t>Lost scaling. Air valve got shut off on accident.</t>
  </si>
  <si>
    <t>Stick ups @ day feeder</t>
  </si>
  <si>
    <t>Slicer down</t>
  </si>
  <si>
    <t>Pan jam tromp</t>
  </si>
  <si>
    <t>Adjust coney board</t>
  </si>
  <si>
    <t>Tripped breaker</t>
  </si>
  <si>
    <t>Mixer Error - Drew wheat flour</t>
  </si>
  <si>
    <t>Mixer Error-  Didn't draw flour</t>
  </si>
  <si>
    <t>Long break per supervisor</t>
  </si>
  <si>
    <t>Bent 4" Deep pans - Bent shelf</t>
  </si>
  <si>
    <t>Bent 4" Deep pans - Buns stuck in pans</t>
  </si>
  <si>
    <t>Pan grouper conveyor motor replaced</t>
  </si>
  <si>
    <t>4" Deep pan issues all around</t>
  </si>
  <si>
    <t>Mixer Errors - Wrong flour, No flour &amp; ran out of dough.</t>
  </si>
  <si>
    <t>Long change over time per supervisor</t>
  </si>
  <si>
    <t xml:space="preserve">Lost scaling  </t>
  </si>
  <si>
    <t xml:space="preserve">2 remakes from oven being down. </t>
  </si>
  <si>
    <t>Sideways pan @ proofbox</t>
  </si>
  <si>
    <t xml:space="preserve">Oven Down </t>
  </si>
  <si>
    <t>jam ups @ zig zag</t>
  </si>
  <si>
    <t>Wet dough/bad run</t>
  </si>
  <si>
    <t>Longer change over time</t>
  </si>
  <si>
    <t>Grinding sound coming from the mixer</t>
  </si>
  <si>
    <t>bad run of non-gmo wheat</t>
  </si>
  <si>
    <t>Issues with moulder belt all day</t>
  </si>
  <si>
    <t>Mixer errors x2</t>
  </si>
  <si>
    <t>Moulder belt slipping and stopping.</t>
  </si>
  <si>
    <t>Break for wrappers - kwik lok down</t>
  </si>
  <si>
    <t>Break for wrappers - Kwik lok issues</t>
  </si>
  <si>
    <t>Mixer errors</t>
  </si>
  <si>
    <t xml:space="preserve">Remake from kwik lok being down </t>
  </si>
  <si>
    <t>making adjustments on test dough</t>
  </si>
  <si>
    <t>short from 1st shift</t>
  </si>
  <si>
    <t>Jam up @ moulder</t>
  </si>
  <si>
    <t>Coney Pan jam</t>
  </si>
  <si>
    <t>Unscheduled throw back due to 4" pans not keeping up</t>
  </si>
  <si>
    <t>Pan jams 4" Deep</t>
  </si>
  <si>
    <t>Air line came off grouper</t>
  </si>
  <si>
    <t>KRD Operator slow/Long C/Os</t>
  </si>
  <si>
    <t>Remix dough</t>
  </si>
  <si>
    <t>Break/rework muffins/bagger issues</t>
  </si>
  <si>
    <t>Cornmeal system not working</t>
  </si>
  <si>
    <t xml:space="preserve">Grease Gun fell apart into the dough while engineering was working on it. </t>
  </si>
  <si>
    <t xml:space="preserve">4.5 Kaiser remake </t>
  </si>
  <si>
    <t xml:space="preserve">4" Bville Remake, 2 doughs </t>
  </si>
  <si>
    <t>Long mixer late</t>
  </si>
  <si>
    <t xml:space="preserve">Pan jam at grouper. </t>
  </si>
  <si>
    <t>Chunker belt slipping</t>
  </si>
  <si>
    <t>Refrigeration stopped working - had to rebuild dough</t>
  </si>
  <si>
    <t>Long changeover into wheat</t>
  </si>
  <si>
    <t>north pan o mat sensor down</t>
  </si>
  <si>
    <t>Issue starting up hpts</t>
  </si>
  <si>
    <t>Remake on BV</t>
  </si>
  <si>
    <t>Late start  up</t>
  </si>
  <si>
    <t>Coney Cutter jam up</t>
  </si>
  <si>
    <t>Slow start up with inexperienced crew</t>
  </si>
  <si>
    <t>Did not have a scaler at start up - WOD during sour run.</t>
  </si>
  <si>
    <t>Long sour transfer - small product</t>
  </si>
  <si>
    <t>Lost Refrigeration</t>
  </si>
  <si>
    <t>Break for wrap - Bagger issues</t>
  </si>
  <si>
    <t>Added sacks due to lost refrigeration</t>
  </si>
  <si>
    <t xml:space="preserve">dough jam </t>
  </si>
  <si>
    <t>4.5 cutter drive chain fell off</t>
  </si>
  <si>
    <t xml:space="preserve">Remake due to pan jams </t>
  </si>
  <si>
    <t xml:space="preserve">remake due to quality </t>
  </si>
  <si>
    <t xml:space="preserve">No baskets in the bakery, had to shut Down. </t>
  </si>
  <si>
    <t>The cooler itself wasn't down, a section of wendway failed and had to be replaced.</t>
  </si>
  <si>
    <t>Bad solenoid valve for the loader brake</t>
  </si>
  <si>
    <t>Waited for Proofbox temp</t>
  </si>
  <si>
    <t>Warm Doughs - Hot water left on by Sanitation</t>
  </si>
  <si>
    <t>Winkler Down- Pan/Index Belt</t>
  </si>
  <si>
    <t>Pan Jam - R26 &amp; R44 Conveyors down</t>
  </si>
  <si>
    <t>Pan Cleaner Down</t>
  </si>
  <si>
    <t>Pan Jam @ KRD</t>
  </si>
  <si>
    <t>Pan Jam @ Oven</t>
  </si>
  <si>
    <t>Remake - 4" JIB</t>
  </si>
  <si>
    <t>Mixer Error from previous shift - Too much water</t>
  </si>
  <si>
    <t>REMAKS</t>
  </si>
  <si>
    <t>PAN CLEANER DOWN</t>
  </si>
  <si>
    <t>W.O.D</t>
  </si>
  <si>
    <t>Bun stuck in pan.</t>
  </si>
  <si>
    <t>Break to repair cooler infeed</t>
  </si>
  <si>
    <t>Tromp system down.</t>
  </si>
  <si>
    <t>Divider down /bolt came out.</t>
  </si>
  <si>
    <t>Ran out of dough.</t>
  </si>
  <si>
    <t>Broken belt - Index table</t>
  </si>
  <si>
    <t>Mixer down- Door wouldn’t open</t>
  </si>
  <si>
    <t>Winkler issues- Soft dough.</t>
  </si>
  <si>
    <t>Sub board jam up</t>
  </si>
  <si>
    <t>Mixer touch screen went out</t>
  </si>
  <si>
    <t>Longer processing time.</t>
  </si>
  <si>
    <t>Pan jammed in air system by stacker.</t>
  </si>
  <si>
    <t>Dough jam/cutter</t>
  </si>
  <si>
    <t>Pan jam in oven</t>
  </si>
  <si>
    <t>Baggers no set up</t>
  </si>
  <si>
    <t>Hot doughs/bad run</t>
  </si>
  <si>
    <t>conveyor belt down on v-mag</t>
  </si>
  <si>
    <t>bad bearing on v-mag</t>
  </si>
  <si>
    <t>Break for Wrap</t>
  </si>
  <si>
    <t>2nd stage water not added</t>
  </si>
  <si>
    <t xml:space="preserve">Mixer error from previous shift. </t>
  </si>
  <si>
    <t>Remix Dough</t>
  </si>
  <si>
    <t>Mixer down - Bars not rotating</t>
  </si>
  <si>
    <t>4" Pans won't keep up</t>
  </si>
  <si>
    <t>pan jam up in the stacker</t>
  </si>
  <si>
    <t>pan cleaner down/pan jam</t>
  </si>
  <si>
    <t>Adamatic gate down</t>
  </si>
  <si>
    <t xml:space="preserve">Cutter belt slipping x2 </t>
  </si>
  <si>
    <t>Tromp Pan jam</t>
  </si>
  <si>
    <t>Ran out of pans due to tromp being down</t>
  </si>
  <si>
    <t>Loose lane belt on moulder</t>
  </si>
  <si>
    <t>Replaced Lane moulder belt</t>
  </si>
  <si>
    <t>Belt adjustments</t>
  </si>
  <si>
    <t>Late start - KRD Oper did not startup machines.</t>
  </si>
  <si>
    <t xml:space="preserve">KRD Down  </t>
  </si>
  <si>
    <t>N KRD lost vacuum pressure</t>
  </si>
  <si>
    <t>4" Deep pan jams + broken conveyor</t>
  </si>
  <si>
    <t>KRD Operator error - throw back dough - weight wrong</t>
  </si>
  <si>
    <t>Dough ramp to pan down</t>
  </si>
  <si>
    <t>Break for wrappers - Wrap issues</t>
  </si>
  <si>
    <t>Mixer stopped - Inexperienced mixer did not know what to do</t>
  </si>
  <si>
    <t>Long changeover break</t>
  </si>
  <si>
    <t>Mixer timers down</t>
  </si>
  <si>
    <t>Break for wrappers to clean up</t>
  </si>
  <si>
    <t>VFD Fault on Mixer</t>
  </si>
  <si>
    <t>Cutter belt down</t>
  </si>
  <si>
    <t>Broken flight in Tromp</t>
  </si>
  <si>
    <t>Break for wrap to rework muffins</t>
  </si>
  <si>
    <t>Proofbox humidity issues</t>
  </si>
  <si>
    <t>Oven burners shut off</t>
  </si>
  <si>
    <t>Soft dough needed floor time</t>
  </si>
  <si>
    <t>Late start beginning of day</t>
  </si>
  <si>
    <t xml:space="preserve">Longer change over   </t>
  </si>
  <si>
    <t>Long Changeover into Raisins</t>
  </si>
  <si>
    <t>3.9" BK Pans not keeping up during round robin run</t>
  </si>
  <si>
    <t xml:space="preserve">Broken pan conveyor </t>
  </si>
  <si>
    <t>4" Deep pans full of buns - ony ran on one side</t>
  </si>
  <si>
    <t>Sideways pan jam @ proofbox - 4" Deep</t>
  </si>
  <si>
    <t>Proofbox Down</t>
  </si>
  <si>
    <t>Mixer dropped dough to soon after transfer/no racks</t>
  </si>
  <si>
    <t>Remake Prem Raisin/quality</t>
  </si>
  <si>
    <t xml:space="preserve">Longer processing time </t>
  </si>
  <si>
    <t>Pan Cleaner down</t>
  </si>
  <si>
    <t>KRD Operator did not start up machine</t>
  </si>
  <si>
    <t>Sub board put on backwards</t>
  </si>
  <si>
    <t xml:space="preserve">Unstacker down </t>
  </si>
  <si>
    <t>Remix dough- add water</t>
  </si>
  <si>
    <t>Slicer blade not put in</t>
  </si>
  <si>
    <t>Key fell out</t>
  </si>
  <si>
    <t>Bagger down/trays jammed</t>
  </si>
  <si>
    <t>N side cutter inverter fault</t>
  </si>
  <si>
    <t>mixer error/re mix dough</t>
  </si>
  <si>
    <t>wOD</t>
  </si>
  <si>
    <t>mixer error/no yeast in dough</t>
  </si>
  <si>
    <t>Divider Down - Bad eye on Hopper</t>
  </si>
  <si>
    <t>Winkler Jam Ups</t>
  </si>
  <si>
    <t>Clogged Port @ Start</t>
  </si>
  <si>
    <t>S KRD Pan Indexer Down</t>
  </si>
  <si>
    <t>Bagger down - Break for Wrappers</t>
  </si>
  <si>
    <t>Clean Griddle from previous shift</t>
  </si>
  <si>
    <t>Pan-O-Mat down one side</t>
  </si>
  <si>
    <t>Padded Coney Doughs</t>
  </si>
  <si>
    <t xml:space="preserve">Massive Pan jam on R Conveyor </t>
  </si>
  <si>
    <t>Hinge Slicer #1 down - Bad bearing and dull blade.</t>
  </si>
  <si>
    <t>Divider gate down</t>
  </si>
  <si>
    <t>long change over break</t>
  </si>
  <si>
    <t>slow proof time</t>
  </si>
  <si>
    <t>Pan conveyor down</t>
  </si>
  <si>
    <t>Replaced moulder drive chain</t>
  </si>
  <si>
    <t>Stickup</t>
  </si>
  <si>
    <t>Longer clean out</t>
  </si>
  <si>
    <t>Operator error, wrong amount of flour drawn</t>
  </si>
  <si>
    <t>Oven Jam up</t>
  </si>
  <si>
    <t xml:space="preserve">Winkler Jam up. </t>
  </si>
  <si>
    <t>Stick ups</t>
  </si>
  <si>
    <t xml:space="preserve">Added Sacks on White to cover shortage </t>
  </si>
  <si>
    <t xml:space="preserve">Ran out of Dough do to jam up. </t>
  </si>
  <si>
    <t xml:space="preserve">Break for wrappers to get caught up. </t>
  </si>
  <si>
    <t>long mix time</t>
  </si>
  <si>
    <t>stamper down Adamatic line</t>
  </si>
  <si>
    <t>oven down/not lit</t>
  </si>
  <si>
    <t>KRD issue</t>
  </si>
  <si>
    <t>Stick up</t>
  </si>
  <si>
    <t>Unable to draw flour</t>
  </si>
  <si>
    <t>Small Products</t>
  </si>
  <si>
    <t>kRD operator error</t>
  </si>
  <si>
    <t xml:space="preserve">Oven timed out </t>
  </si>
  <si>
    <t>R-11 Conveyor down.</t>
  </si>
  <si>
    <t>Proofbox heat down</t>
  </si>
  <si>
    <t>V-Mag shut off</t>
  </si>
  <si>
    <t>Vmag shutting down</t>
  </si>
  <si>
    <t>Remake from issues with the bagger.</t>
  </si>
  <si>
    <t>Break for wrap from issues with the bagger.</t>
  </si>
  <si>
    <t xml:space="preserve">Bad dough </t>
  </si>
  <si>
    <t>R Conveyor down/broken spocket</t>
  </si>
  <si>
    <t>Roller jam up</t>
  </si>
  <si>
    <t>short c/o</t>
  </si>
  <si>
    <t>Low rack/tromp down</t>
  </si>
  <si>
    <t>Repair moulder guide</t>
  </si>
  <si>
    <t>chunker down</t>
  </si>
  <si>
    <t>Broom handle caught in cooler</t>
  </si>
  <si>
    <t>remake from #7 being down</t>
  </si>
  <si>
    <t>broken conveyor at pan cleaner</t>
  </si>
  <si>
    <t>stiff dough</t>
  </si>
  <si>
    <t>Divider belt down</t>
  </si>
  <si>
    <t>Lost scaling</t>
  </si>
  <si>
    <t>Clean out</t>
  </si>
  <si>
    <t>Tromp down - Bad rack</t>
  </si>
  <si>
    <t>Flour System down</t>
  </si>
  <si>
    <t>Transfer conveyor slipping</t>
  </si>
  <si>
    <t>Remake on Prem Plain</t>
  </si>
  <si>
    <t>water splitter down</t>
  </si>
  <si>
    <t>sour rack hit the safety switch on tromp</t>
  </si>
  <si>
    <t>4" deep issue</t>
  </si>
  <si>
    <t>mixer #4 down</t>
  </si>
  <si>
    <t>Pan jan</t>
  </si>
  <si>
    <t>Issued running doughs</t>
  </si>
  <si>
    <t>Late start</t>
  </si>
  <si>
    <t>Divider Belt down</t>
  </si>
  <si>
    <t>Hopper door down</t>
  </si>
  <si>
    <t>Waiting on pans</t>
  </si>
  <si>
    <t>Tromp down ,dough covering eye.</t>
  </si>
  <si>
    <t>Rack  jam up</t>
  </si>
  <si>
    <t>Late start/set up issue</t>
  </si>
  <si>
    <t>training</t>
  </si>
  <si>
    <t>4" deep jam ups</t>
  </si>
  <si>
    <t>safety tripped out</t>
  </si>
  <si>
    <t>Garlic foil machine down</t>
  </si>
  <si>
    <t>pan jam x3</t>
  </si>
  <si>
    <t>Relay on mixer #4 down</t>
  </si>
  <si>
    <t>Bagger issue/ Remake</t>
  </si>
  <si>
    <t>Remake from bad doughs</t>
  </si>
  <si>
    <t>added sacks</t>
  </si>
  <si>
    <t>No Pans x3</t>
  </si>
  <si>
    <t>Conveyor motor went down.</t>
  </si>
  <si>
    <t>Wrong amout of flour drawn</t>
  </si>
  <si>
    <t>Guide bar issues that causes a lot of rewrap.</t>
  </si>
  <si>
    <t>Break for Wrap - Garlic Bread</t>
  </si>
  <si>
    <t>Wrap waiting on garlic butter</t>
  </si>
  <si>
    <t>Dough jam- Rollers kept stopping x4</t>
  </si>
  <si>
    <t>Sanitation left water in the air line causing us to lose auger pressure</t>
  </si>
  <si>
    <t>wod/ long mix</t>
  </si>
  <si>
    <t>stamper down</t>
  </si>
  <si>
    <t>operational error</t>
  </si>
  <si>
    <t>Issue Setting up hots</t>
  </si>
  <si>
    <t>Glycol System Down</t>
  </si>
  <si>
    <t>Vmag Down</t>
  </si>
  <si>
    <t>Rebuild from vmag being down</t>
  </si>
  <si>
    <t>Sack add</t>
  </si>
  <si>
    <t>Replacing door seal on mixer</t>
  </si>
  <si>
    <t>no pant</t>
  </si>
  <si>
    <t xml:space="preserve">Bagger out of cycle </t>
  </si>
  <si>
    <t>ADA waiting on dough</t>
  </si>
  <si>
    <t>Winkler and pan conveyor malfunction</t>
  </si>
  <si>
    <t>KRD lost pressure</t>
  </si>
  <si>
    <t>Vmag wouldn’t run</t>
  </si>
  <si>
    <t>Lost fire in the griddle</t>
  </si>
  <si>
    <t>Tromp issues</t>
  </si>
  <si>
    <t>winkler down, Bad E-stop</t>
  </si>
  <si>
    <t>Jam up on moulder due to main belt slipping.</t>
  </si>
  <si>
    <t>Coney board jam</t>
  </si>
  <si>
    <t xml:space="preserve">4" Deep issues - pan </t>
  </si>
  <si>
    <t>4" Deep Pan jams</t>
  </si>
  <si>
    <t>Bad E-Stop - Repaired.</t>
  </si>
  <si>
    <t xml:space="preserve">Pan Stacker belt </t>
  </si>
  <si>
    <t>No power to stacker/unstacker</t>
  </si>
  <si>
    <t>Pan jam @ cascade - knocked out of detent</t>
  </si>
  <si>
    <t>South side pan line down</t>
  </si>
  <si>
    <t xml:space="preserve">Lost fire in the griddle/Remake doughs </t>
  </si>
  <si>
    <t>winkler down</t>
  </si>
  <si>
    <t>Broken fork on winkler</t>
  </si>
  <si>
    <t>Foil down at wrap</t>
  </si>
  <si>
    <t>Discharge belt shaft broken</t>
  </si>
  <si>
    <t>Fork broke off at wrap</t>
  </si>
  <si>
    <t>Added doughs from losting fire on griddle</t>
  </si>
  <si>
    <t>Cooler down - C9 derailed</t>
  </si>
  <si>
    <t xml:space="preserve">4" Deep problems </t>
  </si>
  <si>
    <t xml:space="preserve">R-27 Conveyor down </t>
  </si>
  <si>
    <t>Proofbox down - 4" deep pan issue</t>
  </si>
  <si>
    <t>Break to clean griddle - too many doubles</t>
  </si>
  <si>
    <t xml:space="preserve">Fire went out on griddle </t>
  </si>
  <si>
    <t>Break to put pans on after tromp being down</t>
  </si>
  <si>
    <t>Pan stacker down</t>
  </si>
  <si>
    <t>Scaling issue</t>
  </si>
  <si>
    <t>Winkler dough wrap up</t>
  </si>
  <si>
    <t>Sheeter roller jamups</t>
  </si>
  <si>
    <t>Remake - Buns sticking in pans - 4" JIB Split</t>
  </si>
  <si>
    <t xml:space="preserve">Chunker jam up - incline belt not plugged in. </t>
  </si>
  <si>
    <t>Jam up @ divider</t>
  </si>
  <si>
    <t>Water in the lines</t>
  </si>
  <si>
    <t>Oven flooded from steam being left on all night</t>
  </si>
  <si>
    <t>Muffins mishapen had a difficult time running through system</t>
  </si>
  <si>
    <t>Circulation pump failed, motor siezed</t>
  </si>
  <si>
    <t>Power supply for CANbus failed</t>
  </si>
  <si>
    <t>Prooving switch plugged</t>
  </si>
  <si>
    <t>mixer Error</t>
  </si>
  <si>
    <t>Added dough from wrap issue</t>
  </si>
  <si>
    <t>can't draw flour</t>
  </si>
  <si>
    <t>added dough</t>
  </si>
  <si>
    <t>Inverter fault</t>
  </si>
  <si>
    <t xml:space="preserve">remakes </t>
  </si>
  <si>
    <t>Tabletop conveyor jammed, bent piece of conveyor.</t>
  </si>
  <si>
    <t>Bagger dowm</t>
  </si>
  <si>
    <t xml:space="preserve">Repair sheeter drive </t>
  </si>
  <si>
    <t xml:space="preserve">Pan stacker out of Cycle </t>
  </si>
  <si>
    <t>Dough Jam and timing issues</t>
  </si>
  <si>
    <t xml:space="preserve">Remake dough </t>
  </si>
  <si>
    <t>Sideways pan</t>
  </si>
  <si>
    <t>re adjust the rounder</t>
  </si>
  <si>
    <t>Bad dough</t>
  </si>
  <si>
    <t>break to clean griddle</t>
  </si>
  <si>
    <t>#7 over wrapper wasn't set up properly</t>
  </si>
  <si>
    <t>Break to rewrap Garlic foil</t>
  </si>
  <si>
    <t xml:space="preserve">Remake on Kirkland </t>
  </si>
  <si>
    <t>Grease on head rollers</t>
  </si>
  <si>
    <t>Chunker down twice</t>
  </si>
  <si>
    <t>POM Prox sensor</t>
  </si>
  <si>
    <t>Discharge eye blocked</t>
  </si>
  <si>
    <t>Cooler down/Gear Box</t>
  </si>
  <si>
    <t>Dough jam at moulder</t>
  </si>
  <si>
    <t>Pan Jam/ Trom Down</t>
  </si>
  <si>
    <t>Pam jam</t>
  </si>
  <si>
    <t>Dough Jam Up</t>
  </si>
  <si>
    <t>Chunker Down - Incline belt slipping</t>
  </si>
  <si>
    <t>Rounder discharge belt down</t>
  </si>
  <si>
    <t>Indexing fork popped off/jammed up</t>
  </si>
  <si>
    <t>Sheetet jam up</t>
  </si>
  <si>
    <t>Moulder jam up</t>
  </si>
  <si>
    <t>Chunker belt down</t>
  </si>
  <si>
    <t>Break in line for rewraps</t>
  </si>
  <si>
    <t>Switched mixer #4 hoist down</t>
  </si>
  <si>
    <t>Oil hose broke</t>
  </si>
  <si>
    <t>#4 Mixer hoist down</t>
  </si>
  <si>
    <t>Mixer door down #1</t>
  </si>
  <si>
    <t>Stiff down/Bad run</t>
  </si>
  <si>
    <t>Break in line for wrap</t>
  </si>
  <si>
    <t>Pan grouper down</t>
  </si>
  <si>
    <t>Long break in the line</t>
  </si>
  <si>
    <t>Remake on 4.5 ses</t>
  </si>
  <si>
    <t>Bagger down/break for wrap</t>
  </si>
  <si>
    <t>Divider erroe/wrong weight</t>
  </si>
  <si>
    <t>Broken eye on the winkler</t>
  </si>
  <si>
    <t>Air valve turned off</t>
  </si>
  <si>
    <t>Discharge Chain broke.</t>
  </si>
  <si>
    <t>Jam up on Zig Zag</t>
  </si>
  <si>
    <t>Krd down</t>
  </si>
  <si>
    <t>Dough sticking on rounder bar</t>
  </si>
  <si>
    <t>Adjustment on North gate</t>
  </si>
  <si>
    <t>Break for engineers to fix problems with bager</t>
  </si>
  <si>
    <t>Remake coneys</t>
  </si>
  <si>
    <t>Break for wrap because bagger down</t>
  </si>
  <si>
    <t>Long C/O operator cleaning</t>
  </si>
  <si>
    <t xml:space="preserve">Long C/O </t>
  </si>
  <si>
    <t>Jam up sorbate sprayer</t>
  </si>
  <si>
    <t>Muffins stuck in griddle</t>
  </si>
  <si>
    <t>Clean Hangers</t>
  </si>
  <si>
    <t>Pan stop fell apart</t>
  </si>
  <si>
    <t>Sub pan went into cooler</t>
  </si>
  <si>
    <t>Cups knocked out of overhead</t>
  </si>
  <si>
    <t>Pan jam cascade</t>
  </si>
  <si>
    <t>Pan unstacker down/wont power up/not enough pans</t>
  </si>
  <si>
    <t>Catch pans not put under moulder belt</t>
  </si>
  <si>
    <t>Kicker spring kept coming loose</t>
  </si>
  <si>
    <t>Grouper not working correctly</t>
  </si>
  <si>
    <t>Break because of bagger arm</t>
  </si>
  <si>
    <t>Pan grouper issues</t>
  </si>
  <si>
    <t>Pen in dough</t>
  </si>
  <si>
    <t>Clam shells going into proofer down</t>
  </si>
  <si>
    <t>Remake raisin</t>
  </si>
  <si>
    <t>Rack off of track</t>
  </si>
  <si>
    <t>Tromp jams</t>
  </si>
  <si>
    <t>WOD/Flour won't  draw</t>
  </si>
  <si>
    <t>Mixer left dome drops out of dough</t>
  </si>
  <si>
    <t>Remake because griddle lost fire</t>
  </si>
  <si>
    <t>Buckets set up incorrectly</t>
  </si>
  <si>
    <t>Winkler chain fixed</t>
  </si>
  <si>
    <t>Cooling system down - Bad fuse</t>
  </si>
  <si>
    <t>Refrigeration down</t>
  </si>
  <si>
    <t>KRD HEAD port stuck open</t>
  </si>
  <si>
    <t>Pan unstacter down</t>
  </si>
  <si>
    <t>stiff Dough/Bad run</t>
  </si>
  <si>
    <t>Ran old dough out of divider</t>
  </si>
  <si>
    <t>cooler overloaded</t>
  </si>
  <si>
    <t>No kirkland moulder board</t>
  </si>
  <si>
    <t>Bagger sensor down</t>
  </si>
  <si>
    <t>Remake from indexing gate going down</t>
  </si>
  <si>
    <t>No yeast</t>
  </si>
  <si>
    <t>Contaminated dough</t>
  </si>
  <si>
    <t>power outage</t>
  </si>
  <si>
    <t>Power outage</t>
  </si>
  <si>
    <t>Jamups @ pan grouper</t>
  </si>
  <si>
    <t>Covneyor #6 down</t>
  </si>
  <si>
    <t>Remake from previous shift</t>
  </si>
  <si>
    <t>Longer time to process Prem raisin</t>
  </si>
  <si>
    <t>Water/flour add due to power outage</t>
  </si>
  <si>
    <t>Pam Grouper down</t>
  </si>
  <si>
    <t>Proofbox down - Pan jam</t>
  </si>
  <si>
    <t>Proofbox down - stopped loading</t>
  </si>
  <si>
    <t>Slow cuts to help prevent doubles at dayfeed</t>
  </si>
  <si>
    <t>Pan issue</t>
  </si>
  <si>
    <t>Pan unstacker down</t>
  </si>
  <si>
    <t>Break for rewraps</t>
  </si>
  <si>
    <t>Broken winkler cups</t>
  </si>
  <si>
    <t>Remake dough buns stuck in pans</t>
  </si>
  <si>
    <t>Dough wrap up @ winkler</t>
  </si>
  <si>
    <t xml:space="preserve">Oven down - timed out </t>
  </si>
  <si>
    <t>Remake - Oven down</t>
  </si>
  <si>
    <t>Issues w/ N KRD Timing</t>
  </si>
  <si>
    <t>Deep Issues</t>
  </si>
  <si>
    <t>Griddle down</t>
  </si>
  <si>
    <t>Divider jam ups</t>
  </si>
  <si>
    <t>Belt down on divider</t>
  </si>
  <si>
    <t>N KRD Cutting issues</t>
  </si>
  <si>
    <t>Sub pan turner eye down</t>
  </si>
  <si>
    <t xml:space="preserve">Broken belt   </t>
  </si>
  <si>
    <t>Fixed transfer wire</t>
  </si>
  <si>
    <t>Winkler wrap up</t>
  </si>
  <si>
    <t>Divider down - Broken scraper</t>
  </si>
  <si>
    <t>Pan stacker - RR conveyor down</t>
  </si>
  <si>
    <t>Oven belts randomly stopping</t>
  </si>
  <si>
    <t>Mixer error - No yeast in dough</t>
  </si>
  <si>
    <t>Chunker down/pull up and remix old dough</t>
  </si>
  <si>
    <t>Remake fron 2nd shift/ no yeast in dough</t>
  </si>
  <si>
    <t>Mixer #4 door won't close</t>
  </si>
  <si>
    <t>Blown Fuse</t>
  </si>
  <si>
    <t>Too many muffins stacked up caused the lid to break and get wrapped up in the swing conveyor</t>
  </si>
  <si>
    <t>Engineering brought over a pan tree and offered to help hand load, but production decided to put a break in the line instead.</t>
  </si>
  <si>
    <t>Scaper not installed correctly (Sanitation), fell out and jammed into the feed screws</t>
  </si>
  <si>
    <t>Slow cut speed for wrappers</t>
  </si>
  <si>
    <t xml:space="preserve">R Conveyors down   </t>
  </si>
  <si>
    <t>Pan/Unstacker down - sensor</t>
  </si>
  <si>
    <t xml:space="preserve">Power Issues. Kept powering down. </t>
  </si>
  <si>
    <t xml:space="preserve">Oven down - Loader chain rubbing steam pipe. </t>
  </si>
  <si>
    <t>Proof box down</t>
  </si>
  <si>
    <t>Break for Engineers to work on the equipment</t>
  </si>
  <si>
    <t>Doubles @ dayfeed</t>
  </si>
  <si>
    <t>Dough contamination</t>
  </si>
  <si>
    <t>Bad mix/Mixer error</t>
  </si>
  <si>
    <t>winkler jam up</t>
  </si>
  <si>
    <t>Bad dough/Remake CVR</t>
  </si>
  <si>
    <t>Contaminated dough - plastic</t>
  </si>
  <si>
    <t>ADA dough conveyor stuck</t>
  </si>
  <si>
    <t>Cooler Jam</t>
  </si>
  <si>
    <t>Divider down - belt issues</t>
  </si>
  <si>
    <t>Mixer issues</t>
  </si>
  <si>
    <t>Grouper issues</t>
  </si>
  <si>
    <t>Index board down</t>
  </si>
  <si>
    <t>Rounder down</t>
  </si>
  <si>
    <t>Replaced divider incline belt</t>
  </si>
  <si>
    <t>Jam up @ winkler</t>
  </si>
  <si>
    <t>Jam up @ griddle</t>
  </si>
  <si>
    <t>Jam up @ zigzag x2</t>
  </si>
  <si>
    <t>Broken cup @ winkler x2</t>
  </si>
  <si>
    <t>indexing gate issue</t>
  </si>
  <si>
    <t>Divider cutting issue</t>
  </si>
  <si>
    <t>Broken drive chain</t>
  </si>
  <si>
    <t>Pan stacker/unstacker down</t>
  </si>
  <si>
    <t>Broken Drive Chain</t>
  </si>
  <si>
    <t>N KRD slide missing</t>
  </si>
  <si>
    <t>Divider oil hose broke</t>
  </si>
  <si>
    <t>Mixer error - Bad dough</t>
  </si>
  <si>
    <t xml:space="preserve">Divider down - Axle replaced </t>
  </si>
  <si>
    <t>Pan jam/Dough Jam/ Tromp issues</t>
  </si>
  <si>
    <t>Sideways pans @ proofbox</t>
  </si>
  <si>
    <t>Zigzag jam ups</t>
  </si>
  <si>
    <t>Power on mixer shut off</t>
  </si>
  <si>
    <t>Transfer belt down</t>
  </si>
  <si>
    <t>Sour getting stuck in chute</t>
  </si>
  <si>
    <t>Conveyors kicked out</t>
  </si>
  <si>
    <t>Remakes from 1st shift</t>
  </si>
  <si>
    <t>Moulder feed conveyor down</t>
  </si>
  <si>
    <t>South KRD Coupler broke</t>
  </si>
  <si>
    <t xml:space="preserve">Contaminated dough - Raisin bag </t>
  </si>
  <si>
    <t>S KRD Coupler - Hopper wobbling</t>
  </si>
  <si>
    <t>Lack of coverage</t>
  </si>
  <si>
    <t>Section of cooler kicked out</t>
  </si>
  <si>
    <t>Winkler down - PLC card loose</t>
  </si>
  <si>
    <t>Loose PLC IO card needed to be reseated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</si>
</sst>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3" x14ac:knownFonts="1">
    <font>
      <sz val="11"/>
      <color theme="1"/>
      <name val="Calibri"/>
      <family val="2"/>
      <scheme val="minor"/>
    </font>
    <font>
      <sz val="8"/>
      <name val="Calibri"/>
      <family val="2"/>
      <scheme val="minor"/>
    </font>
    <font>
      <sz val="10"/>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theme="7" tint="0.79998168889431442"/>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s>
  <cellStyleXfs count="2">
    <xf numFmtId="0" fontId="0" fillId="0" borderId="0"/>
    <xf numFmtId="0" fontId="2" fillId="0" borderId="0"/>
  </cellStyleXfs>
  <cellXfs count="36">
    <xf numFmtId="0" fontId="0" fillId="0" borderId="0" xfId="0"/>
    <xf numFmtId="14" fontId="0" fillId="0" borderId="0" xfId="0" applyNumberFormat="1"/>
    <xf numFmtId="1" fontId="0" fillId="0" borderId="0" xfId="0" applyNumberFormat="1"/>
    <xf numFmtId="49" fontId="0" fillId="0" borderId="0" xfId="0" applyNumberFormat="1"/>
    <xf numFmtId="0" fontId="0" fillId="2" borderId="2" xfId="0" applyFont="1" applyFill="1" applyBorder="1"/>
    <xf numFmtId="0" fontId="0" fillId="0" borderId="2" xfId="0" applyFont="1" applyBorder="1"/>
    <xf numFmtId="0" fontId="0" fillId="0" borderId="0" xfId="0" applyAlignment="1">
      <alignment vertical="center"/>
    </xf>
    <xf numFmtId="14" fontId="0" fillId="2" borderId="1" xfId="0" applyNumberFormat="1" applyFont="1" applyFill="1" applyBorder="1"/>
    <xf numFmtId="14" fontId="0" fillId="2" borderId="2" xfId="0" applyNumberFormat="1" applyFont="1" applyFill="1" applyBorder="1"/>
    <xf numFmtId="1" fontId="0" fillId="2" borderId="2" xfId="0" applyNumberFormat="1" applyFont="1" applyFill="1" applyBorder="1"/>
    <xf numFmtId="49" fontId="0" fillId="2" borderId="3" xfId="0" applyNumberFormat="1" applyFont="1" applyFill="1" applyBorder="1"/>
    <xf numFmtId="14" fontId="0" fillId="0" borderId="1" xfId="0" applyNumberFormat="1" applyFont="1" applyBorder="1"/>
    <xf numFmtId="14" fontId="0" fillId="0" borderId="2" xfId="0" applyNumberFormat="1" applyFont="1" applyBorder="1"/>
    <xf numFmtId="1" fontId="0" fillId="0" borderId="2" xfId="0" applyNumberFormat="1" applyFont="1" applyBorder="1"/>
    <xf numFmtId="49" fontId="0" fillId="0" borderId="3" xfId="0" applyNumberFormat="1" applyFont="1" applyBorder="1"/>
    <xf numFmtId="0" fontId="0" fillId="0" borderId="4" xfId="0" applyBorder="1"/>
    <xf numFmtId="0" fontId="0" fillId="3" borderId="0" xfId="0" applyFill="1"/>
    <xf numFmtId="0" fontId="0" fillId="3" borderId="4" xfId="0" applyFill="1" applyBorder="1"/>
    <xf numFmtId="0" fontId="0" fillId="0" borderId="0" xfId="0" applyFill="1"/>
    <xf numFmtId="0" fontId="0" fillId="0" borderId="0" xfId="0" applyNumberFormat="1"/>
    <xf numFmtId="0" fontId="0" fillId="0" borderId="0" xfId="0" applyAlignment="1">
      <alignment wrapText="1"/>
    </xf>
    <xf numFmtId="14" fontId="0" fillId="0" borderId="5" xfId="0" applyNumberFormat="1" applyBorder="1"/>
    <xf numFmtId="0" fontId="0" fillId="0" borderId="5" xfId="0" applyBorder="1"/>
    <xf numFmtId="14" fontId="0" fillId="0" borderId="6" xfId="0" applyNumberFormat="1" applyBorder="1"/>
    <xf numFmtId="0" fontId="0" fillId="0" borderId="6" xfId="0" applyBorder="1"/>
    <xf numFmtId="1" fontId="0" fillId="0" borderId="5" xfId="0" applyNumberFormat="1" applyBorder="1"/>
    <xf numFmtId="49" fontId="0" fillId="0" borderId="5" xfId="0" applyNumberFormat="1" applyBorder="1"/>
    <xf numFmtId="0" fontId="0" fillId="0" borderId="5" xfId="0" applyBorder="1" applyAlignment="1">
      <alignment wrapText="1"/>
    </xf>
    <xf numFmtId="14" fontId="0" fillId="0" borderId="0" xfId="0" applyNumberFormat="1" applyBorder="1"/>
    <xf numFmtId="1" fontId="0" fillId="0" borderId="0" xfId="0" applyNumberFormat="1" applyBorder="1"/>
    <xf numFmtId="0" fontId="0" fillId="0" borderId="0" xfId="0" applyBorder="1"/>
    <xf numFmtId="49" fontId="0" fillId="0" borderId="0" xfId="0" applyNumberFormat="1" applyBorder="1"/>
    <xf numFmtId="0" fontId="0" fillId="0" borderId="0" xfId="0" applyBorder="1" applyAlignment="1">
      <alignment wrapText="1"/>
    </xf>
    <xf numFmtId="164" fontId="0" fillId="0" borderId="0" xfId="0" applyNumberFormat="1" applyAlignment="1">
      <alignment horizontal="right"/>
    </xf>
    <xf numFmtId="164" fontId="0" fillId="0" borderId="5" xfId="0" applyNumberFormat="1" applyBorder="1" applyAlignment="1">
      <alignment horizontal="right"/>
    </xf>
    <xf numFmtId="1" fontId="0" fillId="0" borderId="0" xfId="0" applyNumberFormat="1" applyFont="1"/>
  </cellXfs>
  <cellStyles count="2">
    <cellStyle name="Normal" xfId="0" builtinId="0"/>
    <cellStyle name="Normal 2" xfId="1"/>
  </cellStyles>
  <dxfs count="18">
    <dxf>
      <numFmt numFmtId="0" formatCode="General"/>
    </dxf>
    <dxf>
      <numFmt numFmtId="30" formatCode="@"/>
    </dxf>
    <dxf>
      <numFmt numFmtId="19" formatCode="m/d/yyyy"/>
    </dxf>
    <dxf>
      <numFmt numFmtId="1" formatCode="0"/>
    </dxf>
    <dxf>
      <numFmt numFmtId="19" formatCode="m/d/yyyy"/>
    </dxf>
    <dxf>
      <numFmt numFmtId="1" formatCode="0"/>
    </dxf>
    <dxf>
      <numFmt numFmtId="19" formatCode="m/d/yyyy"/>
    </dxf>
    <dxf>
      <numFmt numFmtId="19" formatCode="m/d/yyyy"/>
    </dxf>
    <dxf>
      <numFmt numFmtId="19" formatCode="m/d/yyyy"/>
    </dxf>
    <dxf>
      <numFmt numFmtId="19" formatCode="m/d/yyyy"/>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AV%20Reports/Production/Corporate/Downtime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tches"/>
      <sheetName val="Finished goods "/>
      <sheetName val="Hours"/>
      <sheetName val="Downtime "/>
      <sheetName val="Waste"/>
      <sheetName val="Sheet2"/>
      <sheetName val="Lists"/>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id="5" name="Table5" displayName="Table5" ref="A1:F1720" totalsRowShown="0">
  <autoFilter ref="A1:F1720">
    <filterColumn colId="0">
      <filters>
        <dateGroupItem year="2021" dateTimeGrouping="year"/>
      </filters>
    </filterColumn>
  </autoFilter>
  <sortState ref="A129:F224">
    <sortCondition ref="A1:A224"/>
  </sortState>
  <tableColumns count="6">
    <tableColumn id="1" name="Sales date" dataDxfId="17"/>
    <tableColumn id="2" name="Prod line"/>
    <tableColumn id="3" name="Clean Bake "/>
    <tableColumn id="7" name="After ADJ"/>
    <tableColumn id="4" name="Added Sales "/>
    <tableColumn id="5" name="National "/>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P3240" totalsRowShown="0">
  <autoFilter ref="A1:P3240">
    <filterColumn colId="2">
      <filters>
        <dateGroupItem year="2022" dateTimeGrouping="year"/>
      </filters>
    </filterColumn>
    <filterColumn colId="8">
      <filters>
        <filter val="Mech."/>
      </filters>
    </filterColumn>
  </autoFilter>
  <tableColumns count="16">
    <tableColumn id="9" name="Line link " dataDxfId="9">
      <calculatedColumnFormula>VLOOKUP(Table2[[#This Row],[Prod Line ]],Lists!A:E,5,0)</calculatedColumnFormula>
    </tableColumn>
    <tableColumn id="4" name="Sales Date" dataDxfId="8"/>
    <tableColumn id="14" name="Event Date" dataDxfId="7"/>
    <tableColumn id="6" name="Prod Line " dataDxfId="6"/>
    <tableColumn id="5" name="Shift" dataDxfId="5"/>
    <tableColumn id="7" name="Ptype" dataDxfId="4"/>
    <tableColumn id="8" name="Minutes" dataDxfId="3"/>
    <tableColumn id="15" name="Remake" dataDxfId="2"/>
    <tableColumn id="1" name="Type"/>
    <tableColumn id="2" name="Area"/>
    <tableColumn id="13" name="Equipment"/>
    <tableColumn id="3" name="Cause"/>
    <tableColumn id="11" name="Description of issue " dataDxfId="1"/>
    <tableColumn id="10" name="Explanation of cause "/>
    <tableColumn id="12" name="Solution"/>
    <tableColumn id="16" name="Timeline"/>
  </tableColumns>
  <tableStyleInfo name="TableStyleMedium2" showFirstColumn="0" showLastColumn="0" showRowStripes="1" showColumnStripes="0"/>
</table>
</file>

<file path=xl/tables/table3.xml><?xml version="1.0" encoding="utf-8"?>
<table xmlns="http://schemas.openxmlformats.org/spreadsheetml/2006/main" id="3" name="Table24" displayName="Table24" ref="A1:E5" totalsRowShown="0">
  <autoFilter ref="A1:E5"/>
  <sortState ref="A2:D5">
    <sortCondition ref="A1:A5"/>
  </sortState>
  <tableColumns count="5">
    <tableColumn id="1" name="Code"/>
    <tableColumn id="2" name="Location Code"/>
    <tableColumn id="3" name="Description" dataDxfId="0"/>
    <tableColumn id="4" name="Type"/>
    <tableColumn id="5"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8"/>
  <sheetViews>
    <sheetView workbookViewId="0">
      <selection activeCell="B37" sqref="B37"/>
    </sheetView>
  </sheetViews>
  <sheetFormatPr defaultRowHeight="15" x14ac:dyDescent="0.25"/>
  <cols>
    <col min="1" max="1" width="12" bestFit="1" customWidth="1"/>
    <col min="2" max="2" width="12" customWidth="1"/>
    <col min="3" max="10" width="15" customWidth="1"/>
    <col min="11" max="11" width="16" bestFit="1" customWidth="1"/>
    <col min="12" max="12" width="20.7109375" bestFit="1" customWidth="1"/>
    <col min="13" max="13" width="16.28515625" bestFit="1" customWidth="1"/>
    <col min="14" max="14" width="16.7109375" bestFit="1" customWidth="1"/>
    <col min="15" max="15" width="12.42578125" bestFit="1" customWidth="1"/>
    <col min="16" max="16" width="13.7109375" bestFit="1" customWidth="1"/>
    <col min="17" max="17" width="12" bestFit="1" customWidth="1"/>
  </cols>
  <sheetData>
    <row r="2" spans="1:14" x14ac:dyDescent="0.25">
      <c r="C2" t="s">
        <v>68</v>
      </c>
      <c r="D2" t="s">
        <v>403</v>
      </c>
      <c r="E2" t="s">
        <v>26</v>
      </c>
      <c r="F2" t="s">
        <v>3</v>
      </c>
      <c r="G2" t="s">
        <v>362</v>
      </c>
      <c r="H2" t="s">
        <v>4</v>
      </c>
      <c r="I2" t="s">
        <v>5</v>
      </c>
      <c r="J2" t="s">
        <v>67</v>
      </c>
    </row>
    <row r="3" spans="1:14" x14ac:dyDescent="0.25">
      <c r="A3" t="s">
        <v>1</v>
      </c>
      <c r="B3" s="16" t="s">
        <v>399</v>
      </c>
      <c r="C3" s="17" t="str">
        <f>$B3&amp;C2</f>
        <v>aMixer</v>
      </c>
      <c r="D3" s="17" t="str">
        <f t="shared" ref="D3:J3" si="0">$B3&amp;D2</f>
        <v>aMakeup</v>
      </c>
      <c r="E3" s="17" t="str">
        <f>$B3&amp;E2</f>
        <v>aProofbox</v>
      </c>
      <c r="F3" s="17" t="str">
        <f t="shared" si="0"/>
        <v>aOven</v>
      </c>
      <c r="G3" s="17" t="str">
        <f t="shared" si="0"/>
        <v>aPan</v>
      </c>
      <c r="H3" s="17" t="str">
        <f t="shared" si="0"/>
        <v>aCooler</v>
      </c>
      <c r="I3" s="17" t="str">
        <f t="shared" si="0"/>
        <v>aWrap</v>
      </c>
      <c r="J3" s="17" t="str">
        <f t="shared" si="0"/>
        <v>aOther</v>
      </c>
      <c r="L3" t="s">
        <v>0</v>
      </c>
      <c r="M3" t="s">
        <v>1</v>
      </c>
      <c r="N3" t="s">
        <v>67</v>
      </c>
    </row>
    <row r="4" spans="1:14" x14ac:dyDescent="0.25">
      <c r="A4" t="s">
        <v>0</v>
      </c>
      <c r="B4" s="18"/>
      <c r="C4" s="15"/>
      <c r="D4" s="15"/>
      <c r="E4" s="15"/>
      <c r="F4" s="15"/>
      <c r="G4" s="15"/>
      <c r="H4" s="15"/>
      <c r="I4" s="15"/>
      <c r="J4" s="15"/>
      <c r="L4" t="s">
        <v>69</v>
      </c>
      <c r="M4" t="s">
        <v>407</v>
      </c>
      <c r="N4" t="s">
        <v>71</v>
      </c>
    </row>
    <row r="5" spans="1:14" x14ac:dyDescent="0.25">
      <c r="A5" t="s">
        <v>67</v>
      </c>
      <c r="B5" s="18"/>
      <c r="C5" s="15" t="s">
        <v>13</v>
      </c>
      <c r="D5" s="15" t="s">
        <v>363</v>
      </c>
      <c r="E5" s="15" t="s">
        <v>26</v>
      </c>
      <c r="F5" s="15" t="s">
        <v>372</v>
      </c>
      <c r="G5" s="15" t="s">
        <v>29</v>
      </c>
      <c r="H5" s="15" t="s">
        <v>4</v>
      </c>
      <c r="I5" s="15" t="s">
        <v>375</v>
      </c>
      <c r="J5" s="15" t="s">
        <v>40</v>
      </c>
      <c r="L5" t="s">
        <v>70</v>
      </c>
      <c r="M5" t="s">
        <v>72</v>
      </c>
      <c r="N5" t="s">
        <v>74</v>
      </c>
    </row>
    <row r="6" spans="1:14" x14ac:dyDescent="0.25">
      <c r="B6" s="18"/>
      <c r="C6" s="15" t="s">
        <v>14</v>
      </c>
      <c r="D6" s="15" t="s">
        <v>364</v>
      </c>
      <c r="E6" s="15"/>
      <c r="F6" s="15" t="s">
        <v>27</v>
      </c>
      <c r="G6" s="15" t="s">
        <v>30</v>
      </c>
      <c r="H6" s="15" t="s">
        <v>34</v>
      </c>
      <c r="I6" s="15" t="s">
        <v>376</v>
      </c>
      <c r="J6" s="15" t="s">
        <v>41</v>
      </c>
      <c r="L6" t="s">
        <v>82</v>
      </c>
      <c r="M6" s="6" t="s">
        <v>344</v>
      </c>
      <c r="N6" s="6" t="s">
        <v>346</v>
      </c>
    </row>
    <row r="7" spans="1:14" x14ac:dyDescent="0.25">
      <c r="C7" s="15" t="s">
        <v>15</v>
      </c>
      <c r="D7" s="15" t="s">
        <v>365</v>
      </c>
      <c r="E7" s="15"/>
      <c r="F7" s="15" t="s">
        <v>373</v>
      </c>
      <c r="G7" s="15" t="s">
        <v>31</v>
      </c>
      <c r="H7" s="15" t="s">
        <v>374</v>
      </c>
      <c r="I7" s="15"/>
      <c r="J7" s="15" t="s">
        <v>67</v>
      </c>
      <c r="L7" t="s">
        <v>83</v>
      </c>
      <c r="M7" s="6" t="s">
        <v>345</v>
      </c>
    </row>
    <row r="8" spans="1:14" x14ac:dyDescent="0.25">
      <c r="C8" s="15" t="s">
        <v>16</v>
      </c>
      <c r="D8" s="15" t="s">
        <v>366</v>
      </c>
      <c r="E8" s="15"/>
      <c r="F8" s="15" t="s">
        <v>3</v>
      </c>
      <c r="G8" s="15" t="s">
        <v>32</v>
      </c>
      <c r="H8" s="15"/>
      <c r="I8" s="15"/>
      <c r="J8" s="15"/>
      <c r="M8" s="6" t="s">
        <v>349</v>
      </c>
    </row>
    <row r="9" spans="1:14" x14ac:dyDescent="0.25">
      <c r="A9" t="s">
        <v>2</v>
      </c>
      <c r="C9" s="15" t="s">
        <v>17</v>
      </c>
      <c r="D9" s="15" t="s">
        <v>367</v>
      </c>
      <c r="E9" s="15"/>
      <c r="F9" s="15"/>
      <c r="G9" s="15" t="s">
        <v>33</v>
      </c>
      <c r="H9" s="15"/>
      <c r="I9" s="15"/>
      <c r="J9" s="15"/>
      <c r="M9" t="s">
        <v>350</v>
      </c>
    </row>
    <row r="10" spans="1:14" x14ac:dyDescent="0.25">
      <c r="A10" t="s">
        <v>64</v>
      </c>
      <c r="C10" s="15" t="s">
        <v>19</v>
      </c>
      <c r="D10" s="15" t="s">
        <v>368</v>
      </c>
      <c r="E10" s="15"/>
      <c r="F10" s="15"/>
      <c r="G10" s="15"/>
      <c r="H10" s="15"/>
      <c r="I10" s="15"/>
      <c r="J10" s="15"/>
      <c r="M10" s="6" t="s">
        <v>430</v>
      </c>
    </row>
    <row r="11" spans="1:14" x14ac:dyDescent="0.25">
      <c r="A11" t="s">
        <v>26</v>
      </c>
      <c r="C11" s="15"/>
      <c r="D11" s="15" t="s">
        <v>369</v>
      </c>
      <c r="E11" s="15"/>
      <c r="F11" s="15"/>
      <c r="G11" s="15"/>
      <c r="H11" s="15"/>
      <c r="I11" s="15"/>
      <c r="J11" s="15"/>
      <c r="M11" s="6" t="s">
        <v>441</v>
      </c>
    </row>
    <row r="12" spans="1:14" x14ac:dyDescent="0.25">
      <c r="A12" t="s">
        <v>65</v>
      </c>
      <c r="C12" s="15"/>
      <c r="D12" s="15" t="s">
        <v>370</v>
      </c>
      <c r="E12" s="15"/>
      <c r="F12" s="15"/>
      <c r="G12" s="15"/>
      <c r="H12" s="15"/>
      <c r="I12" s="15"/>
      <c r="J12" s="15"/>
    </row>
    <row r="13" spans="1:14" x14ac:dyDescent="0.25">
      <c r="A13" t="s">
        <v>66</v>
      </c>
      <c r="C13" s="15"/>
      <c r="D13" s="15" t="s">
        <v>371</v>
      </c>
      <c r="E13" s="15"/>
      <c r="F13" s="15"/>
      <c r="G13" s="15"/>
      <c r="H13" s="15"/>
      <c r="I13" s="15"/>
      <c r="J13" s="15"/>
    </row>
    <row r="14" spans="1:14" x14ac:dyDescent="0.25">
      <c r="A14" t="s">
        <v>5</v>
      </c>
      <c r="B14" s="16" t="s">
        <v>400</v>
      </c>
      <c r="C14" s="17" t="str">
        <f>$B14&amp;C2</f>
        <v>bMixer</v>
      </c>
      <c r="D14" s="17" t="str">
        <f t="shared" ref="D14:J14" si="1">$B14&amp;D2</f>
        <v>bMakeup</v>
      </c>
      <c r="E14" s="17" t="str">
        <f t="shared" si="1"/>
        <v>bProofbox</v>
      </c>
      <c r="F14" s="17" t="str">
        <f t="shared" si="1"/>
        <v>bOven</v>
      </c>
      <c r="G14" s="17" t="str">
        <f t="shared" si="1"/>
        <v>bPan</v>
      </c>
      <c r="H14" s="17" t="str">
        <f t="shared" si="1"/>
        <v>bCooler</v>
      </c>
      <c r="I14" s="17" t="str">
        <f t="shared" si="1"/>
        <v>bWrap</v>
      </c>
      <c r="J14" s="17" t="str">
        <f t="shared" si="1"/>
        <v>bOther</v>
      </c>
    </row>
    <row r="15" spans="1:14" x14ac:dyDescent="0.25">
      <c r="A15" t="s">
        <v>67</v>
      </c>
      <c r="C15" s="15"/>
      <c r="D15" s="15"/>
      <c r="E15" s="15"/>
      <c r="F15" s="15"/>
      <c r="G15" s="15"/>
      <c r="H15" s="15"/>
      <c r="I15" s="15"/>
      <c r="J15" s="15"/>
    </row>
    <row r="16" spans="1:14" x14ac:dyDescent="0.25">
      <c r="C16" s="15" t="s">
        <v>13</v>
      </c>
      <c r="D16" s="15" t="s">
        <v>20</v>
      </c>
      <c r="E16" s="15" t="s">
        <v>25</v>
      </c>
      <c r="F16" s="15" t="s">
        <v>27</v>
      </c>
      <c r="G16" s="15" t="s">
        <v>31</v>
      </c>
      <c r="H16" s="15" t="s">
        <v>34</v>
      </c>
      <c r="I16" s="15" t="s">
        <v>36</v>
      </c>
      <c r="J16" s="15" t="s">
        <v>40</v>
      </c>
    </row>
    <row r="17" spans="2:10" x14ac:dyDescent="0.25">
      <c r="C17" s="15" t="s">
        <v>14</v>
      </c>
      <c r="D17" s="15" t="s">
        <v>21</v>
      </c>
      <c r="E17" s="15" t="s">
        <v>26</v>
      </c>
      <c r="F17" s="15" t="s">
        <v>28</v>
      </c>
      <c r="G17" s="15" t="s">
        <v>32</v>
      </c>
      <c r="H17" s="15" t="s">
        <v>4</v>
      </c>
      <c r="I17" s="15" t="s">
        <v>37</v>
      </c>
      <c r="J17" s="15" t="s">
        <v>41</v>
      </c>
    </row>
    <row r="18" spans="2:10" x14ac:dyDescent="0.25">
      <c r="C18" s="15" t="s">
        <v>15</v>
      </c>
      <c r="D18" s="15" t="s">
        <v>22</v>
      </c>
      <c r="E18" s="15"/>
      <c r="F18" s="15" t="s">
        <v>3</v>
      </c>
      <c r="G18" s="15" t="s">
        <v>33</v>
      </c>
      <c r="H18" s="15" t="s">
        <v>35</v>
      </c>
      <c r="I18" s="15" t="s">
        <v>38</v>
      </c>
      <c r="J18" s="15" t="s">
        <v>67</v>
      </c>
    </row>
    <row r="19" spans="2:10" x14ac:dyDescent="0.25">
      <c r="C19" s="15" t="s">
        <v>16</v>
      </c>
      <c r="D19" s="15" t="s">
        <v>23</v>
      </c>
      <c r="E19" s="15"/>
      <c r="F19" s="15"/>
      <c r="G19" s="15" t="s">
        <v>29</v>
      </c>
      <c r="H19" s="15"/>
      <c r="I19" s="15" t="s">
        <v>39</v>
      </c>
      <c r="J19" s="15"/>
    </row>
    <row r="20" spans="2:10" x14ac:dyDescent="0.25">
      <c r="C20" s="15" t="s">
        <v>17</v>
      </c>
      <c r="D20" s="15" t="s">
        <v>24</v>
      </c>
      <c r="E20" s="15"/>
      <c r="F20" s="15"/>
      <c r="G20" s="15" t="s">
        <v>30</v>
      </c>
      <c r="H20" s="15"/>
      <c r="I20" s="15"/>
      <c r="J20" s="15"/>
    </row>
    <row r="21" spans="2:10" x14ac:dyDescent="0.25">
      <c r="C21" s="15" t="s">
        <v>18</v>
      </c>
      <c r="D21" s="15"/>
      <c r="E21" s="15"/>
      <c r="F21" s="15"/>
      <c r="G21" s="15"/>
      <c r="H21" s="15"/>
      <c r="I21" s="15"/>
      <c r="J21" s="15"/>
    </row>
    <row r="22" spans="2:10" x14ac:dyDescent="0.25">
      <c r="C22" s="15" t="s">
        <v>19</v>
      </c>
      <c r="D22" s="15"/>
      <c r="E22" s="15"/>
      <c r="F22" s="15"/>
      <c r="G22" s="15"/>
      <c r="H22" s="15"/>
      <c r="I22" s="15"/>
      <c r="J22" s="15"/>
    </row>
    <row r="23" spans="2:10" x14ac:dyDescent="0.25">
      <c r="C23" s="15"/>
      <c r="D23" s="15"/>
      <c r="E23" s="15"/>
      <c r="F23" s="15"/>
      <c r="G23" s="15"/>
      <c r="H23" s="15"/>
      <c r="I23" s="15"/>
      <c r="J23" s="15"/>
    </row>
    <row r="24" spans="2:10" x14ac:dyDescent="0.25">
      <c r="C24" s="15"/>
      <c r="D24" s="15"/>
      <c r="E24" s="15"/>
      <c r="F24" s="15"/>
      <c r="G24" s="15"/>
      <c r="H24" s="15"/>
      <c r="I24" s="15"/>
      <c r="J24" s="15"/>
    </row>
    <row r="25" spans="2:10" x14ac:dyDescent="0.25">
      <c r="B25" s="16" t="s">
        <v>401</v>
      </c>
      <c r="C25" s="17" t="str">
        <f>$B25&amp;C2</f>
        <v>cMixer</v>
      </c>
      <c r="D25" s="17" t="str">
        <f t="shared" ref="D25:J25" si="2">$B25&amp;D2</f>
        <v>cMakeup</v>
      </c>
      <c r="E25" s="17" t="str">
        <f t="shared" si="2"/>
        <v>cProofbox</v>
      </c>
      <c r="F25" s="17" t="str">
        <f t="shared" si="2"/>
        <v>cOven</v>
      </c>
      <c r="G25" s="17" t="str">
        <f t="shared" si="2"/>
        <v>cPan</v>
      </c>
      <c r="H25" s="17" t="str">
        <f t="shared" si="2"/>
        <v>cCooler</v>
      </c>
      <c r="I25" s="17" t="str">
        <f t="shared" si="2"/>
        <v>cWrap</v>
      </c>
      <c r="J25" s="17" t="str">
        <f t="shared" si="2"/>
        <v>cOther</v>
      </c>
    </row>
    <row r="26" spans="2:10" x14ac:dyDescent="0.25">
      <c r="C26" s="15"/>
      <c r="D26" s="15"/>
      <c r="E26" s="15"/>
      <c r="F26" s="15"/>
      <c r="G26" s="15"/>
      <c r="H26" s="15"/>
      <c r="I26" s="15"/>
      <c r="J26" s="15"/>
    </row>
    <row r="27" spans="2:10" x14ac:dyDescent="0.25">
      <c r="C27" s="15" t="s">
        <v>13</v>
      </c>
      <c r="D27" s="15" t="s">
        <v>379</v>
      </c>
      <c r="E27" s="15" t="s">
        <v>26</v>
      </c>
      <c r="F27" s="15" t="s">
        <v>382</v>
      </c>
      <c r="G27" s="15" t="s">
        <v>29</v>
      </c>
      <c r="H27" s="15" t="s">
        <v>4</v>
      </c>
      <c r="I27" s="15" t="s">
        <v>386</v>
      </c>
      <c r="J27" s="15" t="s">
        <v>40</v>
      </c>
    </row>
    <row r="28" spans="2:10" x14ac:dyDescent="0.25">
      <c r="C28" s="15" t="s">
        <v>14</v>
      </c>
      <c r="D28" s="15" t="s">
        <v>368</v>
      </c>
      <c r="E28" s="15"/>
      <c r="F28" s="15" t="s">
        <v>383</v>
      </c>
      <c r="G28" s="15" t="s">
        <v>30</v>
      </c>
      <c r="H28" s="15" t="s">
        <v>374</v>
      </c>
      <c r="I28" s="15" t="s">
        <v>387</v>
      </c>
      <c r="J28" s="15" t="s">
        <v>41</v>
      </c>
    </row>
    <row r="29" spans="2:10" x14ac:dyDescent="0.25">
      <c r="C29" s="15" t="s">
        <v>15</v>
      </c>
      <c r="D29" s="15" t="s">
        <v>380</v>
      </c>
      <c r="E29" s="15"/>
      <c r="F29" s="15" t="s">
        <v>3</v>
      </c>
      <c r="G29" s="15" t="s">
        <v>32</v>
      </c>
      <c r="H29" s="15" t="s">
        <v>384</v>
      </c>
      <c r="I29" s="15" t="s">
        <v>388</v>
      </c>
      <c r="J29" s="15" t="s">
        <v>67</v>
      </c>
    </row>
    <row r="30" spans="2:10" x14ac:dyDescent="0.25">
      <c r="C30" s="15" t="s">
        <v>16</v>
      </c>
      <c r="D30" s="15" t="s">
        <v>381</v>
      </c>
      <c r="E30" s="15"/>
      <c r="F30" s="15"/>
      <c r="G30" s="15" t="s">
        <v>33</v>
      </c>
      <c r="H30" s="15"/>
      <c r="I30" s="15" t="s">
        <v>389</v>
      </c>
      <c r="J30" s="15"/>
    </row>
    <row r="31" spans="2:10" x14ac:dyDescent="0.25">
      <c r="C31" s="15" t="s">
        <v>17</v>
      </c>
      <c r="D31" s="15"/>
      <c r="E31" s="15"/>
      <c r="F31" s="15"/>
      <c r="G31" s="15" t="s">
        <v>385</v>
      </c>
      <c r="H31" s="15"/>
      <c r="I31" s="15" t="s">
        <v>390</v>
      </c>
      <c r="J31" s="15"/>
    </row>
    <row r="32" spans="2:10" x14ac:dyDescent="0.25">
      <c r="C32" s="15" t="s">
        <v>377</v>
      </c>
      <c r="D32" s="15"/>
      <c r="E32" s="15"/>
      <c r="F32" s="15"/>
      <c r="G32" s="15"/>
      <c r="H32" s="15"/>
      <c r="I32" s="15" t="s">
        <v>391</v>
      </c>
      <c r="J32" s="15"/>
    </row>
    <row r="33" spans="2:10" x14ac:dyDescent="0.25">
      <c r="C33" s="15" t="s">
        <v>378</v>
      </c>
      <c r="D33" s="15"/>
      <c r="E33" s="15"/>
      <c r="F33" s="15"/>
      <c r="G33" s="15"/>
      <c r="H33" s="15"/>
      <c r="J33" s="15"/>
    </row>
    <row r="34" spans="2:10" x14ac:dyDescent="0.25">
      <c r="C34" s="15"/>
      <c r="D34" s="15"/>
      <c r="E34" s="15"/>
      <c r="F34" s="15"/>
      <c r="G34" s="15"/>
      <c r="H34" s="15"/>
      <c r="I34" s="15"/>
      <c r="J34" s="15"/>
    </row>
    <row r="35" spans="2:10" x14ac:dyDescent="0.25">
      <c r="C35" s="15"/>
      <c r="D35" s="15"/>
      <c r="E35" s="15"/>
      <c r="F35" s="15"/>
      <c r="G35" s="15"/>
      <c r="H35" s="15"/>
      <c r="I35" s="15"/>
      <c r="J35" s="15"/>
    </row>
    <row r="36" spans="2:10" x14ac:dyDescent="0.25">
      <c r="C36" s="15"/>
      <c r="D36" s="15"/>
      <c r="E36" s="15"/>
      <c r="F36" s="15"/>
      <c r="G36" s="15"/>
      <c r="H36" s="15"/>
      <c r="I36" s="15"/>
      <c r="J36" s="15"/>
    </row>
    <row r="37" spans="2:10" x14ac:dyDescent="0.25">
      <c r="B37" s="16" t="s">
        <v>402</v>
      </c>
      <c r="C37" s="17" t="str">
        <f>$B37&amp;C2</f>
        <v>dMixer</v>
      </c>
      <c r="D37" s="17" t="str">
        <f t="shared" ref="D37:J37" si="3">$B37&amp;D2</f>
        <v>dMakeup</v>
      </c>
      <c r="E37" s="17" t="str">
        <f t="shared" si="3"/>
        <v>dProofbox</v>
      </c>
      <c r="F37" s="17" t="str">
        <f t="shared" si="3"/>
        <v>dOven</v>
      </c>
      <c r="G37" s="17" t="str">
        <f t="shared" si="3"/>
        <v>dPan</v>
      </c>
      <c r="H37" s="17" t="str">
        <f t="shared" si="3"/>
        <v>dCooler</v>
      </c>
      <c r="I37" s="17" t="str">
        <f t="shared" si="3"/>
        <v>dWrap</v>
      </c>
      <c r="J37" s="17" t="str">
        <f t="shared" si="3"/>
        <v>dOther</v>
      </c>
    </row>
    <row r="38" spans="2:10" x14ac:dyDescent="0.25">
      <c r="C38" s="15"/>
      <c r="D38" s="15"/>
      <c r="E38" s="15"/>
      <c r="F38" s="15"/>
      <c r="G38" s="15"/>
      <c r="H38" s="15"/>
      <c r="I38" s="15"/>
      <c r="J38" s="15"/>
    </row>
    <row r="39" spans="2:10" x14ac:dyDescent="0.25">
      <c r="C39" s="15" t="s">
        <v>13</v>
      </c>
      <c r="D39" s="15" t="s">
        <v>379</v>
      </c>
      <c r="E39" s="15" t="s">
        <v>393</v>
      </c>
      <c r="F39" s="15" t="s">
        <v>394</v>
      </c>
      <c r="G39" s="15"/>
      <c r="H39" s="15" t="s">
        <v>34</v>
      </c>
      <c r="I39" s="15" t="s">
        <v>395</v>
      </c>
      <c r="J39" s="15" t="s">
        <v>40</v>
      </c>
    </row>
    <row r="40" spans="2:10" x14ac:dyDescent="0.25">
      <c r="C40" s="15" t="s">
        <v>14</v>
      </c>
      <c r="D40" s="15"/>
      <c r="E40" s="15"/>
      <c r="F40" s="15"/>
      <c r="G40" s="15"/>
      <c r="H40" s="15" t="s">
        <v>4</v>
      </c>
      <c r="I40" s="15" t="s">
        <v>396</v>
      </c>
      <c r="J40" s="15" t="s">
        <v>41</v>
      </c>
    </row>
    <row r="41" spans="2:10" x14ac:dyDescent="0.25">
      <c r="C41" s="15" t="s">
        <v>15</v>
      </c>
      <c r="D41" s="15"/>
      <c r="E41" s="15"/>
      <c r="F41" s="15"/>
      <c r="G41" s="15"/>
      <c r="H41" s="15" t="s">
        <v>35</v>
      </c>
      <c r="I41" s="15" t="s">
        <v>397</v>
      </c>
      <c r="J41" s="15" t="s">
        <v>67</v>
      </c>
    </row>
    <row r="42" spans="2:10" x14ac:dyDescent="0.25">
      <c r="C42" s="15" t="s">
        <v>16</v>
      </c>
      <c r="D42" s="15"/>
      <c r="E42" s="15"/>
      <c r="F42" s="15"/>
      <c r="G42" s="15"/>
      <c r="H42" s="15"/>
      <c r="J42" s="15"/>
    </row>
    <row r="43" spans="2:10" x14ac:dyDescent="0.25">
      <c r="C43" s="15" t="s">
        <v>17</v>
      </c>
      <c r="D43" s="15"/>
      <c r="E43" s="15"/>
      <c r="F43" s="15"/>
      <c r="G43" s="15"/>
      <c r="H43" s="15"/>
      <c r="I43" s="15"/>
      <c r="J43" s="15"/>
    </row>
    <row r="44" spans="2:10" x14ac:dyDescent="0.25">
      <c r="C44" s="15" t="s">
        <v>19</v>
      </c>
      <c r="D44" s="15"/>
      <c r="E44" s="15"/>
      <c r="F44" s="15"/>
      <c r="G44" s="15"/>
      <c r="H44" s="15"/>
      <c r="I44" s="15"/>
      <c r="J44" s="15"/>
    </row>
    <row r="45" spans="2:10" x14ac:dyDescent="0.25">
      <c r="C45" s="15" t="s">
        <v>392</v>
      </c>
      <c r="D45" s="15"/>
      <c r="E45" s="15"/>
      <c r="F45" s="15"/>
      <c r="G45" s="15"/>
      <c r="H45" s="15"/>
      <c r="I45" s="15"/>
      <c r="J45" s="15"/>
    </row>
    <row r="46" spans="2:10" x14ac:dyDescent="0.25">
      <c r="C46" s="15"/>
      <c r="D46" s="15"/>
      <c r="E46" s="15"/>
      <c r="F46" s="15"/>
      <c r="G46" s="15"/>
      <c r="H46" s="15"/>
      <c r="I46" s="15"/>
      <c r="J46" s="15"/>
    </row>
    <row r="47" spans="2:10" x14ac:dyDescent="0.25">
      <c r="C47" s="15"/>
      <c r="D47" s="15"/>
      <c r="E47" s="15"/>
      <c r="F47" s="15"/>
      <c r="G47" s="15"/>
      <c r="H47" s="15"/>
      <c r="I47" s="15"/>
      <c r="J47" s="15"/>
    </row>
    <row r="48" spans="2:10" x14ac:dyDescent="0.25">
      <c r="C48" s="15"/>
      <c r="D48" s="15"/>
      <c r="E48" s="15"/>
      <c r="F48" s="15"/>
      <c r="G48" s="15"/>
      <c r="H48" s="15"/>
      <c r="I48" s="15"/>
      <c r="J48" s="15"/>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48576"/>
  <sheetViews>
    <sheetView zoomScaleNormal="100" workbookViewId="0">
      <pane ySplit="1" topLeftCell="A1685" activePane="bottomLeft" state="frozen"/>
      <selection pane="bottomLeft" activeCell="D1699" sqref="D1699"/>
    </sheetView>
  </sheetViews>
  <sheetFormatPr defaultRowHeight="15" x14ac:dyDescent="0.25"/>
  <cols>
    <col min="1" max="1" width="12" customWidth="1"/>
    <col min="2" max="2" width="11.140625" customWidth="1"/>
    <col min="3" max="4" width="13.28515625" customWidth="1"/>
    <col min="5" max="5" width="14" customWidth="1"/>
    <col min="6" max="6" width="13.28515625" customWidth="1"/>
  </cols>
  <sheetData>
    <row r="1" spans="1:6" x14ac:dyDescent="0.25">
      <c r="A1" t="s">
        <v>352</v>
      </c>
      <c r="B1" t="s">
        <v>46</v>
      </c>
      <c r="C1" t="s">
        <v>44</v>
      </c>
      <c r="D1" t="s">
        <v>354</v>
      </c>
      <c r="E1" t="s">
        <v>84</v>
      </c>
      <c r="F1" t="s">
        <v>45</v>
      </c>
    </row>
    <row r="2" spans="1:6" hidden="1" x14ac:dyDescent="0.25">
      <c r="A2" s="1">
        <v>44102</v>
      </c>
      <c r="B2" t="s">
        <v>353</v>
      </c>
      <c r="C2">
        <v>26.18</v>
      </c>
      <c r="D2">
        <v>26.93</v>
      </c>
    </row>
    <row r="3" spans="1:6" hidden="1" x14ac:dyDescent="0.25">
      <c r="A3" s="1">
        <v>44103</v>
      </c>
      <c r="B3" t="s">
        <v>58</v>
      </c>
      <c r="C3">
        <v>26.8</v>
      </c>
      <c r="D3">
        <v>26.63</v>
      </c>
    </row>
    <row r="4" spans="1:6" hidden="1" x14ac:dyDescent="0.25">
      <c r="A4" s="1">
        <v>44102</v>
      </c>
      <c r="B4" t="s">
        <v>62</v>
      </c>
      <c r="C4">
        <v>26.95</v>
      </c>
      <c r="D4">
        <v>24.67</v>
      </c>
    </row>
    <row r="5" spans="1:6" hidden="1" x14ac:dyDescent="0.25">
      <c r="A5" s="1">
        <v>44103</v>
      </c>
      <c r="B5" t="s">
        <v>357</v>
      </c>
      <c r="C5">
        <v>21.53</v>
      </c>
      <c r="D5">
        <v>21.75</v>
      </c>
    </row>
    <row r="6" spans="1:6" hidden="1" x14ac:dyDescent="0.25">
      <c r="A6" s="1">
        <v>44102</v>
      </c>
      <c r="B6" t="s">
        <v>56</v>
      </c>
      <c r="C6">
        <f>16.52+3.82</f>
        <v>20.34</v>
      </c>
      <c r="D6">
        <v>17.66</v>
      </c>
    </row>
    <row r="7" spans="1:6" hidden="1" x14ac:dyDescent="0.25">
      <c r="A7" s="1">
        <v>44102</v>
      </c>
      <c r="B7" t="s">
        <v>358</v>
      </c>
      <c r="C7">
        <v>20.399999999999999</v>
      </c>
      <c r="D7">
        <v>20.03</v>
      </c>
    </row>
    <row r="8" spans="1:6" hidden="1" x14ac:dyDescent="0.25">
      <c r="A8" s="1">
        <v>44103</v>
      </c>
      <c r="B8" t="s">
        <v>358</v>
      </c>
      <c r="C8">
        <v>14.4</v>
      </c>
      <c r="D8">
        <v>19.71</v>
      </c>
    </row>
    <row r="9" spans="1:6" hidden="1" x14ac:dyDescent="0.25">
      <c r="A9" s="1">
        <v>44109</v>
      </c>
      <c r="B9" t="s">
        <v>58</v>
      </c>
      <c r="C9">
        <v>29.25</v>
      </c>
      <c r="D9">
        <v>29.42</v>
      </c>
    </row>
    <row r="10" spans="1:6" hidden="1" x14ac:dyDescent="0.25">
      <c r="A10" s="1">
        <v>44110</v>
      </c>
      <c r="B10" t="s">
        <v>58</v>
      </c>
      <c r="C10">
        <v>28.7</v>
      </c>
      <c r="D10">
        <v>35.950000000000003</v>
      </c>
    </row>
    <row r="11" spans="1:6" hidden="1" x14ac:dyDescent="0.25">
      <c r="A11" s="1">
        <v>44112</v>
      </c>
      <c r="B11" t="s">
        <v>58</v>
      </c>
      <c r="C11">
        <v>33.03</v>
      </c>
      <c r="D11">
        <v>32.33</v>
      </c>
    </row>
    <row r="12" spans="1:6" hidden="1" x14ac:dyDescent="0.25">
      <c r="A12" s="1">
        <v>44113</v>
      </c>
      <c r="B12" t="s">
        <v>58</v>
      </c>
      <c r="C12">
        <v>19.72</v>
      </c>
      <c r="D12">
        <v>18.100000000000001</v>
      </c>
    </row>
    <row r="13" spans="1:6" hidden="1" x14ac:dyDescent="0.25">
      <c r="A13" s="1">
        <v>44114</v>
      </c>
      <c r="B13" t="s">
        <v>58</v>
      </c>
      <c r="C13">
        <v>29.35</v>
      </c>
      <c r="D13">
        <v>28.32</v>
      </c>
    </row>
    <row r="14" spans="1:6" hidden="1" x14ac:dyDescent="0.25">
      <c r="A14" s="1">
        <v>44109</v>
      </c>
      <c r="B14" t="s">
        <v>60</v>
      </c>
      <c r="C14">
        <v>18.5</v>
      </c>
      <c r="D14">
        <v>21</v>
      </c>
    </row>
    <row r="15" spans="1:6" hidden="1" x14ac:dyDescent="0.25">
      <c r="A15" s="1">
        <v>44110</v>
      </c>
      <c r="B15" t="s">
        <v>60</v>
      </c>
      <c r="C15">
        <v>14.07</v>
      </c>
      <c r="D15">
        <v>18.43</v>
      </c>
    </row>
    <row r="16" spans="1:6" hidden="1" x14ac:dyDescent="0.25">
      <c r="A16" s="1">
        <v>44112</v>
      </c>
      <c r="B16" t="s">
        <v>60</v>
      </c>
      <c r="C16">
        <v>14.85</v>
      </c>
      <c r="D16">
        <v>17.23</v>
      </c>
    </row>
    <row r="17" spans="1:4" hidden="1" x14ac:dyDescent="0.25">
      <c r="A17" s="1">
        <v>44113</v>
      </c>
      <c r="B17" t="s">
        <v>60</v>
      </c>
      <c r="C17">
        <v>13.53</v>
      </c>
      <c r="D17">
        <v>16.97</v>
      </c>
    </row>
    <row r="18" spans="1:4" hidden="1" x14ac:dyDescent="0.25">
      <c r="A18" s="1">
        <v>44114</v>
      </c>
      <c r="B18" t="s">
        <v>60</v>
      </c>
      <c r="C18">
        <v>12.07</v>
      </c>
      <c r="D18">
        <v>14.76</v>
      </c>
    </row>
    <row r="19" spans="1:4" hidden="1" x14ac:dyDescent="0.25">
      <c r="A19" s="1">
        <v>44109</v>
      </c>
      <c r="B19" t="s">
        <v>62</v>
      </c>
      <c r="C19">
        <v>23.45</v>
      </c>
      <c r="D19">
        <v>24.4</v>
      </c>
    </row>
    <row r="20" spans="1:4" hidden="1" x14ac:dyDescent="0.25">
      <c r="A20" s="1">
        <v>44110</v>
      </c>
      <c r="B20" t="s">
        <v>62</v>
      </c>
      <c r="C20">
        <v>18.920000000000002</v>
      </c>
      <c r="D20">
        <v>18.16</v>
      </c>
    </row>
    <row r="21" spans="1:4" hidden="1" x14ac:dyDescent="0.25">
      <c r="A21" s="1">
        <v>44112</v>
      </c>
      <c r="B21" t="s">
        <v>62</v>
      </c>
      <c r="C21">
        <v>30.7</v>
      </c>
      <c r="D21">
        <v>20.62</v>
      </c>
    </row>
    <row r="22" spans="1:4" hidden="1" x14ac:dyDescent="0.25">
      <c r="A22" s="1">
        <v>44113</v>
      </c>
      <c r="B22" t="s">
        <v>62</v>
      </c>
      <c r="C22">
        <v>15.4</v>
      </c>
      <c r="D22">
        <v>16.5</v>
      </c>
    </row>
    <row r="23" spans="1:4" hidden="1" x14ac:dyDescent="0.25">
      <c r="A23" s="1">
        <v>44114</v>
      </c>
      <c r="B23" t="s">
        <v>62</v>
      </c>
      <c r="C23">
        <v>15.9</v>
      </c>
      <c r="D23">
        <v>19.98</v>
      </c>
    </row>
    <row r="24" spans="1:4" hidden="1" x14ac:dyDescent="0.25">
      <c r="A24" s="1">
        <v>44109</v>
      </c>
      <c r="B24" t="s">
        <v>56</v>
      </c>
      <c r="C24">
        <f>18.6+4.15</f>
        <v>22.75</v>
      </c>
      <c r="D24">
        <v>19.21</v>
      </c>
    </row>
    <row r="25" spans="1:4" hidden="1" x14ac:dyDescent="0.25">
      <c r="A25" s="1">
        <v>44110</v>
      </c>
      <c r="B25" t="s">
        <v>56</v>
      </c>
      <c r="C25">
        <f>15.88+1.2</f>
        <v>17.080000000000002</v>
      </c>
      <c r="D25">
        <v>34.96</v>
      </c>
    </row>
    <row r="26" spans="1:4" hidden="1" x14ac:dyDescent="0.25">
      <c r="A26" s="1">
        <v>44112</v>
      </c>
      <c r="B26" t="s">
        <v>56</v>
      </c>
      <c r="C26">
        <f>15.23+3.72</f>
        <v>18.95</v>
      </c>
      <c r="D26">
        <v>17.34</v>
      </c>
    </row>
    <row r="27" spans="1:4" hidden="1" x14ac:dyDescent="0.25">
      <c r="A27" s="1">
        <v>44113</v>
      </c>
      <c r="B27" t="s">
        <v>56</v>
      </c>
      <c r="C27">
        <f>12.95+1.6</f>
        <v>14.549999999999999</v>
      </c>
      <c r="D27">
        <v>17.600000000000001</v>
      </c>
    </row>
    <row r="28" spans="1:4" hidden="1" x14ac:dyDescent="0.25">
      <c r="A28" s="1">
        <v>44114</v>
      </c>
      <c r="B28" t="s">
        <v>56</v>
      </c>
      <c r="C28">
        <v>14.12</v>
      </c>
      <c r="D28">
        <v>18.5</v>
      </c>
    </row>
    <row r="29" spans="1:4" hidden="1" x14ac:dyDescent="0.25">
      <c r="A29" s="1">
        <v>44116</v>
      </c>
      <c r="B29" t="s">
        <v>58</v>
      </c>
      <c r="C29">
        <v>29.28</v>
      </c>
      <c r="D29">
        <v>28.79</v>
      </c>
    </row>
    <row r="30" spans="1:4" hidden="1" x14ac:dyDescent="0.25">
      <c r="A30" s="1">
        <v>44117</v>
      </c>
      <c r="B30" t="s">
        <v>58</v>
      </c>
      <c r="C30">
        <v>26.98</v>
      </c>
      <c r="D30">
        <v>34.22</v>
      </c>
    </row>
    <row r="31" spans="1:4" hidden="1" x14ac:dyDescent="0.25">
      <c r="A31" s="1">
        <v>44116</v>
      </c>
      <c r="B31" t="s">
        <v>56</v>
      </c>
      <c r="C31">
        <f>20.18+3.98</f>
        <v>24.16</v>
      </c>
      <c r="D31">
        <v>21.35</v>
      </c>
    </row>
    <row r="32" spans="1:4" hidden="1" x14ac:dyDescent="0.25">
      <c r="A32" s="1">
        <v>44117</v>
      </c>
      <c r="B32" t="s">
        <v>56</v>
      </c>
      <c r="C32">
        <f>14.02+1.25</f>
        <v>15.27</v>
      </c>
      <c r="D32">
        <v>26.77</v>
      </c>
    </row>
    <row r="33" spans="1:4" hidden="1" x14ac:dyDescent="0.25">
      <c r="A33" s="1">
        <v>44116</v>
      </c>
      <c r="B33" t="s">
        <v>60</v>
      </c>
      <c r="C33">
        <v>19.47</v>
      </c>
      <c r="D33">
        <v>21.16</v>
      </c>
    </row>
    <row r="34" spans="1:4" hidden="1" x14ac:dyDescent="0.25">
      <c r="A34" s="1">
        <v>44117</v>
      </c>
      <c r="B34" t="s">
        <v>60</v>
      </c>
      <c r="C34">
        <v>14.92</v>
      </c>
      <c r="D34">
        <v>27.48</v>
      </c>
    </row>
    <row r="35" spans="1:4" hidden="1" x14ac:dyDescent="0.25">
      <c r="A35" s="1">
        <v>44116</v>
      </c>
      <c r="B35" t="s">
        <v>62</v>
      </c>
      <c r="C35">
        <v>21.87</v>
      </c>
      <c r="D35">
        <v>20.57</v>
      </c>
    </row>
    <row r="36" spans="1:4" hidden="1" x14ac:dyDescent="0.25">
      <c r="A36" s="1">
        <v>44117</v>
      </c>
      <c r="B36" t="s">
        <v>62</v>
      </c>
      <c r="C36">
        <v>20.57</v>
      </c>
      <c r="D36">
        <v>19.71</v>
      </c>
    </row>
    <row r="37" spans="1:4" hidden="1" x14ac:dyDescent="0.25">
      <c r="A37" s="1">
        <v>44119</v>
      </c>
      <c r="B37" t="s">
        <v>56</v>
      </c>
      <c r="C37">
        <f>18.87+3.55</f>
        <v>22.42</v>
      </c>
      <c r="D37">
        <v>18.34</v>
      </c>
    </row>
    <row r="38" spans="1:4" hidden="1" x14ac:dyDescent="0.25">
      <c r="A38" s="1">
        <v>44120</v>
      </c>
      <c r="B38" t="s">
        <v>56</v>
      </c>
      <c r="C38">
        <f>12.68+1.47</f>
        <v>14.15</v>
      </c>
      <c r="D38">
        <v>16.87</v>
      </c>
    </row>
    <row r="39" spans="1:4" hidden="1" x14ac:dyDescent="0.25">
      <c r="A39" s="1">
        <v>44119</v>
      </c>
      <c r="B39" t="s">
        <v>58</v>
      </c>
      <c r="C39">
        <v>31.47</v>
      </c>
      <c r="D39">
        <v>30.77</v>
      </c>
    </row>
    <row r="40" spans="1:4" hidden="1" x14ac:dyDescent="0.25">
      <c r="A40" s="1">
        <v>44120</v>
      </c>
      <c r="B40" t="s">
        <v>58</v>
      </c>
      <c r="C40">
        <v>17.45</v>
      </c>
      <c r="D40">
        <v>17.64</v>
      </c>
    </row>
    <row r="41" spans="1:4" hidden="1" x14ac:dyDescent="0.25">
      <c r="A41" s="1">
        <v>44119</v>
      </c>
      <c r="B41" t="s">
        <v>60</v>
      </c>
      <c r="C41">
        <v>12.25</v>
      </c>
      <c r="D41">
        <v>14.17</v>
      </c>
    </row>
    <row r="42" spans="1:4" hidden="1" x14ac:dyDescent="0.25">
      <c r="A42" s="1">
        <v>44120</v>
      </c>
      <c r="B42" t="s">
        <v>60</v>
      </c>
      <c r="C42">
        <v>14.38</v>
      </c>
      <c r="D42">
        <v>15.17</v>
      </c>
    </row>
    <row r="43" spans="1:4" hidden="1" x14ac:dyDescent="0.25">
      <c r="A43" s="1">
        <v>44119</v>
      </c>
      <c r="B43" t="s">
        <v>62</v>
      </c>
      <c r="C43">
        <v>17.100000000000001</v>
      </c>
      <c r="D43">
        <v>29.65</v>
      </c>
    </row>
    <row r="44" spans="1:4" hidden="1" x14ac:dyDescent="0.25">
      <c r="A44" s="1">
        <v>44120</v>
      </c>
      <c r="B44" t="s">
        <v>62</v>
      </c>
      <c r="C44">
        <v>16.7</v>
      </c>
      <c r="D44">
        <v>16.98</v>
      </c>
    </row>
    <row r="45" spans="1:4" hidden="1" x14ac:dyDescent="0.25">
      <c r="A45" s="1">
        <v>44121</v>
      </c>
      <c r="B45" t="s">
        <v>56</v>
      </c>
      <c r="C45">
        <v>13.38</v>
      </c>
      <c r="D45">
        <v>12.37</v>
      </c>
    </row>
    <row r="46" spans="1:4" hidden="1" x14ac:dyDescent="0.25">
      <c r="A46" s="1">
        <v>44121</v>
      </c>
      <c r="B46" t="s">
        <v>58</v>
      </c>
      <c r="C46">
        <v>27.27</v>
      </c>
      <c r="D46">
        <v>27.57</v>
      </c>
    </row>
    <row r="47" spans="1:4" hidden="1" x14ac:dyDescent="0.25">
      <c r="A47" s="1">
        <v>44121</v>
      </c>
      <c r="B47" t="s">
        <v>60</v>
      </c>
      <c r="C47">
        <v>10.4</v>
      </c>
      <c r="D47">
        <v>13.74</v>
      </c>
    </row>
    <row r="48" spans="1:4" hidden="1" x14ac:dyDescent="0.25">
      <c r="A48" s="1">
        <v>44121</v>
      </c>
      <c r="B48" t="s">
        <v>62</v>
      </c>
      <c r="C48">
        <v>15.79</v>
      </c>
      <c r="D48">
        <v>21.05</v>
      </c>
    </row>
    <row r="49" spans="1:4" hidden="1" x14ac:dyDescent="0.25">
      <c r="A49" s="1">
        <v>44123</v>
      </c>
      <c r="B49" t="s">
        <v>56</v>
      </c>
      <c r="C49">
        <v>22.18</v>
      </c>
      <c r="D49">
        <v>18.98</v>
      </c>
    </row>
    <row r="50" spans="1:4" hidden="1" x14ac:dyDescent="0.25">
      <c r="A50" s="1">
        <v>44123</v>
      </c>
      <c r="B50" t="s">
        <v>62</v>
      </c>
      <c r="C50">
        <v>20.23</v>
      </c>
      <c r="D50">
        <v>20.46</v>
      </c>
    </row>
    <row r="51" spans="1:4" hidden="1" x14ac:dyDescent="0.25">
      <c r="A51" s="1">
        <v>44123</v>
      </c>
      <c r="B51" t="s">
        <v>60</v>
      </c>
      <c r="C51">
        <v>18.57</v>
      </c>
      <c r="D51">
        <v>20.9</v>
      </c>
    </row>
    <row r="52" spans="1:4" hidden="1" x14ac:dyDescent="0.25">
      <c r="A52" s="1">
        <v>44123</v>
      </c>
      <c r="B52" t="s">
        <v>58</v>
      </c>
      <c r="C52">
        <v>29.45</v>
      </c>
      <c r="D52">
        <v>29.69</v>
      </c>
    </row>
    <row r="53" spans="1:4" hidden="1" x14ac:dyDescent="0.25">
      <c r="A53" s="1">
        <v>44124</v>
      </c>
      <c r="B53" t="s">
        <v>56</v>
      </c>
      <c r="C53">
        <v>14.26</v>
      </c>
      <c r="D53">
        <v>26.37</v>
      </c>
    </row>
    <row r="54" spans="1:4" hidden="1" x14ac:dyDescent="0.25">
      <c r="A54" s="1">
        <v>44124</v>
      </c>
      <c r="B54" t="s">
        <v>62</v>
      </c>
      <c r="C54">
        <v>19.87</v>
      </c>
      <c r="D54">
        <v>20.47</v>
      </c>
    </row>
    <row r="55" spans="1:4" hidden="1" x14ac:dyDescent="0.25">
      <c r="A55" s="1">
        <v>44124</v>
      </c>
      <c r="B55" t="s">
        <v>60</v>
      </c>
      <c r="C55">
        <v>12.38</v>
      </c>
      <c r="D55">
        <v>26.35</v>
      </c>
    </row>
    <row r="56" spans="1:4" hidden="1" x14ac:dyDescent="0.25">
      <c r="A56" s="1">
        <v>44124</v>
      </c>
      <c r="B56" t="s">
        <v>58</v>
      </c>
      <c r="C56">
        <v>26.32</v>
      </c>
      <c r="D56">
        <v>32.79</v>
      </c>
    </row>
    <row r="57" spans="1:4" hidden="1" x14ac:dyDescent="0.25">
      <c r="A57" s="1">
        <v>44126</v>
      </c>
      <c r="B57" t="s">
        <v>60</v>
      </c>
      <c r="C57">
        <v>14.17</v>
      </c>
      <c r="D57">
        <v>18.05</v>
      </c>
    </row>
    <row r="58" spans="1:4" hidden="1" x14ac:dyDescent="0.25">
      <c r="A58" s="1">
        <v>44127</v>
      </c>
      <c r="B58" t="s">
        <v>60</v>
      </c>
      <c r="C58">
        <v>12.63</v>
      </c>
      <c r="D58">
        <v>16.190000000000001</v>
      </c>
    </row>
    <row r="59" spans="1:4" hidden="1" x14ac:dyDescent="0.25">
      <c r="A59" s="1">
        <v>44128</v>
      </c>
      <c r="B59" t="s">
        <v>60</v>
      </c>
      <c r="C59">
        <v>9.8699999999999992</v>
      </c>
      <c r="D59">
        <v>14.28</v>
      </c>
    </row>
    <row r="60" spans="1:4" hidden="1" x14ac:dyDescent="0.25">
      <c r="A60" s="1">
        <v>44126</v>
      </c>
      <c r="B60" t="s">
        <v>56</v>
      </c>
      <c r="C60">
        <v>16.55</v>
      </c>
      <c r="D60">
        <v>17.989999999999998</v>
      </c>
    </row>
    <row r="61" spans="1:4" hidden="1" x14ac:dyDescent="0.25">
      <c r="A61" s="1">
        <v>44127</v>
      </c>
      <c r="B61" t="s">
        <v>56</v>
      </c>
      <c r="C61">
        <f>17.87+1.33</f>
        <v>19.200000000000003</v>
      </c>
      <c r="D61">
        <v>15.36</v>
      </c>
    </row>
    <row r="62" spans="1:4" hidden="1" x14ac:dyDescent="0.25">
      <c r="A62" s="1">
        <v>44128</v>
      </c>
      <c r="B62" t="s">
        <v>56</v>
      </c>
      <c r="C62">
        <v>13.32</v>
      </c>
      <c r="D62">
        <v>15.03</v>
      </c>
    </row>
    <row r="63" spans="1:4" hidden="1" x14ac:dyDescent="0.25">
      <c r="A63" s="1">
        <v>44126</v>
      </c>
      <c r="B63" t="s">
        <v>62</v>
      </c>
      <c r="C63">
        <v>25</v>
      </c>
      <c r="D63">
        <v>20.11</v>
      </c>
    </row>
    <row r="64" spans="1:4" hidden="1" x14ac:dyDescent="0.25">
      <c r="A64" s="1">
        <v>44127</v>
      </c>
      <c r="B64" t="s">
        <v>62</v>
      </c>
      <c r="C64">
        <v>14.45</v>
      </c>
      <c r="D64">
        <v>18.18</v>
      </c>
    </row>
    <row r="65" spans="1:4" hidden="1" x14ac:dyDescent="0.25">
      <c r="A65" s="1">
        <v>44128</v>
      </c>
      <c r="B65" t="s">
        <v>62</v>
      </c>
      <c r="C65">
        <v>15.52</v>
      </c>
      <c r="D65">
        <v>24.48</v>
      </c>
    </row>
    <row r="66" spans="1:4" hidden="1" x14ac:dyDescent="0.25">
      <c r="A66" s="1">
        <v>44126</v>
      </c>
      <c r="B66" t="s">
        <v>58</v>
      </c>
      <c r="C66">
        <v>30.88</v>
      </c>
      <c r="D66">
        <v>32.83</v>
      </c>
    </row>
    <row r="67" spans="1:4" hidden="1" x14ac:dyDescent="0.25">
      <c r="A67" s="1">
        <v>44127</v>
      </c>
      <c r="B67" t="s">
        <v>58</v>
      </c>
      <c r="C67">
        <v>18.579999999999998</v>
      </c>
      <c r="D67">
        <v>15.5</v>
      </c>
    </row>
    <row r="68" spans="1:4" hidden="1" x14ac:dyDescent="0.25">
      <c r="A68" s="1">
        <v>44128</v>
      </c>
      <c r="B68" t="s">
        <v>58</v>
      </c>
      <c r="C68">
        <v>28.43</v>
      </c>
      <c r="D68">
        <v>28.72</v>
      </c>
    </row>
    <row r="69" spans="1:4" hidden="1" x14ac:dyDescent="0.25">
      <c r="A69" s="1">
        <v>44144</v>
      </c>
      <c r="B69" t="s">
        <v>56</v>
      </c>
      <c r="C69">
        <v>17.88</v>
      </c>
      <c r="D69">
        <v>0</v>
      </c>
    </row>
    <row r="70" spans="1:4" hidden="1" x14ac:dyDescent="0.25">
      <c r="A70" s="1">
        <v>44145</v>
      </c>
      <c r="B70" t="s">
        <v>56</v>
      </c>
      <c r="C70">
        <f>12.85+0.96</f>
        <v>13.809999999999999</v>
      </c>
      <c r="D70">
        <v>5.42</v>
      </c>
    </row>
    <row r="71" spans="1:4" hidden="1" x14ac:dyDescent="0.25">
      <c r="A71" s="1">
        <v>44147</v>
      </c>
      <c r="B71" t="s">
        <v>56</v>
      </c>
      <c r="C71">
        <f>12.38+2.93</f>
        <v>15.31</v>
      </c>
      <c r="D71">
        <v>12.5</v>
      </c>
    </row>
    <row r="72" spans="1:4" hidden="1" x14ac:dyDescent="0.25">
      <c r="A72" s="1">
        <v>44148</v>
      </c>
      <c r="B72" t="s">
        <v>56</v>
      </c>
      <c r="C72">
        <f>10.47+1.37</f>
        <v>11.84</v>
      </c>
      <c r="D72">
        <v>14.85</v>
      </c>
    </row>
    <row r="73" spans="1:4" hidden="1" x14ac:dyDescent="0.25">
      <c r="A73" s="1">
        <v>44149</v>
      </c>
      <c r="B73" t="s">
        <v>56</v>
      </c>
      <c r="C73">
        <f>12.73</f>
        <v>12.73</v>
      </c>
      <c r="D73">
        <v>6.72</v>
      </c>
    </row>
    <row r="74" spans="1:4" hidden="1" x14ac:dyDescent="0.25">
      <c r="A74" s="1">
        <v>44144</v>
      </c>
      <c r="B74" t="s">
        <v>60</v>
      </c>
      <c r="C74">
        <v>7.75</v>
      </c>
      <c r="D74">
        <v>0</v>
      </c>
    </row>
    <row r="75" spans="1:4" hidden="1" x14ac:dyDescent="0.25">
      <c r="A75" s="1">
        <v>44145</v>
      </c>
      <c r="B75" t="s">
        <v>60</v>
      </c>
      <c r="C75">
        <v>4.4400000000000004</v>
      </c>
      <c r="D75">
        <v>11.98</v>
      </c>
    </row>
    <row r="76" spans="1:4" hidden="1" x14ac:dyDescent="0.25">
      <c r="A76" s="1">
        <v>44147</v>
      </c>
      <c r="B76" t="s">
        <v>60</v>
      </c>
      <c r="C76">
        <v>14.33</v>
      </c>
      <c r="D76">
        <v>17.399999999999999</v>
      </c>
    </row>
    <row r="77" spans="1:4" hidden="1" x14ac:dyDescent="0.25">
      <c r="A77" s="1">
        <v>44148</v>
      </c>
      <c r="B77" t="s">
        <v>60</v>
      </c>
      <c r="C77">
        <v>16.37</v>
      </c>
      <c r="D77">
        <v>22.98</v>
      </c>
    </row>
    <row r="78" spans="1:4" hidden="1" x14ac:dyDescent="0.25">
      <c r="A78" s="1">
        <v>44149</v>
      </c>
      <c r="B78" t="s">
        <v>60</v>
      </c>
      <c r="C78">
        <v>11.2</v>
      </c>
      <c r="D78">
        <v>17.55</v>
      </c>
    </row>
    <row r="79" spans="1:4" hidden="1" x14ac:dyDescent="0.25">
      <c r="A79" s="1">
        <v>44144</v>
      </c>
      <c r="B79" t="s">
        <v>62</v>
      </c>
      <c r="C79">
        <v>21.87</v>
      </c>
      <c r="D79">
        <v>22.83</v>
      </c>
    </row>
    <row r="80" spans="1:4" hidden="1" x14ac:dyDescent="0.25">
      <c r="A80" s="1">
        <v>44145</v>
      </c>
      <c r="B80" t="s">
        <v>62</v>
      </c>
      <c r="C80">
        <v>21.97</v>
      </c>
      <c r="D80">
        <v>22.49</v>
      </c>
    </row>
    <row r="81" spans="1:6" hidden="1" x14ac:dyDescent="0.25">
      <c r="A81" s="1">
        <v>44147</v>
      </c>
      <c r="B81" t="s">
        <v>62</v>
      </c>
      <c r="C81">
        <v>23.5</v>
      </c>
      <c r="D81">
        <v>21.25</v>
      </c>
    </row>
    <row r="82" spans="1:6" hidden="1" x14ac:dyDescent="0.25">
      <c r="A82" s="1">
        <v>44148</v>
      </c>
      <c r="B82" t="s">
        <v>62</v>
      </c>
      <c r="C82">
        <v>16.68</v>
      </c>
      <c r="D82">
        <v>18.25</v>
      </c>
    </row>
    <row r="83" spans="1:6" hidden="1" x14ac:dyDescent="0.25">
      <c r="A83" s="1">
        <v>44149</v>
      </c>
      <c r="B83" t="s">
        <v>60</v>
      </c>
      <c r="C83">
        <v>16.829999999999998</v>
      </c>
      <c r="D83">
        <v>24.5</v>
      </c>
    </row>
    <row r="84" spans="1:6" hidden="1" x14ac:dyDescent="0.25">
      <c r="A84" s="1">
        <v>44144</v>
      </c>
      <c r="B84" t="s">
        <v>58</v>
      </c>
      <c r="C84">
        <v>28.63</v>
      </c>
      <c r="D84">
        <v>27.12</v>
      </c>
    </row>
    <row r="85" spans="1:6" hidden="1" x14ac:dyDescent="0.25">
      <c r="A85" s="1">
        <v>44145</v>
      </c>
      <c r="B85" t="s">
        <v>58</v>
      </c>
      <c r="C85">
        <v>28.6</v>
      </c>
      <c r="D85">
        <v>34.119999999999997</v>
      </c>
    </row>
    <row r="86" spans="1:6" hidden="1" x14ac:dyDescent="0.25">
      <c r="A86" s="1">
        <v>44147</v>
      </c>
      <c r="B86" t="s">
        <v>58</v>
      </c>
      <c r="C86">
        <v>28.25</v>
      </c>
      <c r="D86">
        <v>31.4</v>
      </c>
    </row>
    <row r="87" spans="1:6" hidden="1" x14ac:dyDescent="0.25">
      <c r="A87" s="1">
        <v>44148</v>
      </c>
      <c r="B87" t="s">
        <v>58</v>
      </c>
      <c r="C87">
        <v>17.7</v>
      </c>
      <c r="D87">
        <v>17.03</v>
      </c>
    </row>
    <row r="88" spans="1:6" hidden="1" x14ac:dyDescent="0.25">
      <c r="A88" s="1">
        <v>44149</v>
      </c>
      <c r="B88" t="s">
        <v>58</v>
      </c>
      <c r="C88">
        <v>27.16</v>
      </c>
      <c r="D88">
        <v>29.42</v>
      </c>
    </row>
    <row r="89" spans="1:6" hidden="1" x14ac:dyDescent="0.25">
      <c r="A89" s="1">
        <v>44151</v>
      </c>
      <c r="B89" t="s">
        <v>56</v>
      </c>
      <c r="C89">
        <v>17.920000000000002</v>
      </c>
      <c r="D89">
        <v>16.739999999999998</v>
      </c>
    </row>
    <row r="90" spans="1:6" hidden="1" x14ac:dyDescent="0.25">
      <c r="A90" s="1">
        <v>44152</v>
      </c>
      <c r="B90" t="s">
        <v>56</v>
      </c>
      <c r="C90">
        <v>14.97</v>
      </c>
      <c r="D90">
        <v>15.75</v>
      </c>
    </row>
    <row r="91" spans="1:6" hidden="1" x14ac:dyDescent="0.25">
      <c r="A91" s="1">
        <v>44151</v>
      </c>
      <c r="B91" t="s">
        <v>62</v>
      </c>
      <c r="C91">
        <v>25.88</v>
      </c>
      <c r="D91">
        <v>24.15</v>
      </c>
      <c r="F91">
        <v>1.24</v>
      </c>
    </row>
    <row r="92" spans="1:6" hidden="1" x14ac:dyDescent="0.25">
      <c r="A92" s="1">
        <v>44152</v>
      </c>
      <c r="B92" t="s">
        <v>62</v>
      </c>
      <c r="C92">
        <v>24.85</v>
      </c>
      <c r="D92">
        <v>21.92</v>
      </c>
    </row>
    <row r="93" spans="1:6" hidden="1" x14ac:dyDescent="0.25">
      <c r="A93" s="1">
        <v>44151</v>
      </c>
      <c r="B93" t="s">
        <v>60</v>
      </c>
      <c r="C93">
        <v>23.88</v>
      </c>
      <c r="D93">
        <v>25.29</v>
      </c>
    </row>
    <row r="94" spans="1:6" hidden="1" x14ac:dyDescent="0.25">
      <c r="A94" s="1">
        <v>44152</v>
      </c>
      <c r="B94" t="s">
        <v>60</v>
      </c>
      <c r="C94">
        <v>15.12</v>
      </c>
      <c r="D94">
        <v>24.57</v>
      </c>
    </row>
    <row r="95" spans="1:6" hidden="1" x14ac:dyDescent="0.25">
      <c r="A95" s="1">
        <v>44151</v>
      </c>
      <c r="B95" t="s">
        <v>58</v>
      </c>
      <c r="C95">
        <v>27.08</v>
      </c>
      <c r="D95">
        <v>28.8</v>
      </c>
    </row>
    <row r="96" spans="1:6" hidden="1" x14ac:dyDescent="0.25">
      <c r="A96" s="1">
        <v>44152</v>
      </c>
      <c r="B96" t="s">
        <v>58</v>
      </c>
      <c r="C96">
        <v>27.03</v>
      </c>
      <c r="D96">
        <v>29.58</v>
      </c>
    </row>
    <row r="97" spans="1:6" hidden="1" x14ac:dyDescent="0.25">
      <c r="A97" s="1">
        <v>44154</v>
      </c>
      <c r="B97" t="s">
        <v>58</v>
      </c>
      <c r="C97">
        <v>29.35</v>
      </c>
      <c r="D97">
        <v>30.19</v>
      </c>
    </row>
    <row r="98" spans="1:6" hidden="1" x14ac:dyDescent="0.25">
      <c r="A98" s="1">
        <v>44154</v>
      </c>
      <c r="B98" t="s">
        <v>56</v>
      </c>
      <c r="C98">
        <f>13.42+2.8</f>
        <v>16.22</v>
      </c>
      <c r="D98">
        <v>16.149999999999999</v>
      </c>
    </row>
    <row r="99" spans="1:6" hidden="1" x14ac:dyDescent="0.25">
      <c r="A99" s="1">
        <v>44154</v>
      </c>
      <c r="B99" t="s">
        <v>60</v>
      </c>
      <c r="C99">
        <v>16.3</v>
      </c>
      <c r="D99">
        <v>19.77</v>
      </c>
    </row>
    <row r="100" spans="1:6" hidden="1" x14ac:dyDescent="0.25">
      <c r="A100" s="1">
        <v>44154</v>
      </c>
      <c r="B100" t="s">
        <v>62</v>
      </c>
      <c r="C100">
        <v>21.13</v>
      </c>
      <c r="D100">
        <v>21.25</v>
      </c>
    </row>
    <row r="101" spans="1:6" hidden="1" x14ac:dyDescent="0.25">
      <c r="A101" s="1">
        <v>44155</v>
      </c>
      <c r="B101" t="s">
        <v>60</v>
      </c>
      <c r="C101">
        <v>13.83</v>
      </c>
      <c r="D101">
        <v>21.06</v>
      </c>
    </row>
    <row r="102" spans="1:6" hidden="1" x14ac:dyDescent="0.25">
      <c r="A102" s="1">
        <v>44155</v>
      </c>
      <c r="B102" t="s">
        <v>58</v>
      </c>
      <c r="C102">
        <v>17.68</v>
      </c>
      <c r="D102">
        <v>17.350000000000001</v>
      </c>
    </row>
    <row r="103" spans="1:6" hidden="1" x14ac:dyDescent="0.25">
      <c r="A103" s="1">
        <v>44155</v>
      </c>
      <c r="B103" t="s">
        <v>56</v>
      </c>
      <c r="C103">
        <v>11.65</v>
      </c>
      <c r="D103">
        <f>8+8</f>
        <v>16</v>
      </c>
    </row>
    <row r="104" spans="1:6" hidden="1" x14ac:dyDescent="0.25">
      <c r="A104" s="1">
        <v>44155</v>
      </c>
      <c r="B104" t="s">
        <v>62</v>
      </c>
      <c r="C104">
        <v>19.45</v>
      </c>
      <c r="D104">
        <v>23.73</v>
      </c>
      <c r="F104">
        <v>4.53</v>
      </c>
    </row>
    <row r="105" spans="1:6" hidden="1" x14ac:dyDescent="0.25">
      <c r="A105" s="1">
        <v>44156</v>
      </c>
      <c r="B105" t="s">
        <v>60</v>
      </c>
      <c r="C105">
        <v>13.55</v>
      </c>
      <c r="D105">
        <v>22.82</v>
      </c>
    </row>
    <row r="106" spans="1:6" hidden="1" x14ac:dyDescent="0.25">
      <c r="A106" s="1">
        <v>44156</v>
      </c>
      <c r="B106" t="s">
        <v>56</v>
      </c>
      <c r="C106">
        <f>13.08+0.77</f>
        <v>13.85</v>
      </c>
      <c r="D106">
        <v>14.34</v>
      </c>
    </row>
    <row r="107" spans="1:6" hidden="1" x14ac:dyDescent="0.25">
      <c r="A107" s="1">
        <v>44156</v>
      </c>
      <c r="B107" t="s">
        <v>58</v>
      </c>
      <c r="C107">
        <v>28.05</v>
      </c>
      <c r="D107">
        <v>30.37</v>
      </c>
    </row>
    <row r="108" spans="1:6" hidden="1" x14ac:dyDescent="0.25">
      <c r="A108" s="1">
        <v>44156</v>
      </c>
      <c r="B108" t="s">
        <v>62</v>
      </c>
      <c r="C108">
        <v>17.98</v>
      </c>
      <c r="D108">
        <v>25.1</v>
      </c>
      <c r="F108">
        <v>7.45</v>
      </c>
    </row>
    <row r="109" spans="1:6" hidden="1" x14ac:dyDescent="0.25">
      <c r="A109" s="1">
        <v>44158</v>
      </c>
      <c r="B109" t="s">
        <v>56</v>
      </c>
      <c r="C109">
        <f>14.18+3.58</f>
        <v>17.759999999999998</v>
      </c>
      <c r="D109">
        <v>15.42</v>
      </c>
    </row>
    <row r="110" spans="1:6" hidden="1" x14ac:dyDescent="0.25">
      <c r="A110" s="1">
        <v>44158</v>
      </c>
      <c r="B110" t="s">
        <v>58</v>
      </c>
      <c r="C110">
        <v>25.92</v>
      </c>
      <c r="D110">
        <v>27.77</v>
      </c>
    </row>
    <row r="111" spans="1:6" hidden="1" x14ac:dyDescent="0.25">
      <c r="A111" s="1">
        <v>44158</v>
      </c>
      <c r="B111" t="s">
        <v>60</v>
      </c>
      <c r="C111">
        <v>16.27</v>
      </c>
      <c r="D111">
        <f>7.5+13.5+1.26</f>
        <v>22.26</v>
      </c>
    </row>
    <row r="112" spans="1:6" hidden="1" x14ac:dyDescent="0.25">
      <c r="A112" s="1">
        <v>44158</v>
      </c>
      <c r="B112" t="s">
        <v>62</v>
      </c>
      <c r="C112">
        <v>19.82</v>
      </c>
      <c r="D112">
        <f>7+8+8+1.58</f>
        <v>24.58</v>
      </c>
      <c r="F112">
        <v>4.57</v>
      </c>
    </row>
    <row r="113" spans="1:6" hidden="1" x14ac:dyDescent="0.25">
      <c r="A113" s="1">
        <v>44159</v>
      </c>
      <c r="B113" t="s">
        <v>56</v>
      </c>
      <c r="C113">
        <v>13.03</v>
      </c>
      <c r="D113">
        <f>6+8.68</f>
        <v>14.68</v>
      </c>
    </row>
    <row r="114" spans="1:6" hidden="1" x14ac:dyDescent="0.25">
      <c r="A114" s="1">
        <v>44159</v>
      </c>
      <c r="B114" t="s">
        <v>58</v>
      </c>
      <c r="C114">
        <v>24.63</v>
      </c>
      <c r="D114">
        <v>26.2</v>
      </c>
    </row>
    <row r="115" spans="1:6" hidden="1" x14ac:dyDescent="0.25">
      <c r="A115" s="1">
        <v>44159</v>
      </c>
      <c r="B115" t="s">
        <v>60</v>
      </c>
      <c r="C115">
        <v>13.22</v>
      </c>
      <c r="D115">
        <v>19.829999999999998</v>
      </c>
    </row>
    <row r="116" spans="1:6" hidden="1" x14ac:dyDescent="0.25">
      <c r="A116" s="1">
        <v>44159</v>
      </c>
      <c r="B116" t="s">
        <v>62</v>
      </c>
      <c r="C116">
        <v>21.6</v>
      </c>
      <c r="D116">
        <v>21.62</v>
      </c>
    </row>
    <row r="117" spans="1:6" hidden="1" x14ac:dyDescent="0.25">
      <c r="A117" s="1">
        <v>44160</v>
      </c>
      <c r="B117" t="s">
        <v>62</v>
      </c>
      <c r="C117">
        <v>19.75</v>
      </c>
      <c r="D117">
        <v>22.49</v>
      </c>
    </row>
    <row r="118" spans="1:6" hidden="1" x14ac:dyDescent="0.25">
      <c r="A118" s="1">
        <v>44160</v>
      </c>
      <c r="B118" t="s">
        <v>58</v>
      </c>
      <c r="C118">
        <v>34.450000000000003</v>
      </c>
      <c r="D118">
        <v>44.48</v>
      </c>
    </row>
    <row r="119" spans="1:6" hidden="1" x14ac:dyDescent="0.25">
      <c r="A119" s="1">
        <v>44160</v>
      </c>
      <c r="B119" t="s">
        <v>60</v>
      </c>
      <c r="C119">
        <v>12.55</v>
      </c>
      <c r="D119">
        <v>15.78</v>
      </c>
    </row>
    <row r="120" spans="1:6" hidden="1" x14ac:dyDescent="0.25">
      <c r="A120" s="1">
        <v>44160</v>
      </c>
      <c r="B120" t="s">
        <v>56</v>
      </c>
      <c r="C120">
        <f>13.5+2.47</f>
        <v>15.97</v>
      </c>
      <c r="D120">
        <v>15.92</v>
      </c>
    </row>
    <row r="121" spans="1:6" hidden="1" x14ac:dyDescent="0.25">
      <c r="A121" s="1">
        <v>44163</v>
      </c>
      <c r="B121" t="s">
        <v>62</v>
      </c>
      <c r="C121">
        <v>17.97</v>
      </c>
      <c r="D121">
        <v>14.85</v>
      </c>
      <c r="F121">
        <v>0.33</v>
      </c>
    </row>
    <row r="122" spans="1:6" hidden="1" x14ac:dyDescent="0.25">
      <c r="A122" s="1">
        <v>44163</v>
      </c>
      <c r="B122" t="s">
        <v>58</v>
      </c>
      <c r="C122">
        <v>29.93</v>
      </c>
      <c r="D122">
        <v>19.46</v>
      </c>
    </row>
    <row r="123" spans="1:6" hidden="1" x14ac:dyDescent="0.25">
      <c r="A123" s="1">
        <v>44163</v>
      </c>
      <c r="B123" t="s">
        <v>56</v>
      </c>
      <c r="C123">
        <f>12.75+1.52</f>
        <v>14.27</v>
      </c>
      <c r="D123">
        <v>11.63</v>
      </c>
    </row>
    <row r="124" spans="1:6" hidden="1" x14ac:dyDescent="0.25">
      <c r="A124" s="1">
        <v>44163</v>
      </c>
      <c r="B124" t="s">
        <v>60</v>
      </c>
      <c r="C124">
        <v>15.9</v>
      </c>
      <c r="D124">
        <v>25.86</v>
      </c>
      <c r="F124">
        <v>10.25</v>
      </c>
    </row>
    <row r="125" spans="1:6" hidden="1" x14ac:dyDescent="0.25">
      <c r="A125" s="1">
        <v>44165</v>
      </c>
      <c r="B125" t="s">
        <v>58</v>
      </c>
      <c r="C125">
        <v>26.07</v>
      </c>
      <c r="D125">
        <v>27.61</v>
      </c>
    </row>
    <row r="126" spans="1:6" hidden="1" x14ac:dyDescent="0.25">
      <c r="A126" s="1">
        <v>44165</v>
      </c>
      <c r="B126" t="s">
        <v>62</v>
      </c>
      <c r="C126">
        <v>16.5</v>
      </c>
      <c r="D126">
        <v>26.28</v>
      </c>
      <c r="F126">
        <v>10.14</v>
      </c>
    </row>
    <row r="127" spans="1:6" hidden="1" x14ac:dyDescent="0.25">
      <c r="A127" s="1">
        <v>44165</v>
      </c>
      <c r="B127" t="s">
        <v>56</v>
      </c>
      <c r="C127">
        <f>14.07+2.43</f>
        <v>16.5</v>
      </c>
      <c r="D127">
        <v>15.5</v>
      </c>
    </row>
    <row r="128" spans="1:6" hidden="1" x14ac:dyDescent="0.25">
      <c r="A128" s="1">
        <v>44165</v>
      </c>
      <c r="B128" t="s">
        <v>60</v>
      </c>
      <c r="C128">
        <v>16.18</v>
      </c>
      <c r="D128">
        <v>17.75</v>
      </c>
    </row>
    <row r="129" spans="1:6" hidden="1" x14ac:dyDescent="0.25">
      <c r="A129" s="1">
        <v>44166</v>
      </c>
      <c r="B129" t="s">
        <v>56</v>
      </c>
      <c r="C129">
        <v>12.48</v>
      </c>
      <c r="D129">
        <v>14.05</v>
      </c>
    </row>
    <row r="130" spans="1:6" hidden="1" x14ac:dyDescent="0.25">
      <c r="A130" s="1">
        <v>44166</v>
      </c>
      <c r="B130" t="s">
        <v>58</v>
      </c>
      <c r="C130">
        <v>26.61</v>
      </c>
      <c r="D130">
        <v>28.17</v>
      </c>
    </row>
    <row r="131" spans="1:6" hidden="1" x14ac:dyDescent="0.25">
      <c r="A131" s="1">
        <v>44166</v>
      </c>
      <c r="B131" t="s">
        <v>60</v>
      </c>
      <c r="C131">
        <v>11.03</v>
      </c>
      <c r="D131">
        <v>21.21</v>
      </c>
      <c r="F131">
        <v>7.67</v>
      </c>
    </row>
    <row r="132" spans="1:6" hidden="1" x14ac:dyDescent="0.25">
      <c r="A132" s="1">
        <v>44166</v>
      </c>
      <c r="B132" t="s">
        <v>62</v>
      </c>
      <c r="C132">
        <v>24.62</v>
      </c>
      <c r="D132">
        <v>23.04</v>
      </c>
      <c r="F132">
        <v>5.14</v>
      </c>
    </row>
    <row r="133" spans="1:6" hidden="1" x14ac:dyDescent="0.25">
      <c r="A133" s="1">
        <v>44168</v>
      </c>
      <c r="B133" t="s">
        <v>56</v>
      </c>
      <c r="C133">
        <f>2.25+11.27</f>
        <v>13.52</v>
      </c>
      <c r="D133">
        <v>12.75</v>
      </c>
    </row>
    <row r="134" spans="1:6" hidden="1" x14ac:dyDescent="0.25">
      <c r="A134" s="1">
        <v>44168</v>
      </c>
      <c r="B134" t="s">
        <v>58</v>
      </c>
      <c r="C134">
        <v>27</v>
      </c>
      <c r="D134">
        <v>26.78</v>
      </c>
    </row>
    <row r="135" spans="1:6" hidden="1" x14ac:dyDescent="0.25">
      <c r="A135" s="1">
        <v>44168</v>
      </c>
      <c r="B135" t="s">
        <v>60</v>
      </c>
      <c r="C135">
        <v>9.5</v>
      </c>
      <c r="D135">
        <v>12.8</v>
      </c>
      <c r="F135">
        <v>2.83</v>
      </c>
    </row>
    <row r="136" spans="1:6" hidden="1" x14ac:dyDescent="0.25">
      <c r="A136" s="1">
        <v>44168</v>
      </c>
      <c r="B136" t="s">
        <v>62</v>
      </c>
      <c r="C136">
        <v>14.07</v>
      </c>
      <c r="D136">
        <v>12.35</v>
      </c>
    </row>
    <row r="137" spans="1:6" hidden="1" x14ac:dyDescent="0.25">
      <c r="A137" s="1">
        <v>44169</v>
      </c>
      <c r="B137" t="s">
        <v>56</v>
      </c>
      <c r="C137">
        <f>11.35+1.08</f>
        <v>12.43</v>
      </c>
      <c r="D137">
        <v>11</v>
      </c>
    </row>
    <row r="138" spans="1:6" hidden="1" x14ac:dyDescent="0.25">
      <c r="A138" s="1">
        <v>44169</v>
      </c>
      <c r="B138" t="s">
        <v>58</v>
      </c>
      <c r="C138">
        <v>16.46</v>
      </c>
      <c r="D138">
        <v>21.2</v>
      </c>
    </row>
    <row r="139" spans="1:6" hidden="1" x14ac:dyDescent="0.25">
      <c r="A139" s="1">
        <v>44169</v>
      </c>
      <c r="B139" t="s">
        <v>60</v>
      </c>
      <c r="C139">
        <v>18.46</v>
      </c>
      <c r="D139">
        <v>14.7</v>
      </c>
    </row>
    <row r="140" spans="1:6" hidden="1" x14ac:dyDescent="0.25">
      <c r="A140" s="1">
        <v>44169</v>
      </c>
      <c r="B140" t="s">
        <v>62</v>
      </c>
      <c r="C140">
        <v>20.38</v>
      </c>
      <c r="D140">
        <v>20.149999999999999</v>
      </c>
      <c r="F140">
        <v>6.68</v>
      </c>
    </row>
    <row r="141" spans="1:6" hidden="1" x14ac:dyDescent="0.25">
      <c r="A141" s="1">
        <v>44170</v>
      </c>
      <c r="B141" t="s">
        <v>56</v>
      </c>
      <c r="C141">
        <f>11.52+0.08</f>
        <v>11.6</v>
      </c>
      <c r="D141">
        <v>14.5</v>
      </c>
    </row>
    <row r="142" spans="1:6" hidden="1" x14ac:dyDescent="0.25">
      <c r="A142" s="1">
        <v>44170</v>
      </c>
      <c r="B142" t="s">
        <v>58</v>
      </c>
      <c r="C142">
        <v>27.58</v>
      </c>
      <c r="D142">
        <v>22.96</v>
      </c>
    </row>
    <row r="143" spans="1:6" hidden="1" x14ac:dyDescent="0.25">
      <c r="A143" s="1">
        <v>44170</v>
      </c>
      <c r="B143" t="s">
        <v>60</v>
      </c>
      <c r="C143">
        <v>8.3000000000000007</v>
      </c>
      <c r="D143">
        <v>16.850000000000001</v>
      </c>
    </row>
    <row r="144" spans="1:6" hidden="1" x14ac:dyDescent="0.25">
      <c r="A144" s="1">
        <v>44170</v>
      </c>
      <c r="B144" t="s">
        <v>62</v>
      </c>
      <c r="C144">
        <v>14.65</v>
      </c>
      <c r="D144">
        <v>22.9</v>
      </c>
    </row>
    <row r="145" spans="1:6" hidden="1" x14ac:dyDescent="0.25">
      <c r="A145" s="1">
        <v>44172</v>
      </c>
      <c r="B145" t="s">
        <v>56</v>
      </c>
      <c r="C145">
        <f>13.88+3.69</f>
        <v>17.57</v>
      </c>
      <c r="D145">
        <v>15.01</v>
      </c>
    </row>
    <row r="146" spans="1:6" hidden="1" x14ac:dyDescent="0.25">
      <c r="A146" s="1">
        <v>44172</v>
      </c>
      <c r="B146" t="s">
        <v>58</v>
      </c>
      <c r="C146">
        <v>27.33</v>
      </c>
      <c r="D146">
        <v>34.07</v>
      </c>
    </row>
    <row r="147" spans="1:6" hidden="1" x14ac:dyDescent="0.25">
      <c r="A147" s="1">
        <v>44172</v>
      </c>
      <c r="B147" t="s">
        <v>60</v>
      </c>
      <c r="C147">
        <v>18.649999999999999</v>
      </c>
      <c r="D147">
        <v>18.48</v>
      </c>
    </row>
    <row r="148" spans="1:6" hidden="1" x14ac:dyDescent="0.25">
      <c r="A148" s="1">
        <v>44172</v>
      </c>
      <c r="B148" t="s">
        <v>62</v>
      </c>
      <c r="C148">
        <v>19.649999999999999</v>
      </c>
      <c r="D148">
        <v>23.2</v>
      </c>
    </row>
    <row r="149" spans="1:6" hidden="1" x14ac:dyDescent="0.25">
      <c r="A149" s="1">
        <v>44173</v>
      </c>
      <c r="B149" t="s">
        <v>56</v>
      </c>
      <c r="C149">
        <v>13.67</v>
      </c>
      <c r="D149">
        <v>14.87</v>
      </c>
    </row>
    <row r="150" spans="1:6" hidden="1" x14ac:dyDescent="0.25">
      <c r="A150" s="1">
        <v>44173</v>
      </c>
      <c r="B150" t="s">
        <v>58</v>
      </c>
      <c r="C150">
        <v>31.81</v>
      </c>
      <c r="D150">
        <v>29.56</v>
      </c>
    </row>
    <row r="151" spans="1:6" hidden="1" x14ac:dyDescent="0.25">
      <c r="A151" s="1">
        <v>44173</v>
      </c>
      <c r="B151" t="s">
        <v>60</v>
      </c>
      <c r="C151">
        <v>12.3</v>
      </c>
      <c r="D151">
        <v>29.82</v>
      </c>
    </row>
    <row r="152" spans="1:6" hidden="1" x14ac:dyDescent="0.25">
      <c r="A152" s="1">
        <v>44173</v>
      </c>
      <c r="B152" t="s">
        <v>62</v>
      </c>
      <c r="C152">
        <v>25.12</v>
      </c>
      <c r="D152">
        <v>19.559999999999999</v>
      </c>
    </row>
    <row r="153" spans="1:6" hidden="1" x14ac:dyDescent="0.25">
      <c r="A153" s="1">
        <v>44175</v>
      </c>
      <c r="B153" t="s">
        <v>56</v>
      </c>
      <c r="C153">
        <f>12.28+2.75</f>
        <v>15.03</v>
      </c>
      <c r="D153">
        <v>13.26</v>
      </c>
    </row>
    <row r="154" spans="1:6" hidden="1" x14ac:dyDescent="0.25">
      <c r="A154" s="1">
        <v>44175</v>
      </c>
      <c r="B154" t="s">
        <v>58</v>
      </c>
      <c r="C154">
        <v>32.43</v>
      </c>
      <c r="D154">
        <v>33.25</v>
      </c>
    </row>
    <row r="155" spans="1:6" hidden="1" x14ac:dyDescent="0.25">
      <c r="A155" s="1">
        <v>44175</v>
      </c>
      <c r="B155" t="s">
        <v>60</v>
      </c>
      <c r="C155">
        <v>13.85</v>
      </c>
      <c r="D155">
        <v>17.63</v>
      </c>
      <c r="F155">
        <v>2.0699999999999998</v>
      </c>
    </row>
    <row r="156" spans="1:6" hidden="1" x14ac:dyDescent="0.25">
      <c r="A156" s="1">
        <v>44175</v>
      </c>
      <c r="B156" t="s">
        <v>62</v>
      </c>
      <c r="C156">
        <v>16.5</v>
      </c>
      <c r="D156">
        <v>15.12</v>
      </c>
    </row>
    <row r="157" spans="1:6" hidden="1" x14ac:dyDescent="0.25">
      <c r="A157" s="1">
        <v>44176</v>
      </c>
      <c r="B157" t="s">
        <v>56</v>
      </c>
      <c r="C157">
        <f>9.88+1.2</f>
        <v>11.08</v>
      </c>
      <c r="D157">
        <f>2.62+1.87+1.38+5.5</f>
        <v>11.370000000000001</v>
      </c>
    </row>
    <row r="158" spans="1:6" hidden="1" x14ac:dyDescent="0.25">
      <c r="A158" s="1">
        <v>44176</v>
      </c>
      <c r="B158" t="s">
        <v>58</v>
      </c>
      <c r="C158">
        <v>17.809999999999999</v>
      </c>
      <c r="D158">
        <v>20.7</v>
      </c>
    </row>
    <row r="159" spans="1:6" hidden="1" x14ac:dyDescent="0.25">
      <c r="A159" s="1">
        <v>44176</v>
      </c>
      <c r="B159" t="s">
        <v>60</v>
      </c>
      <c r="C159">
        <v>13.42</v>
      </c>
      <c r="D159">
        <v>17.95</v>
      </c>
    </row>
    <row r="160" spans="1:6" hidden="1" x14ac:dyDescent="0.25">
      <c r="A160" s="1">
        <v>44176</v>
      </c>
      <c r="B160" t="s">
        <v>62</v>
      </c>
      <c r="C160">
        <v>18.32</v>
      </c>
      <c r="D160">
        <v>23.43</v>
      </c>
    </row>
    <row r="161" spans="1:6" hidden="1" x14ac:dyDescent="0.25">
      <c r="A161" s="1">
        <v>44177</v>
      </c>
      <c r="B161" t="s">
        <v>56</v>
      </c>
      <c r="C161">
        <f>12.53+0.88</f>
        <v>13.41</v>
      </c>
      <c r="D161">
        <v>13.62</v>
      </c>
    </row>
    <row r="162" spans="1:6" hidden="1" x14ac:dyDescent="0.25">
      <c r="A162" s="1">
        <v>44177</v>
      </c>
      <c r="B162" t="s">
        <v>58</v>
      </c>
      <c r="C162">
        <v>29.75</v>
      </c>
      <c r="D162">
        <v>25.33</v>
      </c>
    </row>
    <row r="163" spans="1:6" hidden="1" x14ac:dyDescent="0.25">
      <c r="A163" s="1">
        <v>44177</v>
      </c>
      <c r="B163" t="s">
        <v>60</v>
      </c>
      <c r="C163">
        <v>11.25</v>
      </c>
      <c r="D163">
        <v>14.51</v>
      </c>
      <c r="F163">
        <v>7.93</v>
      </c>
    </row>
    <row r="164" spans="1:6" hidden="1" x14ac:dyDescent="0.25">
      <c r="A164" s="1">
        <v>44177</v>
      </c>
      <c r="B164" t="s">
        <v>62</v>
      </c>
      <c r="C164">
        <v>16.03</v>
      </c>
      <c r="D164">
        <v>22.86</v>
      </c>
      <c r="F164">
        <v>5.62</v>
      </c>
    </row>
    <row r="165" spans="1:6" hidden="1" x14ac:dyDescent="0.25">
      <c r="A165" s="1">
        <v>44179</v>
      </c>
      <c r="B165" t="s">
        <v>56</v>
      </c>
      <c r="C165">
        <f>14.63+3.05</f>
        <v>17.68</v>
      </c>
      <c r="D165">
        <f>3.38+3.28+10</f>
        <v>16.66</v>
      </c>
    </row>
    <row r="166" spans="1:6" hidden="1" x14ac:dyDescent="0.25">
      <c r="A166" s="1">
        <v>44179</v>
      </c>
      <c r="B166" t="s">
        <v>58</v>
      </c>
      <c r="C166">
        <v>29.75</v>
      </c>
      <c r="D166">
        <v>29.09</v>
      </c>
    </row>
    <row r="167" spans="1:6" hidden="1" x14ac:dyDescent="0.25">
      <c r="A167" s="1">
        <v>44179</v>
      </c>
      <c r="B167" t="s">
        <v>60</v>
      </c>
      <c r="C167">
        <v>20.07</v>
      </c>
      <c r="D167">
        <v>22.13</v>
      </c>
    </row>
    <row r="168" spans="1:6" hidden="1" x14ac:dyDescent="0.25">
      <c r="A168" s="1">
        <v>44179</v>
      </c>
      <c r="B168" t="s">
        <v>62</v>
      </c>
      <c r="C168">
        <v>19.48</v>
      </c>
      <c r="D168">
        <v>22.43</v>
      </c>
      <c r="F168">
        <v>4.0999999999999996</v>
      </c>
    </row>
    <row r="169" spans="1:6" hidden="1" x14ac:dyDescent="0.25">
      <c r="A169" s="1">
        <v>44180</v>
      </c>
      <c r="B169" t="s">
        <v>56</v>
      </c>
      <c r="C169">
        <v>15.17</v>
      </c>
      <c r="D169">
        <v>16.5</v>
      </c>
    </row>
    <row r="170" spans="1:6" hidden="1" x14ac:dyDescent="0.25">
      <c r="A170" s="1">
        <v>44180</v>
      </c>
      <c r="B170" t="s">
        <v>58</v>
      </c>
      <c r="C170">
        <v>29.45</v>
      </c>
      <c r="D170">
        <v>34.799999999999997</v>
      </c>
      <c r="F170">
        <v>8.33</v>
      </c>
    </row>
    <row r="171" spans="1:6" hidden="1" x14ac:dyDescent="0.25">
      <c r="A171" s="1">
        <v>44180</v>
      </c>
      <c r="B171" t="s">
        <v>60</v>
      </c>
      <c r="C171">
        <v>14.47</v>
      </c>
      <c r="D171">
        <v>25.1</v>
      </c>
      <c r="F171">
        <v>6.76</v>
      </c>
    </row>
    <row r="172" spans="1:6" hidden="1" x14ac:dyDescent="0.25">
      <c r="A172" s="1">
        <v>44180</v>
      </c>
      <c r="B172" t="s">
        <v>62</v>
      </c>
      <c r="C172">
        <v>25.43</v>
      </c>
      <c r="D172">
        <v>21.58</v>
      </c>
      <c r="F172">
        <v>2</v>
      </c>
    </row>
    <row r="173" spans="1:6" hidden="1" x14ac:dyDescent="0.25">
      <c r="A173" s="1">
        <v>44182</v>
      </c>
      <c r="B173" t="s">
        <v>56</v>
      </c>
      <c r="C173">
        <f>12.2+3.96</f>
        <v>16.16</v>
      </c>
      <c r="D173">
        <v>14.66</v>
      </c>
    </row>
    <row r="174" spans="1:6" hidden="1" x14ac:dyDescent="0.25">
      <c r="A174" s="1">
        <v>44182</v>
      </c>
      <c r="B174" t="s">
        <v>58</v>
      </c>
      <c r="C174">
        <v>29.32</v>
      </c>
      <c r="D174">
        <v>28.52</v>
      </c>
    </row>
    <row r="175" spans="1:6" hidden="1" x14ac:dyDescent="0.25">
      <c r="A175" s="1">
        <v>44182</v>
      </c>
      <c r="B175" t="s">
        <v>60</v>
      </c>
      <c r="C175">
        <v>13.03</v>
      </c>
      <c r="D175">
        <v>14.83</v>
      </c>
    </row>
    <row r="176" spans="1:6" hidden="1" x14ac:dyDescent="0.25">
      <c r="A176" s="1">
        <v>44182</v>
      </c>
      <c r="B176" t="s">
        <v>62</v>
      </c>
      <c r="C176">
        <v>16.02</v>
      </c>
      <c r="D176">
        <v>19.079999999999998</v>
      </c>
      <c r="F176">
        <v>3.67</v>
      </c>
    </row>
    <row r="177" spans="1:6" hidden="1" x14ac:dyDescent="0.25">
      <c r="A177" s="1">
        <v>44183</v>
      </c>
      <c r="B177" t="s">
        <v>56</v>
      </c>
      <c r="C177">
        <v>11.33</v>
      </c>
      <c r="D177">
        <v>13.87</v>
      </c>
    </row>
    <row r="178" spans="1:6" hidden="1" x14ac:dyDescent="0.25">
      <c r="A178" s="1">
        <v>44183</v>
      </c>
      <c r="B178" t="s">
        <v>58</v>
      </c>
      <c r="C178">
        <v>16.420000000000002</v>
      </c>
      <c r="D178">
        <v>19.829999999999998</v>
      </c>
    </row>
    <row r="179" spans="1:6" hidden="1" x14ac:dyDescent="0.25">
      <c r="A179" s="1">
        <v>44183</v>
      </c>
      <c r="B179" t="s">
        <v>60</v>
      </c>
      <c r="C179">
        <v>12.23</v>
      </c>
      <c r="D179">
        <v>14.8</v>
      </c>
    </row>
    <row r="180" spans="1:6" hidden="1" x14ac:dyDescent="0.25">
      <c r="A180" s="1">
        <v>44183</v>
      </c>
      <c r="B180" t="s">
        <v>62</v>
      </c>
      <c r="C180">
        <v>23.17</v>
      </c>
      <c r="D180">
        <v>20.3</v>
      </c>
      <c r="F180">
        <v>5.65</v>
      </c>
    </row>
    <row r="181" spans="1:6" hidden="1" x14ac:dyDescent="0.25">
      <c r="A181" s="1">
        <v>44184</v>
      </c>
      <c r="B181" t="s">
        <v>56</v>
      </c>
      <c r="C181">
        <v>12.33</v>
      </c>
      <c r="D181">
        <v>13.44</v>
      </c>
    </row>
    <row r="182" spans="1:6" hidden="1" x14ac:dyDescent="0.25">
      <c r="A182" s="1">
        <v>44184</v>
      </c>
      <c r="B182" t="s">
        <v>58</v>
      </c>
      <c r="C182">
        <v>28.55</v>
      </c>
      <c r="D182">
        <v>27.55</v>
      </c>
    </row>
    <row r="183" spans="1:6" hidden="1" x14ac:dyDescent="0.25">
      <c r="A183" s="1">
        <v>44184</v>
      </c>
      <c r="B183" t="s">
        <v>60</v>
      </c>
      <c r="C183">
        <v>9.4499999999999993</v>
      </c>
      <c r="D183">
        <v>8.57</v>
      </c>
    </row>
    <row r="184" spans="1:6" hidden="1" x14ac:dyDescent="0.25">
      <c r="A184" s="1">
        <v>44184</v>
      </c>
      <c r="B184" t="s">
        <v>62</v>
      </c>
      <c r="C184">
        <v>16.350000000000001</v>
      </c>
      <c r="D184">
        <v>29.4</v>
      </c>
      <c r="F184">
        <v>11.65</v>
      </c>
    </row>
    <row r="185" spans="1:6" hidden="1" x14ac:dyDescent="0.25">
      <c r="A185" s="1">
        <v>44186</v>
      </c>
      <c r="B185" t="s">
        <v>56</v>
      </c>
      <c r="C185">
        <f>14.13+3.17</f>
        <v>17.3</v>
      </c>
      <c r="D185">
        <v>15.62</v>
      </c>
    </row>
    <row r="186" spans="1:6" hidden="1" x14ac:dyDescent="0.25">
      <c r="A186" s="1">
        <v>44186</v>
      </c>
      <c r="B186" t="s">
        <v>58</v>
      </c>
      <c r="C186">
        <v>26.58</v>
      </c>
      <c r="D186">
        <v>27.41</v>
      </c>
    </row>
    <row r="187" spans="1:6" hidden="1" x14ac:dyDescent="0.25">
      <c r="A187" s="1">
        <v>44186</v>
      </c>
      <c r="B187" t="s">
        <v>60</v>
      </c>
      <c r="C187">
        <v>18.07</v>
      </c>
      <c r="D187">
        <v>19.48</v>
      </c>
    </row>
    <row r="188" spans="1:6" hidden="1" x14ac:dyDescent="0.25">
      <c r="A188" s="1">
        <v>44186</v>
      </c>
      <c r="B188" t="s">
        <v>62</v>
      </c>
      <c r="C188">
        <v>17.48</v>
      </c>
      <c r="D188">
        <v>19.45</v>
      </c>
    </row>
    <row r="189" spans="1:6" hidden="1" x14ac:dyDescent="0.25">
      <c r="A189" s="1">
        <v>44187</v>
      </c>
      <c r="B189" t="s">
        <v>56</v>
      </c>
      <c r="C189">
        <v>13.6</v>
      </c>
      <c r="D189">
        <v>14</v>
      </c>
    </row>
    <row r="190" spans="1:6" hidden="1" x14ac:dyDescent="0.25">
      <c r="A190" s="1">
        <v>44187</v>
      </c>
      <c r="B190" t="s">
        <v>58</v>
      </c>
      <c r="C190">
        <v>27.1</v>
      </c>
      <c r="D190">
        <v>25.16</v>
      </c>
    </row>
    <row r="191" spans="1:6" hidden="1" x14ac:dyDescent="0.25">
      <c r="A191" s="1">
        <v>44187</v>
      </c>
      <c r="B191" t="s">
        <v>60</v>
      </c>
      <c r="C191">
        <v>22.92</v>
      </c>
      <c r="D191">
        <v>11.72</v>
      </c>
    </row>
    <row r="192" spans="1:6" hidden="1" x14ac:dyDescent="0.25">
      <c r="A192" s="1">
        <v>44187</v>
      </c>
      <c r="B192" t="s">
        <v>62</v>
      </c>
      <c r="C192">
        <v>23.33</v>
      </c>
      <c r="D192">
        <v>21.05</v>
      </c>
    </row>
    <row r="193" spans="1:6" hidden="1" x14ac:dyDescent="0.25">
      <c r="A193" s="1">
        <v>44188</v>
      </c>
      <c r="B193" t="s">
        <v>56</v>
      </c>
      <c r="C193">
        <v>17.079999999999998</v>
      </c>
      <c r="D193">
        <v>19.68</v>
      </c>
    </row>
    <row r="194" spans="1:6" hidden="1" x14ac:dyDescent="0.25">
      <c r="A194" s="1">
        <v>44188</v>
      </c>
      <c r="B194" t="s">
        <v>58</v>
      </c>
      <c r="C194">
        <v>34.43</v>
      </c>
      <c r="D194">
        <v>44.45</v>
      </c>
    </row>
    <row r="195" spans="1:6" hidden="1" x14ac:dyDescent="0.25">
      <c r="A195" s="1">
        <v>44188</v>
      </c>
      <c r="B195" t="s">
        <v>60</v>
      </c>
      <c r="C195">
        <v>10.07</v>
      </c>
      <c r="D195">
        <v>30.87</v>
      </c>
    </row>
    <row r="196" spans="1:6" hidden="1" x14ac:dyDescent="0.25">
      <c r="A196" s="1">
        <v>44188</v>
      </c>
      <c r="B196" t="s">
        <v>62</v>
      </c>
      <c r="C196">
        <v>22.18</v>
      </c>
      <c r="D196">
        <v>26.04</v>
      </c>
      <c r="F196">
        <v>1.74</v>
      </c>
    </row>
    <row r="197" spans="1:6" hidden="1" x14ac:dyDescent="0.25">
      <c r="A197" s="1">
        <v>44191</v>
      </c>
      <c r="B197" t="s">
        <v>56</v>
      </c>
      <c r="C197">
        <v>15.35</v>
      </c>
      <c r="D197">
        <v>13.31</v>
      </c>
    </row>
    <row r="198" spans="1:6" hidden="1" x14ac:dyDescent="0.25">
      <c r="A198" s="1">
        <v>44191</v>
      </c>
      <c r="B198" t="s">
        <v>58</v>
      </c>
      <c r="C198">
        <v>31.75</v>
      </c>
      <c r="D198">
        <v>29.71</v>
      </c>
    </row>
    <row r="199" spans="1:6" hidden="1" x14ac:dyDescent="0.25">
      <c r="A199" s="1">
        <v>44191</v>
      </c>
      <c r="B199" t="s">
        <v>60</v>
      </c>
      <c r="C199">
        <v>17.329999999999998</v>
      </c>
      <c r="D199">
        <v>11.92</v>
      </c>
    </row>
    <row r="200" spans="1:6" hidden="1" x14ac:dyDescent="0.25">
      <c r="A200" s="1">
        <v>44191</v>
      </c>
      <c r="B200" t="s">
        <v>62</v>
      </c>
      <c r="C200">
        <v>19.260000000000002</v>
      </c>
      <c r="D200">
        <v>18.23</v>
      </c>
    </row>
    <row r="201" spans="1:6" hidden="1" x14ac:dyDescent="0.25">
      <c r="A201" s="1">
        <v>44193</v>
      </c>
      <c r="B201" t="s">
        <v>56</v>
      </c>
      <c r="C201">
        <f>19.03+2.73</f>
        <v>21.76</v>
      </c>
      <c r="D201">
        <v>16.34</v>
      </c>
    </row>
    <row r="202" spans="1:6" hidden="1" x14ac:dyDescent="0.25">
      <c r="A202" s="1">
        <v>44193</v>
      </c>
      <c r="B202" t="s">
        <v>58</v>
      </c>
      <c r="C202">
        <v>33.96</v>
      </c>
      <c r="D202">
        <v>32.340000000000003</v>
      </c>
    </row>
    <row r="203" spans="1:6" hidden="1" x14ac:dyDescent="0.25">
      <c r="A203" s="1">
        <v>44193</v>
      </c>
      <c r="B203" t="s">
        <v>60</v>
      </c>
      <c r="C203">
        <v>20.95</v>
      </c>
      <c r="D203">
        <v>23.9</v>
      </c>
    </row>
    <row r="204" spans="1:6" hidden="1" x14ac:dyDescent="0.25">
      <c r="A204" s="1">
        <v>44193</v>
      </c>
      <c r="B204" t="s">
        <v>62</v>
      </c>
      <c r="C204">
        <v>22.75</v>
      </c>
      <c r="D204">
        <v>23.19</v>
      </c>
    </row>
    <row r="205" spans="1:6" hidden="1" x14ac:dyDescent="0.25">
      <c r="A205" s="1">
        <v>44195</v>
      </c>
      <c r="B205" t="s">
        <v>56</v>
      </c>
      <c r="C205">
        <f>11.23+0.97</f>
        <v>12.200000000000001</v>
      </c>
      <c r="D205">
        <v>16.920000000000002</v>
      </c>
    </row>
    <row r="206" spans="1:6" hidden="1" x14ac:dyDescent="0.25">
      <c r="A206" s="1">
        <v>44195</v>
      </c>
      <c r="B206" t="s">
        <v>58</v>
      </c>
      <c r="C206">
        <v>25.6</v>
      </c>
      <c r="D206">
        <v>29.97</v>
      </c>
    </row>
    <row r="207" spans="1:6" hidden="1" x14ac:dyDescent="0.25">
      <c r="A207" s="1">
        <v>44195</v>
      </c>
      <c r="B207" t="s">
        <v>60</v>
      </c>
      <c r="C207">
        <v>12.13</v>
      </c>
      <c r="D207">
        <v>22.87</v>
      </c>
      <c r="F207">
        <v>10.25</v>
      </c>
    </row>
    <row r="208" spans="1:6" hidden="1" x14ac:dyDescent="0.25">
      <c r="A208" s="1">
        <v>44195</v>
      </c>
      <c r="B208" t="s">
        <v>62</v>
      </c>
      <c r="C208">
        <v>16.98</v>
      </c>
      <c r="D208">
        <v>21.41</v>
      </c>
      <c r="F208">
        <f>3.97+1.4</f>
        <v>5.37</v>
      </c>
    </row>
    <row r="209" spans="1:6" hidden="1" x14ac:dyDescent="0.25">
      <c r="A209" s="1">
        <v>44196</v>
      </c>
      <c r="B209" t="s">
        <v>56</v>
      </c>
      <c r="C209">
        <f>14.36+2.63</f>
        <v>16.989999999999998</v>
      </c>
      <c r="D209">
        <v>28.05</v>
      </c>
    </row>
    <row r="210" spans="1:6" hidden="1" x14ac:dyDescent="0.25">
      <c r="A210" s="1">
        <v>44196</v>
      </c>
      <c r="B210" t="s">
        <v>58</v>
      </c>
      <c r="C210">
        <v>36.159999999999997</v>
      </c>
      <c r="D210">
        <v>48.3</v>
      </c>
    </row>
    <row r="211" spans="1:6" hidden="1" x14ac:dyDescent="0.25">
      <c r="A211" s="1">
        <v>44196</v>
      </c>
      <c r="B211" t="s">
        <v>60</v>
      </c>
      <c r="C211">
        <v>13.88</v>
      </c>
      <c r="D211">
        <v>24.89</v>
      </c>
    </row>
    <row r="212" spans="1:6" hidden="1" x14ac:dyDescent="0.25">
      <c r="A212" s="1">
        <v>44196</v>
      </c>
      <c r="B212" t="s">
        <v>62</v>
      </c>
      <c r="C212">
        <v>21.4</v>
      </c>
      <c r="D212">
        <v>23.55</v>
      </c>
    </row>
    <row r="213" spans="1:6" x14ac:dyDescent="0.25">
      <c r="A213" s="1">
        <v>44198</v>
      </c>
      <c r="B213" t="s">
        <v>56</v>
      </c>
      <c r="C213">
        <f>15.33+1.65</f>
        <v>16.98</v>
      </c>
      <c r="D213">
        <v>5.08</v>
      </c>
    </row>
    <row r="214" spans="1:6" x14ac:dyDescent="0.25">
      <c r="A214" s="1">
        <v>44198</v>
      </c>
      <c r="B214" t="s">
        <v>58</v>
      </c>
      <c r="C214">
        <v>32.78</v>
      </c>
      <c r="D214">
        <v>15.98</v>
      </c>
    </row>
    <row r="215" spans="1:6" x14ac:dyDescent="0.25">
      <c r="A215" s="1">
        <v>44198</v>
      </c>
      <c r="B215" t="s">
        <v>60</v>
      </c>
      <c r="C215">
        <v>21.07</v>
      </c>
      <c r="D215">
        <v>4.93</v>
      </c>
    </row>
    <row r="216" spans="1:6" x14ac:dyDescent="0.25">
      <c r="A216" s="1">
        <v>44198</v>
      </c>
      <c r="B216" t="s">
        <v>62</v>
      </c>
      <c r="C216">
        <v>19.03</v>
      </c>
      <c r="D216">
        <v>16.3</v>
      </c>
      <c r="F216">
        <v>0.42</v>
      </c>
    </row>
    <row r="217" spans="1:6" x14ac:dyDescent="0.25">
      <c r="A217" s="1">
        <v>44200</v>
      </c>
      <c r="B217" t="s">
        <v>56</v>
      </c>
      <c r="C217">
        <f>15.45+2.82+1.08</f>
        <v>19.350000000000001</v>
      </c>
      <c r="D217">
        <v>16.399999999999999</v>
      </c>
    </row>
    <row r="218" spans="1:6" x14ac:dyDescent="0.25">
      <c r="A218" s="1">
        <v>44200</v>
      </c>
      <c r="B218" t="s">
        <v>58</v>
      </c>
      <c r="C218">
        <v>27.52</v>
      </c>
      <c r="D218">
        <v>28.08</v>
      </c>
    </row>
    <row r="219" spans="1:6" x14ac:dyDescent="0.25">
      <c r="A219" s="1">
        <v>44200</v>
      </c>
      <c r="B219" t="s">
        <v>60</v>
      </c>
      <c r="C219">
        <v>20.43</v>
      </c>
      <c r="D219">
        <v>21.53</v>
      </c>
    </row>
    <row r="220" spans="1:6" x14ac:dyDescent="0.25">
      <c r="A220" s="1">
        <v>44200</v>
      </c>
      <c r="B220" t="s">
        <v>62</v>
      </c>
      <c r="C220">
        <v>19.5</v>
      </c>
      <c r="D220">
        <v>23.28</v>
      </c>
      <c r="F220">
        <v>3.53</v>
      </c>
    </row>
    <row r="221" spans="1:6" x14ac:dyDescent="0.25">
      <c r="A221" s="1">
        <v>44201</v>
      </c>
      <c r="B221" t="s">
        <v>56</v>
      </c>
      <c r="C221">
        <v>15.22</v>
      </c>
      <c r="D221">
        <v>15.76</v>
      </c>
    </row>
    <row r="222" spans="1:6" x14ac:dyDescent="0.25">
      <c r="A222" s="1">
        <v>44201</v>
      </c>
      <c r="B222" t="s">
        <v>58</v>
      </c>
      <c r="C222">
        <v>26.96</v>
      </c>
      <c r="D222">
        <v>26.6</v>
      </c>
    </row>
    <row r="223" spans="1:6" x14ac:dyDescent="0.25">
      <c r="A223" s="1">
        <v>44201</v>
      </c>
      <c r="B223" t="s">
        <v>60</v>
      </c>
      <c r="C223">
        <v>14.27</v>
      </c>
      <c r="D223">
        <v>27.34</v>
      </c>
    </row>
    <row r="224" spans="1:6" x14ac:dyDescent="0.25">
      <c r="A224" s="1">
        <v>44201</v>
      </c>
      <c r="B224" t="s">
        <v>62</v>
      </c>
      <c r="C224">
        <v>21.87</v>
      </c>
      <c r="D224">
        <v>22.28</v>
      </c>
    </row>
    <row r="225" spans="1:6" x14ac:dyDescent="0.25">
      <c r="A225" s="1">
        <v>44203</v>
      </c>
      <c r="B225" t="s">
        <v>56</v>
      </c>
      <c r="C225">
        <f>12.32+2.85</f>
        <v>15.17</v>
      </c>
      <c r="D225">
        <v>15.4</v>
      </c>
    </row>
    <row r="226" spans="1:6" x14ac:dyDescent="0.25">
      <c r="A226" s="1">
        <v>44203</v>
      </c>
      <c r="B226" t="s">
        <v>58</v>
      </c>
      <c r="C226">
        <v>27.08</v>
      </c>
      <c r="D226">
        <v>28.47</v>
      </c>
    </row>
    <row r="227" spans="1:6" x14ac:dyDescent="0.25">
      <c r="A227" s="1">
        <v>44203</v>
      </c>
      <c r="B227" t="s">
        <v>60</v>
      </c>
      <c r="C227">
        <v>13.67</v>
      </c>
      <c r="D227">
        <v>16.73</v>
      </c>
    </row>
    <row r="228" spans="1:6" x14ac:dyDescent="0.25">
      <c r="A228" s="1">
        <v>44203</v>
      </c>
      <c r="B228" t="s">
        <v>62</v>
      </c>
      <c r="C228">
        <v>17.72</v>
      </c>
      <c r="D228">
        <v>17.55</v>
      </c>
    </row>
    <row r="229" spans="1:6" x14ac:dyDescent="0.25">
      <c r="A229" s="1">
        <v>44204</v>
      </c>
      <c r="B229" t="s">
        <v>56</v>
      </c>
      <c r="C229">
        <f>12.78+1.32</f>
        <v>14.1</v>
      </c>
      <c r="D229">
        <v>14.5</v>
      </c>
    </row>
    <row r="230" spans="1:6" x14ac:dyDescent="0.25">
      <c r="A230" s="1">
        <v>44204</v>
      </c>
      <c r="B230" t="s">
        <v>58</v>
      </c>
      <c r="C230">
        <v>18.55</v>
      </c>
      <c r="D230">
        <v>20.55</v>
      </c>
    </row>
    <row r="231" spans="1:6" x14ac:dyDescent="0.25">
      <c r="A231" s="1">
        <v>44204</v>
      </c>
      <c r="B231" t="s">
        <v>60</v>
      </c>
      <c r="C231">
        <v>13.18</v>
      </c>
      <c r="D231">
        <v>18.170000000000002</v>
      </c>
    </row>
    <row r="232" spans="1:6" x14ac:dyDescent="0.25">
      <c r="A232" s="1">
        <v>44204</v>
      </c>
      <c r="B232" t="s">
        <v>62</v>
      </c>
      <c r="C232">
        <v>18.05</v>
      </c>
      <c r="D232">
        <v>17.98</v>
      </c>
    </row>
    <row r="233" spans="1:6" x14ac:dyDescent="0.25">
      <c r="A233" s="1">
        <v>44205</v>
      </c>
      <c r="B233" t="s">
        <v>56</v>
      </c>
      <c r="C233">
        <f>13.27+0.88</f>
        <v>14.15</v>
      </c>
      <c r="D233">
        <v>12.84</v>
      </c>
    </row>
    <row r="234" spans="1:6" x14ac:dyDescent="0.25">
      <c r="A234" s="1">
        <v>44205</v>
      </c>
      <c r="B234" t="s">
        <v>58</v>
      </c>
      <c r="C234">
        <v>26.48</v>
      </c>
      <c r="D234">
        <v>24.13</v>
      </c>
    </row>
    <row r="235" spans="1:6" x14ac:dyDescent="0.25">
      <c r="A235" s="1">
        <v>44205</v>
      </c>
      <c r="B235" t="s">
        <v>60</v>
      </c>
      <c r="C235">
        <v>13.23</v>
      </c>
      <c r="D235">
        <v>16.649999999999999</v>
      </c>
      <c r="F235">
        <v>2.0299999999999998</v>
      </c>
    </row>
    <row r="236" spans="1:6" x14ac:dyDescent="0.25">
      <c r="A236" s="1">
        <v>44205</v>
      </c>
      <c r="B236" t="s">
        <v>62</v>
      </c>
      <c r="C236">
        <v>18.03</v>
      </c>
      <c r="D236">
        <v>26.7</v>
      </c>
      <c r="F236">
        <v>8.17</v>
      </c>
    </row>
    <row r="237" spans="1:6" x14ac:dyDescent="0.25">
      <c r="A237" s="1">
        <v>44207</v>
      </c>
      <c r="B237" t="s">
        <v>56</v>
      </c>
      <c r="C237">
        <f>17.05</f>
        <v>17.05</v>
      </c>
      <c r="D237">
        <v>15.5</v>
      </c>
    </row>
    <row r="238" spans="1:6" x14ac:dyDescent="0.25">
      <c r="A238" s="1">
        <v>44207</v>
      </c>
      <c r="B238" t="s">
        <v>58</v>
      </c>
      <c r="C238">
        <v>25.73</v>
      </c>
      <c r="D238">
        <v>26.88</v>
      </c>
    </row>
    <row r="239" spans="1:6" x14ac:dyDescent="0.25">
      <c r="A239" s="1">
        <v>44207</v>
      </c>
      <c r="B239" t="s">
        <v>60</v>
      </c>
      <c r="C239">
        <v>20.6</v>
      </c>
      <c r="D239">
        <v>18.420000000000002</v>
      </c>
    </row>
    <row r="240" spans="1:6" x14ac:dyDescent="0.25">
      <c r="A240" s="1">
        <v>44207</v>
      </c>
      <c r="B240" t="s">
        <v>62</v>
      </c>
      <c r="C240">
        <v>19.579999999999998</v>
      </c>
      <c r="D240">
        <v>22.56</v>
      </c>
    </row>
    <row r="241" spans="1:4" x14ac:dyDescent="0.25">
      <c r="A241" s="1">
        <v>44208</v>
      </c>
      <c r="B241" t="s">
        <v>56</v>
      </c>
      <c r="C241">
        <v>16.37</v>
      </c>
      <c r="D241">
        <v>16.829999999999998</v>
      </c>
    </row>
    <row r="242" spans="1:4" x14ac:dyDescent="0.25">
      <c r="A242" s="1">
        <v>44208</v>
      </c>
      <c r="B242" t="s">
        <v>58</v>
      </c>
      <c r="C242">
        <v>25.91</v>
      </c>
      <c r="D242">
        <v>28.15</v>
      </c>
    </row>
    <row r="243" spans="1:4" x14ac:dyDescent="0.25">
      <c r="A243" s="1">
        <v>44208</v>
      </c>
      <c r="B243" t="s">
        <v>60</v>
      </c>
      <c r="C243">
        <v>19.5</v>
      </c>
      <c r="D243">
        <v>27.73</v>
      </c>
    </row>
    <row r="244" spans="1:4" x14ac:dyDescent="0.25">
      <c r="A244" s="1">
        <v>44208</v>
      </c>
      <c r="B244" t="s">
        <v>62</v>
      </c>
      <c r="C244">
        <v>22.08</v>
      </c>
      <c r="D244">
        <v>21.1</v>
      </c>
    </row>
    <row r="245" spans="1:4" x14ac:dyDescent="0.25">
      <c r="A245" s="1">
        <v>44210</v>
      </c>
      <c r="B245" t="s">
        <v>56</v>
      </c>
      <c r="C245">
        <f>12.67+2.78</f>
        <v>15.45</v>
      </c>
      <c r="D245">
        <v>16.18</v>
      </c>
    </row>
    <row r="246" spans="1:4" x14ac:dyDescent="0.25">
      <c r="A246" s="1">
        <v>44210</v>
      </c>
      <c r="B246" t="s">
        <v>58</v>
      </c>
      <c r="C246">
        <v>28</v>
      </c>
      <c r="D246">
        <v>28.77</v>
      </c>
    </row>
    <row r="247" spans="1:4" x14ac:dyDescent="0.25">
      <c r="A247" s="1">
        <v>44210</v>
      </c>
      <c r="B247" t="s">
        <v>60</v>
      </c>
      <c r="C247">
        <v>15.08</v>
      </c>
      <c r="D247">
        <v>17.920000000000002</v>
      </c>
    </row>
    <row r="248" spans="1:4" x14ac:dyDescent="0.25">
      <c r="A248" s="1">
        <v>44210</v>
      </c>
      <c r="B248" t="s">
        <v>62</v>
      </c>
      <c r="C248">
        <v>17.399999999999999</v>
      </c>
      <c r="D248">
        <v>21.07</v>
      </c>
    </row>
    <row r="249" spans="1:4" x14ac:dyDescent="0.25">
      <c r="A249" s="1">
        <v>44211</v>
      </c>
      <c r="B249" t="s">
        <v>56</v>
      </c>
      <c r="C249">
        <f>12.32+1.35</f>
        <v>13.67</v>
      </c>
      <c r="D249">
        <v>16.079999999999998</v>
      </c>
    </row>
    <row r="250" spans="1:4" x14ac:dyDescent="0.25">
      <c r="A250" s="1">
        <v>44211</v>
      </c>
      <c r="B250" t="s">
        <v>58</v>
      </c>
      <c r="C250">
        <v>17.78</v>
      </c>
      <c r="D250">
        <v>18.39</v>
      </c>
    </row>
    <row r="251" spans="1:4" x14ac:dyDescent="0.25">
      <c r="A251" s="1">
        <v>44211</v>
      </c>
      <c r="B251" t="s">
        <v>60</v>
      </c>
      <c r="C251">
        <v>12.87</v>
      </c>
      <c r="D251">
        <v>17.71</v>
      </c>
    </row>
    <row r="252" spans="1:4" x14ac:dyDescent="0.25">
      <c r="A252" s="1">
        <v>44211</v>
      </c>
      <c r="B252" t="s">
        <v>62</v>
      </c>
      <c r="C252">
        <v>15.98</v>
      </c>
      <c r="D252">
        <v>17.649999999999999</v>
      </c>
    </row>
    <row r="253" spans="1:4" x14ac:dyDescent="0.25">
      <c r="A253" s="1">
        <v>44212</v>
      </c>
      <c r="B253" t="s">
        <v>56</v>
      </c>
      <c r="C253">
        <v>13.21</v>
      </c>
      <c r="D253">
        <v>14.84</v>
      </c>
    </row>
    <row r="254" spans="1:4" x14ac:dyDescent="0.25">
      <c r="A254" s="1">
        <v>44212</v>
      </c>
      <c r="B254" t="s">
        <v>58</v>
      </c>
      <c r="C254">
        <v>25.68</v>
      </c>
      <c r="D254">
        <v>22.56</v>
      </c>
    </row>
    <row r="255" spans="1:4" x14ac:dyDescent="0.25">
      <c r="A255" s="1">
        <v>44212</v>
      </c>
      <c r="B255" t="s">
        <v>60</v>
      </c>
      <c r="C255">
        <v>11.22</v>
      </c>
      <c r="D255">
        <v>23.05</v>
      </c>
    </row>
    <row r="256" spans="1:4" x14ac:dyDescent="0.25">
      <c r="A256" s="1">
        <v>44212</v>
      </c>
      <c r="B256" t="s">
        <v>62</v>
      </c>
      <c r="C256">
        <v>16.93</v>
      </c>
      <c r="D256">
        <v>24.37</v>
      </c>
    </row>
    <row r="257" spans="1:4" x14ac:dyDescent="0.25">
      <c r="A257" s="1">
        <v>44214</v>
      </c>
      <c r="B257" t="s">
        <v>56</v>
      </c>
      <c r="C257">
        <f>14.52+2.82</f>
        <v>17.34</v>
      </c>
      <c r="D257">
        <v>17.739999999999998</v>
      </c>
    </row>
    <row r="258" spans="1:4" x14ac:dyDescent="0.25">
      <c r="A258" s="1">
        <v>44214</v>
      </c>
      <c r="B258" t="s">
        <v>58</v>
      </c>
      <c r="C258">
        <v>25.8</v>
      </c>
      <c r="D258">
        <v>27.68</v>
      </c>
    </row>
    <row r="259" spans="1:4" x14ac:dyDescent="0.25">
      <c r="A259" s="1">
        <v>44214</v>
      </c>
      <c r="B259" t="s">
        <v>60</v>
      </c>
      <c r="C259">
        <v>26.52</v>
      </c>
      <c r="D259">
        <v>19.61</v>
      </c>
    </row>
    <row r="260" spans="1:4" x14ac:dyDescent="0.25">
      <c r="A260" s="1">
        <v>44214</v>
      </c>
      <c r="B260" t="s">
        <v>62</v>
      </c>
      <c r="C260">
        <v>21.4</v>
      </c>
      <c r="D260">
        <v>23.15</v>
      </c>
    </row>
    <row r="261" spans="1:4" x14ac:dyDescent="0.25">
      <c r="A261" s="1">
        <v>44215</v>
      </c>
      <c r="B261" t="s">
        <v>56</v>
      </c>
      <c r="C261">
        <f>15.03+1.08</f>
        <v>16.11</v>
      </c>
      <c r="D261">
        <v>16</v>
      </c>
    </row>
    <row r="262" spans="1:4" x14ac:dyDescent="0.25">
      <c r="A262" s="1">
        <v>44215</v>
      </c>
      <c r="B262" t="s">
        <v>58</v>
      </c>
      <c r="C262">
        <v>25.93</v>
      </c>
      <c r="D262">
        <v>30.25</v>
      </c>
    </row>
    <row r="263" spans="1:4" x14ac:dyDescent="0.25">
      <c r="A263" s="1">
        <v>44215</v>
      </c>
      <c r="B263" t="s">
        <v>60</v>
      </c>
      <c r="C263">
        <v>19.170000000000002</v>
      </c>
      <c r="D263">
        <v>23.95</v>
      </c>
    </row>
    <row r="264" spans="1:4" x14ac:dyDescent="0.25">
      <c r="A264" s="1">
        <v>44215</v>
      </c>
      <c r="B264" t="s">
        <v>62</v>
      </c>
      <c r="C264">
        <v>21.25</v>
      </c>
      <c r="D264">
        <v>20.010000000000002</v>
      </c>
    </row>
    <row r="265" spans="1:4" x14ac:dyDescent="0.25">
      <c r="A265" s="1">
        <v>44217</v>
      </c>
      <c r="B265" t="s">
        <v>56</v>
      </c>
      <c r="C265">
        <v>16</v>
      </c>
      <c r="D265">
        <v>14.17</v>
      </c>
    </row>
    <row r="266" spans="1:4" x14ac:dyDescent="0.25">
      <c r="A266" s="1">
        <v>44217</v>
      </c>
      <c r="B266" t="s">
        <v>58</v>
      </c>
      <c r="C266">
        <v>28.78</v>
      </c>
      <c r="D266">
        <v>28.22</v>
      </c>
    </row>
    <row r="267" spans="1:4" x14ac:dyDescent="0.25">
      <c r="A267" s="1">
        <v>44217</v>
      </c>
      <c r="B267" t="s">
        <v>60</v>
      </c>
      <c r="C267">
        <v>13.93</v>
      </c>
      <c r="D267">
        <v>15.7</v>
      </c>
    </row>
    <row r="268" spans="1:4" x14ac:dyDescent="0.25">
      <c r="A268" s="1">
        <v>44217</v>
      </c>
      <c r="B268" t="s">
        <v>62</v>
      </c>
      <c r="C268">
        <v>18.18</v>
      </c>
      <c r="D268">
        <v>18.690000000000001</v>
      </c>
    </row>
    <row r="269" spans="1:4" x14ac:dyDescent="0.25">
      <c r="A269" s="1">
        <v>44218</v>
      </c>
      <c r="B269" t="s">
        <v>56</v>
      </c>
      <c r="C269">
        <v>13.75</v>
      </c>
      <c r="D269">
        <v>14.41</v>
      </c>
    </row>
    <row r="270" spans="1:4" x14ac:dyDescent="0.25">
      <c r="A270" s="1">
        <v>44218</v>
      </c>
      <c r="B270" t="s">
        <v>58</v>
      </c>
      <c r="C270">
        <v>19.510000000000002</v>
      </c>
      <c r="D270">
        <v>19.03</v>
      </c>
    </row>
    <row r="271" spans="1:4" x14ac:dyDescent="0.25">
      <c r="A271" s="1">
        <v>44218</v>
      </c>
      <c r="B271" t="s">
        <v>60</v>
      </c>
      <c r="C271">
        <v>18.55</v>
      </c>
      <c r="D271">
        <v>17.670000000000002</v>
      </c>
    </row>
    <row r="272" spans="1:4" x14ac:dyDescent="0.25">
      <c r="A272" s="1">
        <v>44218</v>
      </c>
      <c r="B272" t="s">
        <v>62</v>
      </c>
      <c r="C272">
        <v>16.48</v>
      </c>
      <c r="D272">
        <v>16.57</v>
      </c>
    </row>
    <row r="273" spans="1:4" x14ac:dyDescent="0.25">
      <c r="A273" s="1">
        <v>44219</v>
      </c>
      <c r="B273" t="s">
        <v>56</v>
      </c>
      <c r="C273">
        <f>12.48+0.85</f>
        <v>13.33</v>
      </c>
      <c r="D273">
        <v>14.19</v>
      </c>
    </row>
    <row r="274" spans="1:4" x14ac:dyDescent="0.25">
      <c r="A274" s="1">
        <v>44219</v>
      </c>
      <c r="B274" t="s">
        <v>58</v>
      </c>
      <c r="C274">
        <v>26</v>
      </c>
      <c r="D274">
        <v>24.13</v>
      </c>
    </row>
    <row r="275" spans="1:4" x14ac:dyDescent="0.25">
      <c r="A275" s="1">
        <v>44219</v>
      </c>
      <c r="B275" t="s">
        <v>60</v>
      </c>
      <c r="C275">
        <v>11.57</v>
      </c>
      <c r="D275">
        <v>22.15</v>
      </c>
    </row>
    <row r="276" spans="1:4" x14ac:dyDescent="0.25">
      <c r="A276" s="1">
        <v>44219</v>
      </c>
      <c r="B276" t="s">
        <v>62</v>
      </c>
      <c r="C276">
        <v>15.93</v>
      </c>
      <c r="D276">
        <v>21.65</v>
      </c>
    </row>
    <row r="277" spans="1:4" x14ac:dyDescent="0.25">
      <c r="A277" s="1">
        <v>44221</v>
      </c>
      <c r="B277" t="s">
        <v>56</v>
      </c>
      <c r="C277">
        <f>16.05+3.77</f>
        <v>19.82</v>
      </c>
      <c r="D277">
        <v>15.95</v>
      </c>
    </row>
    <row r="278" spans="1:4" x14ac:dyDescent="0.25">
      <c r="A278" s="1">
        <v>44221</v>
      </c>
      <c r="B278" t="s">
        <v>58</v>
      </c>
      <c r="C278">
        <v>25.65</v>
      </c>
      <c r="D278">
        <v>24.33</v>
      </c>
    </row>
    <row r="279" spans="1:4" x14ac:dyDescent="0.25">
      <c r="A279" s="1">
        <v>44221</v>
      </c>
      <c r="B279" t="s">
        <v>60</v>
      </c>
      <c r="C279">
        <v>22.32</v>
      </c>
      <c r="D279">
        <v>21.81</v>
      </c>
    </row>
    <row r="280" spans="1:4" x14ac:dyDescent="0.25">
      <c r="A280" s="1">
        <v>44221</v>
      </c>
      <c r="B280" t="s">
        <v>62</v>
      </c>
      <c r="C280">
        <v>18.55</v>
      </c>
      <c r="D280">
        <v>18.47</v>
      </c>
    </row>
    <row r="281" spans="1:4" x14ac:dyDescent="0.25">
      <c r="A281" s="1">
        <v>44222</v>
      </c>
      <c r="B281" t="s">
        <v>56</v>
      </c>
      <c r="C281">
        <f>14.82+1.08</f>
        <v>15.9</v>
      </c>
      <c r="D281">
        <v>15.17</v>
      </c>
    </row>
    <row r="282" spans="1:4" x14ac:dyDescent="0.25">
      <c r="A282" s="1">
        <v>44222</v>
      </c>
      <c r="B282" t="s">
        <v>58</v>
      </c>
      <c r="C282">
        <v>27.41</v>
      </c>
      <c r="D282">
        <v>31.2</v>
      </c>
    </row>
    <row r="283" spans="1:4" x14ac:dyDescent="0.25">
      <c r="A283" s="1">
        <v>44222</v>
      </c>
      <c r="B283" t="s">
        <v>60</v>
      </c>
      <c r="C283">
        <v>13.83</v>
      </c>
      <c r="D283">
        <v>24.67</v>
      </c>
    </row>
    <row r="284" spans="1:4" x14ac:dyDescent="0.25">
      <c r="A284" s="1">
        <v>44222</v>
      </c>
      <c r="B284" t="s">
        <v>62</v>
      </c>
      <c r="C284">
        <v>20.18</v>
      </c>
      <c r="D284">
        <v>23.23</v>
      </c>
    </row>
    <row r="285" spans="1:4" x14ac:dyDescent="0.25">
      <c r="A285" s="1">
        <v>44224</v>
      </c>
      <c r="B285" t="s">
        <v>56</v>
      </c>
      <c r="C285">
        <v>15.42</v>
      </c>
      <c r="D285">
        <v>14.93</v>
      </c>
    </row>
    <row r="286" spans="1:4" x14ac:dyDescent="0.25">
      <c r="A286" s="1">
        <v>44224</v>
      </c>
      <c r="B286" t="s">
        <v>58</v>
      </c>
      <c r="C286">
        <v>27.47</v>
      </c>
      <c r="D286">
        <v>28.2</v>
      </c>
    </row>
    <row r="287" spans="1:4" x14ac:dyDescent="0.25">
      <c r="A287" s="1">
        <v>44224</v>
      </c>
      <c r="B287" t="s">
        <v>60</v>
      </c>
      <c r="C287">
        <v>24.03</v>
      </c>
      <c r="D287">
        <v>16.02</v>
      </c>
    </row>
    <row r="288" spans="1:4" x14ac:dyDescent="0.25">
      <c r="A288" s="1">
        <v>44224</v>
      </c>
      <c r="B288" t="s">
        <v>62</v>
      </c>
      <c r="C288">
        <v>16.23</v>
      </c>
      <c r="D288">
        <v>14.9</v>
      </c>
    </row>
    <row r="289" spans="1:6" x14ac:dyDescent="0.25">
      <c r="A289" s="1">
        <v>44225</v>
      </c>
      <c r="B289" t="s">
        <v>56</v>
      </c>
      <c r="C289">
        <f>11.38+1.47</f>
        <v>12.850000000000001</v>
      </c>
      <c r="D289">
        <v>15.14</v>
      </c>
    </row>
    <row r="290" spans="1:6" x14ac:dyDescent="0.25">
      <c r="A290" s="1">
        <v>44225</v>
      </c>
      <c r="B290" t="s">
        <v>58</v>
      </c>
      <c r="C290">
        <v>19.149999999999999</v>
      </c>
      <c r="D290">
        <v>19.47</v>
      </c>
    </row>
    <row r="291" spans="1:6" x14ac:dyDescent="0.25">
      <c r="A291" s="1">
        <v>44225</v>
      </c>
      <c r="B291" t="s">
        <v>60</v>
      </c>
      <c r="C291">
        <v>12.93</v>
      </c>
      <c r="D291">
        <v>17.420000000000002</v>
      </c>
    </row>
    <row r="292" spans="1:6" x14ac:dyDescent="0.25">
      <c r="A292" s="1">
        <v>44225</v>
      </c>
      <c r="B292" t="s">
        <v>62</v>
      </c>
      <c r="C292">
        <v>22.75</v>
      </c>
      <c r="D292">
        <v>23.22</v>
      </c>
      <c r="F292">
        <v>6.52</v>
      </c>
    </row>
    <row r="293" spans="1:6" x14ac:dyDescent="0.25">
      <c r="A293" s="1">
        <v>44226</v>
      </c>
      <c r="B293" t="s">
        <v>56</v>
      </c>
      <c r="C293">
        <f>12.57+0.82</f>
        <v>13.39</v>
      </c>
      <c r="D293">
        <v>14.32</v>
      </c>
    </row>
    <row r="294" spans="1:6" x14ac:dyDescent="0.25">
      <c r="A294" s="1">
        <v>44226</v>
      </c>
      <c r="B294" t="s">
        <v>58</v>
      </c>
      <c r="C294">
        <v>25.05</v>
      </c>
      <c r="D294">
        <v>22.91</v>
      </c>
    </row>
    <row r="295" spans="1:6" x14ac:dyDescent="0.25">
      <c r="A295" s="1">
        <v>44226</v>
      </c>
      <c r="B295" t="s">
        <v>60</v>
      </c>
      <c r="C295">
        <v>10.63</v>
      </c>
      <c r="D295">
        <v>22.03</v>
      </c>
    </row>
    <row r="296" spans="1:6" x14ac:dyDescent="0.25">
      <c r="A296" s="1">
        <v>44226</v>
      </c>
      <c r="B296" t="s">
        <v>62</v>
      </c>
      <c r="C296">
        <v>16.22</v>
      </c>
      <c r="D296">
        <v>24.77</v>
      </c>
      <c r="F296">
        <f>3.25+4.03</f>
        <v>7.28</v>
      </c>
    </row>
    <row r="297" spans="1:6" x14ac:dyDescent="0.25">
      <c r="A297" s="1">
        <v>44228</v>
      </c>
      <c r="B297" t="s">
        <v>56</v>
      </c>
      <c r="C297">
        <f>3.33+13.72</f>
        <v>17.05</v>
      </c>
      <c r="D297">
        <v>15.18</v>
      </c>
    </row>
    <row r="298" spans="1:6" x14ac:dyDescent="0.25">
      <c r="A298" s="1">
        <v>44228</v>
      </c>
      <c r="B298" t="s">
        <v>58</v>
      </c>
      <c r="C298">
        <v>23.38</v>
      </c>
      <c r="D298">
        <v>25.82</v>
      </c>
    </row>
    <row r="299" spans="1:6" x14ac:dyDescent="0.25">
      <c r="A299" s="1">
        <v>44228</v>
      </c>
      <c r="B299" t="s">
        <v>60</v>
      </c>
      <c r="C299">
        <v>20.05</v>
      </c>
      <c r="D299">
        <v>18.95</v>
      </c>
    </row>
    <row r="300" spans="1:6" x14ac:dyDescent="0.25">
      <c r="A300" s="1">
        <v>44228</v>
      </c>
      <c r="B300" t="s">
        <v>62</v>
      </c>
      <c r="C300">
        <v>19.350000000000001</v>
      </c>
      <c r="D300">
        <v>21.73</v>
      </c>
      <c r="F300">
        <v>1.65</v>
      </c>
    </row>
    <row r="301" spans="1:6" x14ac:dyDescent="0.25">
      <c r="A301" s="1">
        <v>44229</v>
      </c>
      <c r="B301" t="s">
        <v>56</v>
      </c>
      <c r="C301">
        <f>16.08+1.15</f>
        <v>17.229999999999997</v>
      </c>
      <c r="D301">
        <v>22</v>
      </c>
    </row>
    <row r="302" spans="1:6" x14ac:dyDescent="0.25">
      <c r="A302" s="1">
        <v>44229</v>
      </c>
      <c r="B302" t="s">
        <v>58</v>
      </c>
      <c r="C302">
        <v>25.33</v>
      </c>
      <c r="D302">
        <v>29.91</v>
      </c>
    </row>
    <row r="303" spans="1:6" x14ac:dyDescent="0.25">
      <c r="A303" s="1">
        <v>44229</v>
      </c>
      <c r="B303" t="s">
        <v>60</v>
      </c>
      <c r="C303">
        <v>14.28</v>
      </c>
      <c r="D303">
        <v>24.22</v>
      </c>
    </row>
    <row r="304" spans="1:6" x14ac:dyDescent="0.25">
      <c r="A304" s="1">
        <v>44229</v>
      </c>
      <c r="B304" t="s">
        <v>62</v>
      </c>
      <c r="C304">
        <v>22.78</v>
      </c>
      <c r="D304">
        <v>20.99</v>
      </c>
    </row>
    <row r="305" spans="1:6" x14ac:dyDescent="0.25">
      <c r="A305" s="1">
        <v>44231</v>
      </c>
      <c r="B305" t="s">
        <v>56</v>
      </c>
      <c r="C305">
        <v>17.54</v>
      </c>
      <c r="D305">
        <v>14.71</v>
      </c>
    </row>
    <row r="306" spans="1:6" x14ac:dyDescent="0.25">
      <c r="A306" s="1">
        <v>44231</v>
      </c>
      <c r="B306" t="s">
        <v>58</v>
      </c>
      <c r="C306">
        <v>28.32</v>
      </c>
      <c r="D306">
        <v>27.15</v>
      </c>
    </row>
    <row r="307" spans="1:6" x14ac:dyDescent="0.25">
      <c r="A307" s="1">
        <v>44231</v>
      </c>
      <c r="B307" t="s">
        <v>60</v>
      </c>
      <c r="C307">
        <v>14.33</v>
      </c>
      <c r="D307">
        <v>16.73</v>
      </c>
    </row>
    <row r="308" spans="1:6" x14ac:dyDescent="0.25">
      <c r="A308" s="1">
        <v>44231</v>
      </c>
      <c r="B308" t="s">
        <v>62</v>
      </c>
      <c r="C308">
        <v>17.32</v>
      </c>
      <c r="D308">
        <v>16.739999999999998</v>
      </c>
    </row>
    <row r="309" spans="1:6" x14ac:dyDescent="0.25">
      <c r="A309" s="1">
        <v>44232</v>
      </c>
      <c r="B309" t="s">
        <v>56</v>
      </c>
      <c r="C309">
        <v>14</v>
      </c>
      <c r="D309">
        <v>15.33</v>
      </c>
    </row>
    <row r="310" spans="1:6" x14ac:dyDescent="0.25">
      <c r="A310" s="1">
        <v>44232</v>
      </c>
      <c r="B310" t="s">
        <v>58</v>
      </c>
      <c r="C310">
        <v>20.92</v>
      </c>
      <c r="D310">
        <v>20.5</v>
      </c>
    </row>
    <row r="311" spans="1:6" x14ac:dyDescent="0.25">
      <c r="A311" s="1">
        <v>44232</v>
      </c>
      <c r="B311" t="s">
        <v>60</v>
      </c>
      <c r="C311">
        <v>12.75</v>
      </c>
      <c r="D311">
        <v>16.649999999999999</v>
      </c>
    </row>
    <row r="312" spans="1:6" x14ac:dyDescent="0.25">
      <c r="A312" s="1">
        <v>44232</v>
      </c>
      <c r="B312" t="s">
        <v>62</v>
      </c>
      <c r="C312">
        <v>24.33</v>
      </c>
      <c r="D312">
        <v>22.4</v>
      </c>
      <c r="F312">
        <v>7.72</v>
      </c>
    </row>
    <row r="313" spans="1:6" x14ac:dyDescent="0.25">
      <c r="A313" s="1">
        <v>44233</v>
      </c>
      <c r="B313" t="s">
        <v>56</v>
      </c>
      <c r="C313">
        <f>15.08+2.3</f>
        <v>17.38</v>
      </c>
      <c r="D313">
        <v>14.09</v>
      </c>
    </row>
    <row r="314" spans="1:6" x14ac:dyDescent="0.25">
      <c r="A314" s="1">
        <v>44233</v>
      </c>
      <c r="B314" t="s">
        <v>58</v>
      </c>
      <c r="C314">
        <v>26.02</v>
      </c>
      <c r="D314">
        <v>24.5</v>
      </c>
    </row>
    <row r="315" spans="1:6" x14ac:dyDescent="0.25">
      <c r="A315" s="1">
        <v>44233</v>
      </c>
      <c r="B315" t="s">
        <v>60</v>
      </c>
      <c r="C315">
        <v>20.07</v>
      </c>
      <c r="D315">
        <v>22.2</v>
      </c>
    </row>
    <row r="316" spans="1:6" x14ac:dyDescent="0.25">
      <c r="A316" s="1">
        <v>44233</v>
      </c>
      <c r="B316" t="s">
        <v>62</v>
      </c>
      <c r="C316">
        <v>17.3</v>
      </c>
      <c r="D316">
        <v>24.71</v>
      </c>
      <c r="F316">
        <v>6.72</v>
      </c>
    </row>
    <row r="317" spans="1:6" x14ac:dyDescent="0.25">
      <c r="A317" s="1">
        <v>44235</v>
      </c>
      <c r="B317" t="s">
        <v>56</v>
      </c>
      <c r="C317">
        <f>15.1+2.7</f>
        <v>17.8</v>
      </c>
      <c r="D317">
        <v>15.28</v>
      </c>
    </row>
    <row r="318" spans="1:6" x14ac:dyDescent="0.25">
      <c r="A318" s="1">
        <v>44235</v>
      </c>
      <c r="B318" t="s">
        <v>58</v>
      </c>
      <c r="C318">
        <v>21.78</v>
      </c>
      <c r="D318">
        <v>26.12</v>
      </c>
    </row>
    <row r="319" spans="1:6" x14ac:dyDescent="0.25">
      <c r="A319" s="1">
        <v>44235</v>
      </c>
      <c r="B319" t="s">
        <v>60</v>
      </c>
      <c r="C319">
        <v>20.67</v>
      </c>
      <c r="D319">
        <v>18.170000000000002</v>
      </c>
    </row>
    <row r="320" spans="1:6" x14ac:dyDescent="0.25">
      <c r="A320" s="1">
        <v>44235</v>
      </c>
      <c r="B320" t="s">
        <v>62</v>
      </c>
      <c r="C320">
        <v>22.8</v>
      </c>
      <c r="D320">
        <v>24.6</v>
      </c>
    </row>
    <row r="321" spans="1:4" x14ac:dyDescent="0.25">
      <c r="A321" s="1">
        <v>44236</v>
      </c>
      <c r="B321" t="s">
        <v>56</v>
      </c>
      <c r="C321">
        <f>14.82+1.03</f>
        <v>15.85</v>
      </c>
      <c r="D321">
        <v>15.33</v>
      </c>
    </row>
    <row r="322" spans="1:4" x14ac:dyDescent="0.25">
      <c r="A322" s="1">
        <v>44236</v>
      </c>
      <c r="B322" t="s">
        <v>58</v>
      </c>
      <c r="C322">
        <v>24.06</v>
      </c>
      <c r="D322">
        <v>27.95</v>
      </c>
    </row>
    <row r="323" spans="1:4" x14ac:dyDescent="0.25">
      <c r="A323" s="1">
        <v>44236</v>
      </c>
      <c r="B323" t="s">
        <v>60</v>
      </c>
      <c r="C323">
        <v>19.23</v>
      </c>
      <c r="D323">
        <v>25.11</v>
      </c>
    </row>
    <row r="324" spans="1:4" x14ac:dyDescent="0.25">
      <c r="A324" s="1">
        <v>44236</v>
      </c>
      <c r="B324" t="s">
        <v>62</v>
      </c>
      <c r="C324">
        <v>21.95</v>
      </c>
      <c r="D324">
        <v>23.32</v>
      </c>
    </row>
    <row r="325" spans="1:4" x14ac:dyDescent="0.25">
      <c r="A325" s="1">
        <v>44238</v>
      </c>
      <c r="B325" t="s">
        <v>56</v>
      </c>
      <c r="C325">
        <f>11.9+3.18</f>
        <v>15.08</v>
      </c>
      <c r="D325">
        <v>14.41</v>
      </c>
    </row>
    <row r="326" spans="1:4" x14ac:dyDescent="0.25">
      <c r="A326" s="1">
        <v>44238</v>
      </c>
      <c r="B326" t="s">
        <v>58</v>
      </c>
      <c r="C326">
        <v>23.9</v>
      </c>
      <c r="D326">
        <v>23.97</v>
      </c>
    </row>
    <row r="327" spans="1:4" x14ac:dyDescent="0.25">
      <c r="A327" s="1">
        <v>44238</v>
      </c>
      <c r="B327" t="s">
        <v>60</v>
      </c>
      <c r="C327">
        <v>12.38</v>
      </c>
      <c r="D327">
        <v>16.079999999999998</v>
      </c>
    </row>
    <row r="328" spans="1:4" x14ac:dyDescent="0.25">
      <c r="A328" s="1">
        <v>44238</v>
      </c>
      <c r="B328" t="s">
        <v>62</v>
      </c>
      <c r="C328">
        <v>16.579999999999998</v>
      </c>
      <c r="D328">
        <v>18.329999999999998</v>
      </c>
    </row>
    <row r="329" spans="1:4" x14ac:dyDescent="0.25">
      <c r="A329" s="1">
        <v>44239</v>
      </c>
      <c r="B329" t="s">
        <v>56</v>
      </c>
      <c r="C329">
        <v>12.46</v>
      </c>
      <c r="D329">
        <v>13.8</v>
      </c>
    </row>
    <row r="330" spans="1:4" x14ac:dyDescent="0.25">
      <c r="A330" s="1">
        <v>44239</v>
      </c>
      <c r="B330" t="s">
        <v>58</v>
      </c>
      <c r="C330">
        <v>16.059999999999999</v>
      </c>
      <c r="D330">
        <v>22.52</v>
      </c>
    </row>
    <row r="331" spans="1:4" x14ac:dyDescent="0.25">
      <c r="A331" s="1">
        <v>44239</v>
      </c>
      <c r="B331" t="s">
        <v>60</v>
      </c>
      <c r="C331">
        <v>12.37</v>
      </c>
      <c r="D331">
        <v>15</v>
      </c>
    </row>
    <row r="332" spans="1:4" x14ac:dyDescent="0.25">
      <c r="A332" s="1">
        <v>44239</v>
      </c>
      <c r="B332" t="s">
        <v>62</v>
      </c>
      <c r="C332">
        <v>13.93</v>
      </c>
      <c r="D332">
        <v>13.39</v>
      </c>
    </row>
    <row r="333" spans="1:4" x14ac:dyDescent="0.25">
      <c r="A333" s="1">
        <v>44240</v>
      </c>
      <c r="B333" t="s">
        <v>56</v>
      </c>
      <c r="C333">
        <f>12.12+0.92</f>
        <v>13.04</v>
      </c>
      <c r="D333">
        <v>14.7</v>
      </c>
    </row>
    <row r="334" spans="1:4" x14ac:dyDescent="0.25">
      <c r="A334" s="1">
        <v>44240</v>
      </c>
      <c r="B334" t="s">
        <v>58</v>
      </c>
      <c r="C334">
        <v>23.08</v>
      </c>
      <c r="D334">
        <v>18.64</v>
      </c>
    </row>
    <row r="335" spans="1:4" x14ac:dyDescent="0.25">
      <c r="A335" s="1">
        <v>44240</v>
      </c>
      <c r="B335" t="s">
        <v>60</v>
      </c>
      <c r="C335">
        <v>10.62</v>
      </c>
      <c r="D335">
        <v>20.45</v>
      </c>
    </row>
    <row r="336" spans="1:4" x14ac:dyDescent="0.25">
      <c r="A336" s="1">
        <v>44240</v>
      </c>
      <c r="B336" t="s">
        <v>62</v>
      </c>
      <c r="C336">
        <v>16.649999999999999</v>
      </c>
      <c r="D336">
        <v>22.59</v>
      </c>
    </row>
    <row r="337" spans="1:6" x14ac:dyDescent="0.25">
      <c r="A337" s="1">
        <v>44242</v>
      </c>
      <c r="B337" t="s">
        <v>56</v>
      </c>
      <c r="C337">
        <f>15.05+2.95</f>
        <v>18</v>
      </c>
      <c r="D337">
        <v>8.43</v>
      </c>
    </row>
    <row r="338" spans="1:6" x14ac:dyDescent="0.25">
      <c r="A338" s="1">
        <v>44242</v>
      </c>
      <c r="B338" t="s">
        <v>58</v>
      </c>
      <c r="C338">
        <v>21.68</v>
      </c>
      <c r="D338">
        <v>13.01</v>
      </c>
    </row>
    <row r="339" spans="1:6" x14ac:dyDescent="0.25">
      <c r="A339" s="1">
        <v>44242</v>
      </c>
      <c r="B339" t="s">
        <v>60</v>
      </c>
      <c r="C339">
        <v>19.88</v>
      </c>
      <c r="D339">
        <v>7.23</v>
      </c>
    </row>
    <row r="340" spans="1:6" x14ac:dyDescent="0.25">
      <c r="A340" s="1">
        <v>44242</v>
      </c>
      <c r="B340" t="s">
        <v>62</v>
      </c>
      <c r="C340">
        <v>20.329999999999998</v>
      </c>
      <c r="D340">
        <v>8.67</v>
      </c>
    </row>
    <row r="341" spans="1:6" x14ac:dyDescent="0.25">
      <c r="A341" s="1">
        <v>44243</v>
      </c>
      <c r="B341" t="s">
        <v>56</v>
      </c>
      <c r="C341">
        <f>12.86+1.03</f>
        <v>13.889999999999999</v>
      </c>
      <c r="D341">
        <v>13.73</v>
      </c>
    </row>
    <row r="342" spans="1:6" x14ac:dyDescent="0.25">
      <c r="A342" s="1">
        <v>44243</v>
      </c>
      <c r="B342" t="s">
        <v>58</v>
      </c>
      <c r="C342">
        <v>19.95</v>
      </c>
      <c r="D342">
        <v>15.45</v>
      </c>
    </row>
    <row r="343" spans="1:6" x14ac:dyDescent="0.25">
      <c r="A343" s="1">
        <v>44243</v>
      </c>
      <c r="B343" t="s">
        <v>60</v>
      </c>
      <c r="C343">
        <v>14.7</v>
      </c>
      <c r="D343">
        <v>20.3</v>
      </c>
    </row>
    <row r="344" spans="1:6" x14ac:dyDescent="0.25">
      <c r="A344" s="1">
        <v>44243</v>
      </c>
      <c r="B344" t="s">
        <v>62</v>
      </c>
      <c r="C344">
        <v>31.62</v>
      </c>
      <c r="D344">
        <v>7.27</v>
      </c>
    </row>
    <row r="345" spans="1:6" x14ac:dyDescent="0.25">
      <c r="A345" s="1">
        <v>44245</v>
      </c>
      <c r="B345" t="s">
        <v>56</v>
      </c>
      <c r="C345">
        <f>13.15+4.2</f>
        <v>17.350000000000001</v>
      </c>
      <c r="D345">
        <v>15.2</v>
      </c>
    </row>
    <row r="346" spans="1:6" x14ac:dyDescent="0.25">
      <c r="A346" s="1">
        <v>44245</v>
      </c>
      <c r="B346" t="s">
        <v>58</v>
      </c>
      <c r="C346">
        <v>26.35</v>
      </c>
      <c r="D346">
        <v>27.02</v>
      </c>
    </row>
    <row r="347" spans="1:6" x14ac:dyDescent="0.25">
      <c r="A347" s="1">
        <v>44245</v>
      </c>
      <c r="B347" t="s">
        <v>60</v>
      </c>
      <c r="C347">
        <v>15.65</v>
      </c>
      <c r="D347">
        <v>13.29</v>
      </c>
    </row>
    <row r="348" spans="1:6" x14ac:dyDescent="0.25">
      <c r="A348" s="1">
        <v>44245</v>
      </c>
      <c r="B348" t="s">
        <v>62</v>
      </c>
      <c r="C348">
        <v>18.149999999999999</v>
      </c>
      <c r="D348">
        <v>19.75</v>
      </c>
    </row>
    <row r="349" spans="1:6" x14ac:dyDescent="0.25">
      <c r="A349" s="1">
        <v>44246</v>
      </c>
      <c r="B349" t="s">
        <v>56</v>
      </c>
      <c r="C349">
        <f>11.67+1.5</f>
        <v>13.17</v>
      </c>
      <c r="D349">
        <v>14.08</v>
      </c>
    </row>
    <row r="350" spans="1:6" x14ac:dyDescent="0.25">
      <c r="A350" s="1">
        <v>44246</v>
      </c>
      <c r="B350" t="s">
        <v>58</v>
      </c>
      <c r="C350">
        <v>15.61</v>
      </c>
      <c r="D350">
        <v>18.98</v>
      </c>
    </row>
    <row r="351" spans="1:6" x14ac:dyDescent="0.25">
      <c r="A351" s="1">
        <v>44246</v>
      </c>
      <c r="B351" t="s">
        <v>60</v>
      </c>
      <c r="C351">
        <v>15.35</v>
      </c>
      <c r="D351">
        <v>16.7</v>
      </c>
    </row>
    <row r="352" spans="1:6" x14ac:dyDescent="0.25">
      <c r="A352" s="1">
        <v>44246</v>
      </c>
      <c r="B352" t="s">
        <v>62</v>
      </c>
      <c r="C352">
        <v>25.72</v>
      </c>
      <c r="D352">
        <v>20.2</v>
      </c>
      <c r="F352">
        <f>3+1.1+0.45+0.4</f>
        <v>4.95</v>
      </c>
    </row>
    <row r="353" spans="1:6" x14ac:dyDescent="0.25">
      <c r="A353" s="1">
        <v>44247</v>
      </c>
      <c r="B353" t="s">
        <v>56</v>
      </c>
      <c r="C353">
        <f>12.3+1.02</f>
        <v>13.32</v>
      </c>
      <c r="D353">
        <v>14.04</v>
      </c>
    </row>
    <row r="354" spans="1:6" x14ac:dyDescent="0.25">
      <c r="A354" s="1">
        <v>44247</v>
      </c>
      <c r="B354" t="s">
        <v>58</v>
      </c>
      <c r="C354">
        <v>22.8</v>
      </c>
      <c r="D354">
        <v>24.06</v>
      </c>
    </row>
    <row r="355" spans="1:6" x14ac:dyDescent="0.25">
      <c r="A355" s="1">
        <v>44247</v>
      </c>
      <c r="B355" t="s">
        <v>60</v>
      </c>
      <c r="C355">
        <v>11.15</v>
      </c>
      <c r="D355">
        <v>25.7</v>
      </c>
    </row>
    <row r="356" spans="1:6" x14ac:dyDescent="0.25">
      <c r="A356" s="1">
        <v>44247</v>
      </c>
      <c r="B356" t="s">
        <v>62</v>
      </c>
      <c r="C356">
        <v>17.62</v>
      </c>
      <c r="D356">
        <v>26.09</v>
      </c>
      <c r="F356">
        <v>9.93</v>
      </c>
    </row>
    <row r="357" spans="1:6" x14ac:dyDescent="0.25">
      <c r="A357" s="1">
        <v>44249</v>
      </c>
      <c r="B357" t="s">
        <v>56</v>
      </c>
      <c r="C357">
        <f>13.9+3.33</f>
        <v>17.23</v>
      </c>
      <c r="D357">
        <v>14.96</v>
      </c>
    </row>
    <row r="358" spans="1:6" x14ac:dyDescent="0.25">
      <c r="A358" s="1">
        <v>44249</v>
      </c>
      <c r="B358" t="s">
        <v>58</v>
      </c>
      <c r="C358">
        <v>21.22</v>
      </c>
      <c r="D358">
        <v>24.27</v>
      </c>
    </row>
    <row r="359" spans="1:6" x14ac:dyDescent="0.25">
      <c r="A359" s="1">
        <v>44249</v>
      </c>
      <c r="B359" t="s">
        <v>60</v>
      </c>
      <c r="C359">
        <v>20.25</v>
      </c>
      <c r="D359">
        <v>18.93</v>
      </c>
    </row>
    <row r="360" spans="1:6" x14ac:dyDescent="0.25">
      <c r="A360" s="1">
        <v>44249</v>
      </c>
      <c r="B360" t="s">
        <v>62</v>
      </c>
      <c r="C360">
        <v>22.58</v>
      </c>
      <c r="D360">
        <v>23.94</v>
      </c>
    </row>
    <row r="361" spans="1:6" x14ac:dyDescent="0.25">
      <c r="A361" s="1">
        <v>44250</v>
      </c>
      <c r="B361" t="s">
        <v>56</v>
      </c>
      <c r="C361">
        <f>14.65+1.03</f>
        <v>15.68</v>
      </c>
      <c r="D361">
        <v>16.59</v>
      </c>
    </row>
    <row r="362" spans="1:6" x14ac:dyDescent="0.25">
      <c r="A362" s="1">
        <v>44250</v>
      </c>
      <c r="B362" t="s">
        <v>58</v>
      </c>
      <c r="C362">
        <v>25.41</v>
      </c>
      <c r="D362">
        <v>20.77</v>
      </c>
    </row>
    <row r="363" spans="1:6" x14ac:dyDescent="0.25">
      <c r="A363" s="1">
        <v>44250</v>
      </c>
      <c r="B363" t="s">
        <v>60</v>
      </c>
      <c r="C363">
        <v>14.23</v>
      </c>
      <c r="D363">
        <v>28.17</v>
      </c>
    </row>
    <row r="364" spans="1:6" x14ac:dyDescent="0.25">
      <c r="A364" s="1">
        <v>44250</v>
      </c>
      <c r="B364" t="s">
        <v>62</v>
      </c>
      <c r="C364">
        <v>25.73</v>
      </c>
      <c r="D364">
        <v>22.3</v>
      </c>
    </row>
    <row r="365" spans="1:6" x14ac:dyDescent="0.25">
      <c r="A365" s="1">
        <v>44252</v>
      </c>
      <c r="B365" t="s">
        <v>56</v>
      </c>
      <c r="C365">
        <f>12.3+3.7</f>
        <v>16</v>
      </c>
      <c r="D365">
        <v>15.49</v>
      </c>
    </row>
    <row r="366" spans="1:6" x14ac:dyDescent="0.25">
      <c r="A366" s="1">
        <v>44252</v>
      </c>
      <c r="B366" t="s">
        <v>58</v>
      </c>
      <c r="C366">
        <v>25.67</v>
      </c>
      <c r="D366">
        <v>26.98</v>
      </c>
    </row>
    <row r="367" spans="1:6" x14ac:dyDescent="0.25">
      <c r="A367" s="1">
        <v>44252</v>
      </c>
      <c r="B367" t="s">
        <v>60</v>
      </c>
      <c r="C367">
        <v>13.88</v>
      </c>
      <c r="D367">
        <v>16.37</v>
      </c>
    </row>
    <row r="368" spans="1:6" x14ac:dyDescent="0.25">
      <c r="A368" s="1">
        <v>44252</v>
      </c>
      <c r="B368" t="s">
        <v>62</v>
      </c>
      <c r="C368">
        <v>17.55</v>
      </c>
      <c r="D368">
        <v>29.85</v>
      </c>
      <c r="F368">
        <v>11.5</v>
      </c>
    </row>
    <row r="369" spans="1:6" x14ac:dyDescent="0.25">
      <c r="A369" s="1">
        <v>44253</v>
      </c>
      <c r="B369" t="s">
        <v>56</v>
      </c>
      <c r="C369">
        <f>15.03+1.4</f>
        <v>16.43</v>
      </c>
      <c r="D369">
        <v>15.92</v>
      </c>
    </row>
    <row r="370" spans="1:6" x14ac:dyDescent="0.25">
      <c r="A370" s="1">
        <v>44253</v>
      </c>
      <c r="B370" t="s">
        <v>58</v>
      </c>
      <c r="C370">
        <v>18.18</v>
      </c>
      <c r="D370">
        <v>25.95</v>
      </c>
    </row>
    <row r="371" spans="1:6" x14ac:dyDescent="0.25">
      <c r="A371" s="1">
        <v>44253</v>
      </c>
      <c r="B371" t="s">
        <v>60</v>
      </c>
      <c r="C371">
        <v>13.3</v>
      </c>
      <c r="D371">
        <v>14.68</v>
      </c>
    </row>
    <row r="372" spans="1:6" x14ac:dyDescent="0.25">
      <c r="A372" s="1">
        <v>44253</v>
      </c>
      <c r="B372" t="s">
        <v>62</v>
      </c>
      <c r="C372">
        <v>21.63</v>
      </c>
      <c r="D372">
        <v>18.170000000000002</v>
      </c>
      <c r="F372">
        <v>3.99</v>
      </c>
    </row>
    <row r="373" spans="1:6" x14ac:dyDescent="0.25">
      <c r="A373" s="1">
        <v>44254</v>
      </c>
      <c r="B373" t="s">
        <v>56</v>
      </c>
      <c r="C373">
        <f>12.38+0.98</f>
        <v>13.360000000000001</v>
      </c>
      <c r="D373">
        <v>15.63</v>
      </c>
    </row>
    <row r="374" spans="1:6" x14ac:dyDescent="0.25">
      <c r="A374" s="1">
        <v>44254</v>
      </c>
      <c r="B374" t="s">
        <v>58</v>
      </c>
      <c r="C374">
        <v>23.6</v>
      </c>
      <c r="D374">
        <v>17.989999999999998</v>
      </c>
    </row>
    <row r="375" spans="1:6" x14ac:dyDescent="0.25">
      <c r="A375" s="1">
        <v>44254</v>
      </c>
      <c r="B375" t="s">
        <v>60</v>
      </c>
      <c r="C375">
        <v>11.33</v>
      </c>
      <c r="D375">
        <v>22.14</v>
      </c>
    </row>
    <row r="376" spans="1:6" x14ac:dyDescent="0.25">
      <c r="A376" s="1">
        <v>44254</v>
      </c>
      <c r="B376" t="s">
        <v>62</v>
      </c>
      <c r="C376">
        <v>16.670000000000002</v>
      </c>
      <c r="D376">
        <v>26.18</v>
      </c>
      <c r="F376">
        <v>9.7799999999999994</v>
      </c>
    </row>
    <row r="377" spans="1:6" x14ac:dyDescent="0.25">
      <c r="A377" s="1">
        <v>44256</v>
      </c>
      <c r="B377" t="s">
        <v>56</v>
      </c>
      <c r="C377">
        <f>16.58+4.82</f>
        <v>21.4</v>
      </c>
      <c r="D377">
        <v>16.86</v>
      </c>
    </row>
    <row r="378" spans="1:6" x14ac:dyDescent="0.25">
      <c r="A378" s="1">
        <v>44256</v>
      </c>
      <c r="B378" t="s">
        <v>58</v>
      </c>
      <c r="C378">
        <v>23.35</v>
      </c>
      <c r="D378">
        <v>24.35</v>
      </c>
    </row>
    <row r="379" spans="1:6" x14ac:dyDescent="0.25">
      <c r="A379" s="1">
        <v>44256</v>
      </c>
      <c r="B379" t="s">
        <v>60</v>
      </c>
      <c r="C379">
        <v>21.07</v>
      </c>
      <c r="D379">
        <v>19.5</v>
      </c>
    </row>
    <row r="380" spans="1:6" x14ac:dyDescent="0.25">
      <c r="A380" s="1">
        <v>44256</v>
      </c>
      <c r="B380" t="s">
        <v>62</v>
      </c>
      <c r="C380">
        <v>19.399999999999999</v>
      </c>
      <c r="D380">
        <v>23.25</v>
      </c>
    </row>
    <row r="381" spans="1:6" x14ac:dyDescent="0.25">
      <c r="A381" s="1">
        <v>44257</v>
      </c>
      <c r="B381" t="s">
        <v>56</v>
      </c>
      <c r="C381">
        <f>15.45+1.15</f>
        <v>16.599999999999998</v>
      </c>
      <c r="D381">
        <v>18.09</v>
      </c>
    </row>
    <row r="382" spans="1:6" x14ac:dyDescent="0.25">
      <c r="A382" s="1">
        <v>44257</v>
      </c>
      <c r="B382" t="s">
        <v>58</v>
      </c>
      <c r="C382">
        <v>25.11</v>
      </c>
      <c r="D382">
        <v>23.47</v>
      </c>
    </row>
    <row r="383" spans="1:6" x14ac:dyDescent="0.25">
      <c r="A383" s="1">
        <v>44257</v>
      </c>
      <c r="B383" t="s">
        <v>60</v>
      </c>
      <c r="C383">
        <v>24.38</v>
      </c>
      <c r="D383">
        <v>27.1</v>
      </c>
    </row>
    <row r="384" spans="1:6" x14ac:dyDescent="0.25">
      <c r="A384" s="1">
        <v>44257</v>
      </c>
      <c r="B384" t="s">
        <v>62</v>
      </c>
      <c r="C384">
        <v>23.13</v>
      </c>
      <c r="D384">
        <v>23.37</v>
      </c>
    </row>
    <row r="385" spans="1:6" x14ac:dyDescent="0.25">
      <c r="A385" s="1">
        <v>44259</v>
      </c>
      <c r="B385" t="s">
        <v>56</v>
      </c>
      <c r="C385">
        <f>13.2+3.75</f>
        <v>16.95</v>
      </c>
      <c r="D385">
        <v>16.23</v>
      </c>
    </row>
    <row r="386" spans="1:6" x14ac:dyDescent="0.25">
      <c r="A386" s="1">
        <v>44259</v>
      </c>
      <c r="B386" t="s">
        <v>58</v>
      </c>
      <c r="C386">
        <v>27.75</v>
      </c>
      <c r="D386">
        <v>30.17</v>
      </c>
    </row>
    <row r="387" spans="1:6" x14ac:dyDescent="0.25">
      <c r="A387" s="1">
        <v>44259</v>
      </c>
      <c r="B387" t="s">
        <v>60</v>
      </c>
      <c r="C387">
        <v>17.149999999999999</v>
      </c>
      <c r="D387">
        <v>24.23</v>
      </c>
    </row>
    <row r="388" spans="1:6" x14ac:dyDescent="0.25">
      <c r="A388" s="1">
        <v>44259</v>
      </c>
      <c r="B388" t="s">
        <v>62</v>
      </c>
      <c r="C388">
        <v>17.8</v>
      </c>
      <c r="D388">
        <v>17.73</v>
      </c>
    </row>
    <row r="389" spans="1:6" x14ac:dyDescent="0.25">
      <c r="A389" s="1">
        <v>44260</v>
      </c>
      <c r="B389" t="s">
        <v>56</v>
      </c>
      <c r="C389">
        <f>13.08+1.5</f>
        <v>14.58</v>
      </c>
      <c r="D389">
        <v>17.47</v>
      </c>
    </row>
    <row r="390" spans="1:6" x14ac:dyDescent="0.25">
      <c r="A390" s="1">
        <v>44260</v>
      </c>
      <c r="B390" t="s">
        <v>58</v>
      </c>
      <c r="C390">
        <v>18.72</v>
      </c>
      <c r="D390">
        <v>16.670000000000002</v>
      </c>
    </row>
    <row r="391" spans="1:6" x14ac:dyDescent="0.25">
      <c r="A391" s="1">
        <v>44260</v>
      </c>
      <c r="B391" t="s">
        <v>60</v>
      </c>
      <c r="C391">
        <v>20.37</v>
      </c>
      <c r="D391">
        <v>18.850000000000001</v>
      </c>
    </row>
    <row r="392" spans="1:6" x14ac:dyDescent="0.25">
      <c r="A392" s="1">
        <v>44260</v>
      </c>
      <c r="B392" t="s">
        <v>62</v>
      </c>
      <c r="C392">
        <v>23.45</v>
      </c>
      <c r="D392">
        <v>22.2</v>
      </c>
      <c r="F392">
        <v>8.65</v>
      </c>
    </row>
    <row r="393" spans="1:6" x14ac:dyDescent="0.25">
      <c r="A393" s="1">
        <v>44261</v>
      </c>
      <c r="B393" t="s">
        <v>56</v>
      </c>
      <c r="C393">
        <f>13.63+0.98</f>
        <v>14.610000000000001</v>
      </c>
      <c r="D393">
        <v>17.920000000000002</v>
      </c>
    </row>
    <row r="394" spans="1:6" x14ac:dyDescent="0.25">
      <c r="A394" s="1">
        <v>44261</v>
      </c>
      <c r="B394" t="s">
        <v>58</v>
      </c>
      <c r="C394">
        <v>25.23</v>
      </c>
      <c r="D394">
        <v>25.32</v>
      </c>
    </row>
    <row r="395" spans="1:6" x14ac:dyDescent="0.25">
      <c r="A395" s="1">
        <v>44261</v>
      </c>
      <c r="B395" t="s">
        <v>60</v>
      </c>
      <c r="C395">
        <v>11.65</v>
      </c>
      <c r="D395">
        <v>30.41</v>
      </c>
    </row>
    <row r="396" spans="1:6" x14ac:dyDescent="0.25">
      <c r="A396" s="1">
        <v>44261</v>
      </c>
      <c r="B396" t="s">
        <v>62</v>
      </c>
      <c r="C396">
        <v>16.97</v>
      </c>
      <c r="D396">
        <v>19.809999999999999</v>
      </c>
    </row>
    <row r="397" spans="1:6" x14ac:dyDescent="0.25">
      <c r="A397" s="1">
        <v>44263</v>
      </c>
      <c r="B397" t="s">
        <v>56</v>
      </c>
      <c r="C397">
        <f>15.37+3.24</f>
        <v>18.61</v>
      </c>
      <c r="D397">
        <v>17</v>
      </c>
    </row>
    <row r="398" spans="1:6" x14ac:dyDescent="0.25">
      <c r="A398" s="1">
        <v>44263</v>
      </c>
      <c r="B398" t="s">
        <v>58</v>
      </c>
      <c r="C398">
        <v>25.08</v>
      </c>
      <c r="D398">
        <v>27.57</v>
      </c>
    </row>
    <row r="399" spans="1:6" x14ac:dyDescent="0.25">
      <c r="A399" s="1">
        <v>44263</v>
      </c>
      <c r="B399" t="s">
        <v>60</v>
      </c>
      <c r="C399">
        <v>20.98</v>
      </c>
      <c r="D399">
        <v>18.45</v>
      </c>
    </row>
    <row r="400" spans="1:6" x14ac:dyDescent="0.25">
      <c r="A400" s="1">
        <v>44263</v>
      </c>
      <c r="B400" t="s">
        <v>62</v>
      </c>
      <c r="C400">
        <v>23.13</v>
      </c>
      <c r="D400">
        <v>19.850000000000001</v>
      </c>
      <c r="F400">
        <v>3.37</v>
      </c>
    </row>
    <row r="401" spans="1:6" x14ac:dyDescent="0.25">
      <c r="A401" s="1">
        <v>44264</v>
      </c>
      <c r="B401" t="s">
        <v>56</v>
      </c>
      <c r="C401">
        <f>17.23</f>
        <v>17.23</v>
      </c>
      <c r="D401">
        <v>18.829999999999998</v>
      </c>
    </row>
    <row r="402" spans="1:6" x14ac:dyDescent="0.25">
      <c r="A402" s="1">
        <v>44264</v>
      </c>
      <c r="B402" t="s">
        <v>58</v>
      </c>
      <c r="C402">
        <v>27.7</v>
      </c>
      <c r="D402">
        <v>27.35</v>
      </c>
    </row>
    <row r="403" spans="1:6" x14ac:dyDescent="0.25">
      <c r="A403" s="1">
        <v>44264</v>
      </c>
      <c r="B403" t="s">
        <v>60</v>
      </c>
      <c r="C403">
        <v>12.68</v>
      </c>
      <c r="D403">
        <v>24.8</v>
      </c>
    </row>
    <row r="404" spans="1:6" x14ac:dyDescent="0.25">
      <c r="A404" s="1">
        <v>44264</v>
      </c>
      <c r="B404" t="s">
        <v>62</v>
      </c>
      <c r="C404">
        <v>25.53</v>
      </c>
      <c r="D404">
        <v>24.68</v>
      </c>
    </row>
    <row r="405" spans="1:6" x14ac:dyDescent="0.25">
      <c r="A405" s="1">
        <v>44266</v>
      </c>
      <c r="B405" t="s">
        <v>56</v>
      </c>
      <c r="C405">
        <f>12.75+4.17</f>
        <v>16.920000000000002</v>
      </c>
      <c r="D405">
        <v>17.260000000000002</v>
      </c>
    </row>
    <row r="406" spans="1:6" x14ac:dyDescent="0.25">
      <c r="A406" s="1">
        <v>44266</v>
      </c>
      <c r="B406" t="s">
        <v>58</v>
      </c>
      <c r="C406">
        <v>28.1</v>
      </c>
      <c r="D406">
        <v>29.55</v>
      </c>
    </row>
    <row r="407" spans="1:6" x14ac:dyDescent="0.25">
      <c r="A407" s="1">
        <v>44266</v>
      </c>
      <c r="B407" t="s">
        <v>60</v>
      </c>
      <c r="C407">
        <v>20.73</v>
      </c>
      <c r="D407">
        <v>15.8</v>
      </c>
    </row>
    <row r="408" spans="1:6" x14ac:dyDescent="0.25">
      <c r="A408" s="1">
        <v>44266</v>
      </c>
      <c r="B408" t="s">
        <v>62</v>
      </c>
      <c r="C408">
        <v>16.600000000000001</v>
      </c>
      <c r="D408">
        <v>18.46</v>
      </c>
      <c r="F408">
        <v>2</v>
      </c>
    </row>
    <row r="409" spans="1:6" x14ac:dyDescent="0.25">
      <c r="A409" s="1">
        <v>44267</v>
      </c>
      <c r="B409" t="s">
        <v>56</v>
      </c>
      <c r="C409">
        <f>15.72+1.43</f>
        <v>17.150000000000002</v>
      </c>
      <c r="D409">
        <v>17.25</v>
      </c>
    </row>
    <row r="410" spans="1:6" x14ac:dyDescent="0.25">
      <c r="A410" s="1">
        <v>44267</v>
      </c>
      <c r="B410" t="s">
        <v>58</v>
      </c>
      <c r="C410">
        <v>21.78</v>
      </c>
      <c r="D410">
        <v>19.66</v>
      </c>
    </row>
    <row r="411" spans="1:6" x14ac:dyDescent="0.25">
      <c r="A411" s="1">
        <v>44267</v>
      </c>
      <c r="B411" t="s">
        <v>60</v>
      </c>
      <c r="C411">
        <v>12.62</v>
      </c>
      <c r="D411">
        <v>17.72</v>
      </c>
    </row>
    <row r="412" spans="1:6" x14ac:dyDescent="0.25">
      <c r="A412" s="1">
        <v>44267</v>
      </c>
      <c r="B412" t="s">
        <v>62</v>
      </c>
      <c r="C412">
        <v>22.02</v>
      </c>
      <c r="D412">
        <v>20.04</v>
      </c>
      <c r="F412">
        <v>5.3</v>
      </c>
    </row>
    <row r="413" spans="1:6" x14ac:dyDescent="0.25">
      <c r="A413" s="1">
        <v>44268</v>
      </c>
      <c r="B413" t="s">
        <v>56</v>
      </c>
      <c r="C413">
        <f>13.37+1.02</f>
        <v>14.389999999999999</v>
      </c>
      <c r="D413">
        <v>15.89</v>
      </c>
    </row>
    <row r="414" spans="1:6" x14ac:dyDescent="0.25">
      <c r="A414" s="1">
        <v>44268</v>
      </c>
      <c r="B414" t="s">
        <v>58</v>
      </c>
      <c r="C414">
        <v>27.88</v>
      </c>
      <c r="D414">
        <v>22.16</v>
      </c>
    </row>
    <row r="415" spans="1:6" x14ac:dyDescent="0.25">
      <c r="A415" s="1">
        <v>44268</v>
      </c>
      <c r="B415" t="s">
        <v>60</v>
      </c>
      <c r="C415">
        <v>10.63</v>
      </c>
      <c r="D415">
        <v>14.57</v>
      </c>
    </row>
    <row r="416" spans="1:6" x14ac:dyDescent="0.25">
      <c r="A416" s="1">
        <v>44268</v>
      </c>
      <c r="B416" t="s">
        <v>62</v>
      </c>
      <c r="C416">
        <v>16.22</v>
      </c>
      <c r="D416">
        <v>27.18</v>
      </c>
      <c r="F416">
        <f>5.87+5.17</f>
        <v>11.04</v>
      </c>
    </row>
    <row r="417" spans="1:6" x14ac:dyDescent="0.25">
      <c r="A417" s="1">
        <v>44270</v>
      </c>
      <c r="B417" t="s">
        <v>56</v>
      </c>
      <c r="C417">
        <f>18.18+3.52</f>
        <v>21.7</v>
      </c>
      <c r="D417">
        <v>17.14</v>
      </c>
    </row>
    <row r="418" spans="1:6" x14ac:dyDescent="0.25">
      <c r="A418" s="1">
        <v>44270</v>
      </c>
      <c r="B418" t="s">
        <v>58</v>
      </c>
      <c r="C418">
        <v>24.8</v>
      </c>
      <c r="D418">
        <v>28.9</v>
      </c>
    </row>
    <row r="419" spans="1:6" x14ac:dyDescent="0.25">
      <c r="A419" s="1">
        <v>44270</v>
      </c>
      <c r="B419" t="s">
        <v>60</v>
      </c>
      <c r="C419">
        <v>20.5</v>
      </c>
      <c r="D419">
        <v>17.45</v>
      </c>
    </row>
    <row r="420" spans="1:6" x14ac:dyDescent="0.25">
      <c r="A420" s="1">
        <v>44270</v>
      </c>
      <c r="B420" t="s">
        <v>62</v>
      </c>
      <c r="C420">
        <v>22.57</v>
      </c>
      <c r="D420">
        <v>26.3</v>
      </c>
      <c r="F420">
        <v>2.6</v>
      </c>
    </row>
    <row r="421" spans="1:6" x14ac:dyDescent="0.25">
      <c r="A421" s="1">
        <v>44271</v>
      </c>
      <c r="B421" t="s">
        <v>56</v>
      </c>
      <c r="C421">
        <f>16.7+1.12</f>
        <v>17.82</v>
      </c>
      <c r="D421">
        <v>16.46</v>
      </c>
    </row>
    <row r="422" spans="1:6" x14ac:dyDescent="0.25">
      <c r="A422" s="1">
        <v>44271</v>
      </c>
      <c r="B422" t="s">
        <v>58</v>
      </c>
      <c r="C422">
        <v>32.25</v>
      </c>
      <c r="D422">
        <v>29.06</v>
      </c>
    </row>
    <row r="423" spans="1:6" x14ac:dyDescent="0.25">
      <c r="A423" s="1">
        <v>44271</v>
      </c>
      <c r="B423" t="s">
        <v>60</v>
      </c>
      <c r="C423">
        <v>24.23</v>
      </c>
      <c r="D423">
        <v>24.39</v>
      </c>
    </row>
    <row r="424" spans="1:6" x14ac:dyDescent="0.25">
      <c r="A424" s="1">
        <v>44271</v>
      </c>
      <c r="B424" t="s">
        <v>62</v>
      </c>
      <c r="C424">
        <v>22.98</v>
      </c>
      <c r="D424">
        <v>24.71</v>
      </c>
    </row>
    <row r="425" spans="1:6" x14ac:dyDescent="0.25">
      <c r="A425" s="1">
        <v>44273</v>
      </c>
      <c r="B425" t="s">
        <v>56</v>
      </c>
      <c r="C425">
        <v>17.05</v>
      </c>
      <c r="D425">
        <v>17.170000000000002</v>
      </c>
    </row>
    <row r="426" spans="1:6" x14ac:dyDescent="0.25">
      <c r="A426" s="1">
        <v>44273</v>
      </c>
      <c r="B426" t="s">
        <v>58</v>
      </c>
      <c r="C426">
        <v>28.2</v>
      </c>
      <c r="D426">
        <v>31.37</v>
      </c>
    </row>
    <row r="427" spans="1:6" x14ac:dyDescent="0.25">
      <c r="A427" s="1">
        <v>44273</v>
      </c>
      <c r="B427" t="s">
        <v>60</v>
      </c>
      <c r="C427">
        <v>13.5</v>
      </c>
      <c r="D427">
        <v>16.61</v>
      </c>
    </row>
    <row r="428" spans="1:6" x14ac:dyDescent="0.25">
      <c r="A428" s="1">
        <v>44273</v>
      </c>
      <c r="B428" t="s">
        <v>62</v>
      </c>
      <c r="C428">
        <v>16.05</v>
      </c>
      <c r="D428">
        <v>22.27</v>
      </c>
      <c r="F428">
        <v>6.49</v>
      </c>
    </row>
    <row r="429" spans="1:6" x14ac:dyDescent="0.25">
      <c r="A429" s="1">
        <v>44274</v>
      </c>
      <c r="B429" t="s">
        <v>56</v>
      </c>
      <c r="C429">
        <v>14.48</v>
      </c>
      <c r="D429">
        <v>17.14</v>
      </c>
    </row>
    <row r="430" spans="1:6" x14ac:dyDescent="0.25">
      <c r="A430" s="1">
        <v>44274</v>
      </c>
      <c r="B430" t="s">
        <v>58</v>
      </c>
      <c r="C430">
        <v>23.51</v>
      </c>
      <c r="D430">
        <v>19.98</v>
      </c>
    </row>
    <row r="431" spans="1:6" x14ac:dyDescent="0.25">
      <c r="A431" s="1">
        <v>44274</v>
      </c>
      <c r="B431" t="s">
        <v>60</v>
      </c>
      <c r="C431">
        <v>13.37</v>
      </c>
      <c r="D431">
        <v>13.27</v>
      </c>
    </row>
    <row r="432" spans="1:6" x14ac:dyDescent="0.25">
      <c r="A432" s="1">
        <v>44274</v>
      </c>
      <c r="B432" t="s">
        <v>62</v>
      </c>
      <c r="C432">
        <v>26.95</v>
      </c>
      <c r="D432">
        <v>24.27</v>
      </c>
    </row>
    <row r="433" spans="1:6" x14ac:dyDescent="0.25">
      <c r="A433" s="1">
        <v>44275</v>
      </c>
      <c r="B433" t="s">
        <v>56</v>
      </c>
      <c r="C433">
        <f>13.57+2.55</f>
        <v>16.12</v>
      </c>
      <c r="D433">
        <v>15.96</v>
      </c>
    </row>
    <row r="434" spans="1:6" x14ac:dyDescent="0.25">
      <c r="A434" s="1">
        <v>44275</v>
      </c>
      <c r="B434" t="s">
        <v>58</v>
      </c>
      <c r="C434">
        <v>26.86</v>
      </c>
      <c r="D434">
        <v>28.63</v>
      </c>
    </row>
    <row r="435" spans="1:6" x14ac:dyDescent="0.25">
      <c r="A435" s="1">
        <v>44275</v>
      </c>
      <c r="B435" t="s">
        <v>60</v>
      </c>
      <c r="C435">
        <v>10.57</v>
      </c>
      <c r="D435">
        <v>22.41</v>
      </c>
    </row>
    <row r="436" spans="1:6" x14ac:dyDescent="0.25">
      <c r="A436" s="1">
        <v>44275</v>
      </c>
      <c r="B436" t="s">
        <v>62</v>
      </c>
      <c r="C436">
        <v>15.12</v>
      </c>
      <c r="D436">
        <v>16.010000000000002</v>
      </c>
      <c r="F436">
        <v>1.2</v>
      </c>
    </row>
    <row r="437" spans="1:6" x14ac:dyDescent="0.25">
      <c r="A437" s="1">
        <v>44277</v>
      </c>
      <c r="B437" t="s">
        <v>56</v>
      </c>
      <c r="C437">
        <v>18.899999999999999</v>
      </c>
      <c r="D437">
        <v>17.2</v>
      </c>
    </row>
    <row r="438" spans="1:6" x14ac:dyDescent="0.25">
      <c r="A438" s="1">
        <v>44277</v>
      </c>
      <c r="B438" t="s">
        <v>58</v>
      </c>
      <c r="C438">
        <v>25.17</v>
      </c>
      <c r="D438">
        <v>28.02</v>
      </c>
    </row>
    <row r="439" spans="1:6" ht="15.75" thickBot="1" x14ac:dyDescent="0.3">
      <c r="A439" s="21">
        <v>44277</v>
      </c>
      <c r="B439" s="22" t="s">
        <v>60</v>
      </c>
      <c r="C439" s="22">
        <v>20.25</v>
      </c>
      <c r="D439" s="22">
        <v>19.98</v>
      </c>
      <c r="E439" s="22"/>
      <c r="F439" s="22"/>
    </row>
    <row r="440" spans="1:6" x14ac:dyDescent="0.25">
      <c r="A440" s="1">
        <v>44278</v>
      </c>
      <c r="B440" t="s">
        <v>56</v>
      </c>
      <c r="C440">
        <f>15.13+1.18</f>
        <v>16.310000000000002</v>
      </c>
      <c r="D440">
        <v>17.239999999999998</v>
      </c>
    </row>
    <row r="441" spans="1:6" x14ac:dyDescent="0.25">
      <c r="A441" s="1">
        <v>44278</v>
      </c>
      <c r="B441" t="s">
        <v>58</v>
      </c>
      <c r="C441">
        <v>27.63</v>
      </c>
      <c r="D441">
        <v>27.03</v>
      </c>
    </row>
    <row r="442" spans="1:6" x14ac:dyDescent="0.25">
      <c r="A442" s="1">
        <v>44278</v>
      </c>
      <c r="B442" t="s">
        <v>60</v>
      </c>
      <c r="C442">
        <v>18.43</v>
      </c>
      <c r="D442">
        <v>24.18</v>
      </c>
    </row>
    <row r="443" spans="1:6" ht="15.75" thickBot="1" x14ac:dyDescent="0.3">
      <c r="A443" s="21">
        <v>44278</v>
      </c>
      <c r="B443" s="22" t="s">
        <v>62</v>
      </c>
      <c r="C443" s="22">
        <v>20</v>
      </c>
      <c r="D443" s="22">
        <v>19.350000000000001</v>
      </c>
      <c r="E443" s="22"/>
      <c r="F443" s="22"/>
    </row>
    <row r="444" spans="1:6" x14ac:dyDescent="0.25">
      <c r="A444" s="1">
        <v>44280</v>
      </c>
      <c r="B444" t="s">
        <v>56</v>
      </c>
      <c r="C444">
        <f>14.1+3.9</f>
        <v>18</v>
      </c>
      <c r="D444">
        <v>16.14</v>
      </c>
    </row>
    <row r="445" spans="1:6" x14ac:dyDescent="0.25">
      <c r="A445" s="1">
        <v>44280</v>
      </c>
      <c r="B445" t="s">
        <v>58</v>
      </c>
      <c r="C445">
        <v>29.3</v>
      </c>
      <c r="D445">
        <v>30.11</v>
      </c>
    </row>
    <row r="446" spans="1:6" x14ac:dyDescent="0.25">
      <c r="A446" s="1">
        <v>44280</v>
      </c>
      <c r="B446" t="s">
        <v>60</v>
      </c>
      <c r="C446">
        <v>13.15</v>
      </c>
      <c r="D446">
        <v>13</v>
      </c>
    </row>
    <row r="447" spans="1:6" ht="15.75" thickBot="1" x14ac:dyDescent="0.3">
      <c r="A447" s="21">
        <v>44280</v>
      </c>
      <c r="B447" s="22" t="s">
        <v>62</v>
      </c>
      <c r="C447" s="22">
        <v>16.2</v>
      </c>
      <c r="D447" s="22">
        <v>16.54</v>
      </c>
      <c r="E447" s="22"/>
      <c r="F447" s="22"/>
    </row>
    <row r="448" spans="1:6" x14ac:dyDescent="0.25">
      <c r="A448" s="1">
        <v>44281</v>
      </c>
      <c r="B448" t="s">
        <v>56</v>
      </c>
      <c r="C448">
        <f>12.95+1.57</f>
        <v>14.52</v>
      </c>
      <c r="D448">
        <v>16</v>
      </c>
    </row>
    <row r="449" spans="1:6" x14ac:dyDescent="0.25">
      <c r="A449" s="1">
        <v>44281</v>
      </c>
      <c r="B449" t="s">
        <v>58</v>
      </c>
      <c r="C449">
        <v>20.47</v>
      </c>
      <c r="D449">
        <v>18.22</v>
      </c>
    </row>
    <row r="450" spans="1:6" x14ac:dyDescent="0.25">
      <c r="A450" s="1">
        <v>44281</v>
      </c>
      <c r="B450" t="s">
        <v>60</v>
      </c>
      <c r="C450">
        <v>12.98</v>
      </c>
      <c r="D450">
        <v>17.649999999999999</v>
      </c>
    </row>
    <row r="451" spans="1:6" ht="15.75" thickBot="1" x14ac:dyDescent="0.3">
      <c r="A451" s="21">
        <v>44281</v>
      </c>
      <c r="B451" s="22" t="s">
        <v>62</v>
      </c>
      <c r="C451" s="22">
        <v>14.98</v>
      </c>
      <c r="D451" s="22">
        <v>28</v>
      </c>
      <c r="E451" s="22"/>
      <c r="F451" s="22"/>
    </row>
    <row r="452" spans="1:6" x14ac:dyDescent="0.25">
      <c r="A452" s="1">
        <v>44282</v>
      </c>
      <c r="B452" t="s">
        <v>56</v>
      </c>
      <c r="C452">
        <f>14.22+1.05</f>
        <v>15.270000000000001</v>
      </c>
      <c r="D452">
        <v>15.83</v>
      </c>
    </row>
    <row r="453" spans="1:6" x14ac:dyDescent="0.25">
      <c r="A453" s="1">
        <v>44282</v>
      </c>
      <c r="B453" t="s">
        <v>58</v>
      </c>
      <c r="C453">
        <v>29.13</v>
      </c>
      <c r="D453">
        <v>33.450000000000003</v>
      </c>
    </row>
    <row r="454" spans="1:6" x14ac:dyDescent="0.25">
      <c r="A454" s="1">
        <v>44282</v>
      </c>
      <c r="B454" t="s">
        <v>60</v>
      </c>
      <c r="C454">
        <v>10.37</v>
      </c>
      <c r="D454">
        <v>26.3</v>
      </c>
    </row>
    <row r="455" spans="1:6" ht="15.75" thickBot="1" x14ac:dyDescent="0.3">
      <c r="A455" s="21">
        <v>44282</v>
      </c>
      <c r="B455" s="22" t="s">
        <v>62</v>
      </c>
      <c r="C455" s="22">
        <v>14.92</v>
      </c>
      <c r="D455" s="22">
        <v>13.94</v>
      </c>
      <c r="E455" s="22"/>
      <c r="F455" s="22"/>
    </row>
    <row r="456" spans="1:6" x14ac:dyDescent="0.25">
      <c r="A456" s="1">
        <v>44284</v>
      </c>
      <c r="B456" t="s">
        <v>56</v>
      </c>
      <c r="C456">
        <f>16.48+3.6</f>
        <v>20.080000000000002</v>
      </c>
      <c r="D456">
        <v>18.010000000000002</v>
      </c>
    </row>
    <row r="457" spans="1:6" x14ac:dyDescent="0.25">
      <c r="A457" s="1">
        <v>44284</v>
      </c>
      <c r="B457" t="s">
        <v>58</v>
      </c>
      <c r="C457">
        <v>24.78</v>
      </c>
      <c r="D457">
        <v>26.03</v>
      </c>
    </row>
    <row r="458" spans="1:6" x14ac:dyDescent="0.25">
      <c r="A458" s="1">
        <v>44284</v>
      </c>
      <c r="B458" t="s">
        <v>60</v>
      </c>
      <c r="C458">
        <v>22.73</v>
      </c>
      <c r="D458">
        <v>18.579999999999998</v>
      </c>
    </row>
    <row r="459" spans="1:6" ht="15.75" thickBot="1" x14ac:dyDescent="0.3">
      <c r="A459" s="21">
        <v>44284</v>
      </c>
      <c r="B459" s="22" t="s">
        <v>62</v>
      </c>
      <c r="C459" s="22">
        <v>18.93</v>
      </c>
      <c r="D459" s="22">
        <v>18.100000000000001</v>
      </c>
      <c r="E459" s="22"/>
      <c r="F459" s="22"/>
    </row>
    <row r="460" spans="1:6" x14ac:dyDescent="0.25">
      <c r="A460" s="1">
        <v>44285</v>
      </c>
      <c r="B460" t="s">
        <v>56</v>
      </c>
      <c r="C460">
        <f>19.18+1.32</f>
        <v>20.5</v>
      </c>
      <c r="D460">
        <v>17.3</v>
      </c>
    </row>
    <row r="461" spans="1:6" x14ac:dyDescent="0.25">
      <c r="A461" s="1">
        <v>44285</v>
      </c>
      <c r="B461" t="s">
        <v>58</v>
      </c>
      <c r="C461">
        <v>28.75</v>
      </c>
      <c r="D461">
        <v>35.18</v>
      </c>
    </row>
    <row r="462" spans="1:6" x14ac:dyDescent="0.25">
      <c r="A462" s="1">
        <v>44285</v>
      </c>
      <c r="B462" t="s">
        <v>60</v>
      </c>
      <c r="C462">
        <v>23.97</v>
      </c>
      <c r="D462">
        <v>27.59</v>
      </c>
    </row>
    <row r="463" spans="1:6" ht="15.75" thickBot="1" x14ac:dyDescent="0.3">
      <c r="A463" s="21">
        <v>44285</v>
      </c>
      <c r="B463" s="22" t="s">
        <v>62</v>
      </c>
      <c r="C463" s="22">
        <v>25.32</v>
      </c>
      <c r="D463" s="22">
        <v>26.84</v>
      </c>
      <c r="E463" s="22"/>
      <c r="F463" s="22"/>
    </row>
    <row r="464" spans="1:6" x14ac:dyDescent="0.25">
      <c r="A464" s="1">
        <v>44287</v>
      </c>
      <c r="B464" t="s">
        <v>56</v>
      </c>
      <c r="C464">
        <f>14.2+3.8</f>
        <v>18</v>
      </c>
      <c r="D464">
        <v>17.75</v>
      </c>
    </row>
    <row r="465" spans="1:6" x14ac:dyDescent="0.25">
      <c r="A465" s="1">
        <v>44287</v>
      </c>
      <c r="B465" t="s">
        <v>58</v>
      </c>
      <c r="C465">
        <v>29</v>
      </c>
      <c r="D465">
        <v>30.48</v>
      </c>
    </row>
    <row r="466" spans="1:6" x14ac:dyDescent="0.25">
      <c r="A466" s="1">
        <v>44287</v>
      </c>
      <c r="B466" t="s">
        <v>60</v>
      </c>
      <c r="C466">
        <v>13.7</v>
      </c>
      <c r="D466">
        <v>15.86</v>
      </c>
    </row>
    <row r="467" spans="1:6" ht="15.75" thickBot="1" x14ac:dyDescent="0.3">
      <c r="A467" s="23">
        <v>44287</v>
      </c>
      <c r="B467" s="24" t="s">
        <v>62</v>
      </c>
      <c r="C467" s="24">
        <v>17.07</v>
      </c>
      <c r="D467" s="24">
        <v>29.19</v>
      </c>
      <c r="E467" s="24"/>
      <c r="F467" s="24">
        <v>10.8</v>
      </c>
    </row>
    <row r="468" spans="1:6" x14ac:dyDescent="0.25">
      <c r="A468" s="1">
        <v>44288</v>
      </c>
      <c r="B468" t="s">
        <v>56</v>
      </c>
      <c r="C468">
        <f>13.47+1.7</f>
        <v>15.17</v>
      </c>
      <c r="D468">
        <v>16.510000000000002</v>
      </c>
    </row>
    <row r="469" spans="1:6" x14ac:dyDescent="0.25">
      <c r="A469" s="1">
        <v>44288</v>
      </c>
      <c r="B469" t="s">
        <v>58</v>
      </c>
      <c r="C469">
        <v>21.22</v>
      </c>
      <c r="D469">
        <v>20.100000000000001</v>
      </c>
    </row>
    <row r="470" spans="1:6" x14ac:dyDescent="0.25">
      <c r="A470" s="1">
        <v>44288</v>
      </c>
      <c r="B470" t="s">
        <v>60</v>
      </c>
      <c r="C470">
        <v>13.1</v>
      </c>
      <c r="D470">
        <v>14.5</v>
      </c>
    </row>
    <row r="471" spans="1:6" ht="15.75" thickBot="1" x14ac:dyDescent="0.3">
      <c r="A471" s="21">
        <v>44288</v>
      </c>
      <c r="B471" s="22" t="s">
        <v>62</v>
      </c>
      <c r="C471" s="22">
        <v>21.67</v>
      </c>
      <c r="D471" s="22">
        <v>19.170000000000002</v>
      </c>
      <c r="E471" s="22"/>
      <c r="F471" s="22">
        <v>4.47</v>
      </c>
    </row>
    <row r="472" spans="1:6" x14ac:dyDescent="0.25">
      <c r="A472" s="1">
        <v>44289</v>
      </c>
      <c r="B472" t="s">
        <v>56</v>
      </c>
      <c r="C472">
        <f>13.42+1.02</f>
        <v>14.44</v>
      </c>
      <c r="D472">
        <v>17.23</v>
      </c>
    </row>
    <row r="473" spans="1:6" x14ac:dyDescent="0.25">
      <c r="A473" s="1">
        <v>44289</v>
      </c>
      <c r="B473" t="s">
        <v>58</v>
      </c>
      <c r="C473">
        <v>27.82</v>
      </c>
      <c r="D473">
        <v>30.26</v>
      </c>
    </row>
    <row r="474" spans="1:6" x14ac:dyDescent="0.25">
      <c r="A474" s="1">
        <v>44289</v>
      </c>
      <c r="B474" t="s">
        <v>60</v>
      </c>
      <c r="C474">
        <v>9.7799999999999994</v>
      </c>
      <c r="D474">
        <v>22.01</v>
      </c>
    </row>
    <row r="475" spans="1:6" ht="15.75" thickBot="1" x14ac:dyDescent="0.3">
      <c r="A475" s="21">
        <v>44289</v>
      </c>
      <c r="B475" s="22" t="s">
        <v>62</v>
      </c>
      <c r="C475" s="22">
        <v>15.97</v>
      </c>
      <c r="D475" s="22">
        <v>15.72</v>
      </c>
      <c r="E475" s="22"/>
      <c r="F475" s="22">
        <v>0.99</v>
      </c>
    </row>
    <row r="476" spans="1:6" x14ac:dyDescent="0.25">
      <c r="A476" s="1">
        <v>44291</v>
      </c>
      <c r="B476" t="s">
        <v>56</v>
      </c>
      <c r="C476">
        <v>21.66</v>
      </c>
      <c r="D476">
        <v>17.28</v>
      </c>
    </row>
    <row r="477" spans="1:6" x14ac:dyDescent="0.25">
      <c r="A477" s="1">
        <v>44291</v>
      </c>
      <c r="B477" t="s">
        <v>58</v>
      </c>
      <c r="C477">
        <v>24.88</v>
      </c>
      <c r="D477">
        <v>25.73</v>
      </c>
    </row>
    <row r="478" spans="1:6" x14ac:dyDescent="0.25">
      <c r="A478" s="1">
        <v>44291</v>
      </c>
      <c r="B478" t="s">
        <v>60</v>
      </c>
      <c r="C478">
        <v>21</v>
      </c>
      <c r="D478">
        <v>18.5</v>
      </c>
    </row>
    <row r="479" spans="1:6" ht="15.75" thickBot="1" x14ac:dyDescent="0.3">
      <c r="A479" s="21">
        <v>44291</v>
      </c>
      <c r="B479" s="22" t="s">
        <v>62</v>
      </c>
      <c r="C479" s="22">
        <v>22.48</v>
      </c>
      <c r="D479" s="22">
        <v>24.07</v>
      </c>
      <c r="E479" s="22"/>
      <c r="F479" s="22"/>
    </row>
    <row r="480" spans="1:6" x14ac:dyDescent="0.25">
      <c r="A480" s="1">
        <v>44292</v>
      </c>
      <c r="B480" t="s">
        <v>56</v>
      </c>
      <c r="C480">
        <v>16.82</v>
      </c>
      <c r="D480">
        <v>25.3</v>
      </c>
    </row>
    <row r="481" spans="1:6" x14ac:dyDescent="0.25">
      <c r="A481" s="1">
        <v>44292</v>
      </c>
      <c r="B481" t="s">
        <v>58</v>
      </c>
      <c r="C481">
        <v>29.62</v>
      </c>
      <c r="D481">
        <v>36.770000000000003</v>
      </c>
    </row>
    <row r="482" spans="1:6" x14ac:dyDescent="0.25">
      <c r="A482" s="1">
        <v>44292</v>
      </c>
      <c r="B482" t="s">
        <v>60</v>
      </c>
      <c r="C482">
        <v>12.83</v>
      </c>
      <c r="D482">
        <v>26.12</v>
      </c>
    </row>
    <row r="483" spans="1:6" ht="15.75" thickBot="1" x14ac:dyDescent="0.3">
      <c r="A483" s="21">
        <v>44292</v>
      </c>
      <c r="B483" s="22" t="s">
        <v>62</v>
      </c>
      <c r="C483" s="22">
        <v>19.88</v>
      </c>
      <c r="D483" s="22">
        <v>19.149999999999999</v>
      </c>
      <c r="E483" s="22"/>
      <c r="F483" s="22"/>
    </row>
    <row r="484" spans="1:6" x14ac:dyDescent="0.25">
      <c r="A484" s="1">
        <v>44294</v>
      </c>
      <c r="B484" t="s">
        <v>56</v>
      </c>
      <c r="C484">
        <f>15.75+3.6</f>
        <v>19.350000000000001</v>
      </c>
      <c r="D484">
        <v>14.65</v>
      </c>
    </row>
    <row r="485" spans="1:6" x14ac:dyDescent="0.25">
      <c r="A485" s="1">
        <v>44294</v>
      </c>
      <c r="B485" t="s">
        <v>58</v>
      </c>
      <c r="C485">
        <v>27.9</v>
      </c>
      <c r="D485">
        <v>26.44</v>
      </c>
    </row>
    <row r="486" spans="1:6" x14ac:dyDescent="0.25">
      <c r="A486" s="1">
        <v>44294</v>
      </c>
      <c r="B486" t="s">
        <v>60</v>
      </c>
      <c r="C486">
        <v>20.100000000000001</v>
      </c>
      <c r="D486">
        <v>15.22</v>
      </c>
    </row>
    <row r="487" spans="1:6" ht="15.75" thickBot="1" x14ac:dyDescent="0.3">
      <c r="A487" s="21">
        <v>44294</v>
      </c>
      <c r="B487" s="22" t="s">
        <v>62</v>
      </c>
      <c r="C487" s="22">
        <v>15.8</v>
      </c>
      <c r="D487" s="22">
        <v>16.8</v>
      </c>
      <c r="E487" s="22"/>
      <c r="F487" s="22"/>
    </row>
    <row r="488" spans="1:6" x14ac:dyDescent="0.25">
      <c r="A488" s="1">
        <v>44295</v>
      </c>
      <c r="B488" t="s">
        <v>56</v>
      </c>
      <c r="C488">
        <f>15.5+1.55</f>
        <v>17.05</v>
      </c>
      <c r="D488">
        <v>16.079999999999998</v>
      </c>
    </row>
    <row r="489" spans="1:6" x14ac:dyDescent="0.25">
      <c r="A489" s="1">
        <v>44295</v>
      </c>
      <c r="B489" t="s">
        <v>58</v>
      </c>
      <c r="C489">
        <v>19.77</v>
      </c>
      <c r="D489">
        <v>18.690000000000001</v>
      </c>
    </row>
    <row r="490" spans="1:6" x14ac:dyDescent="0.25">
      <c r="A490" s="1">
        <v>44295</v>
      </c>
      <c r="B490" t="s">
        <v>60</v>
      </c>
      <c r="C490">
        <v>13.67</v>
      </c>
      <c r="D490">
        <v>17.23</v>
      </c>
    </row>
    <row r="491" spans="1:6" ht="15.75" thickBot="1" x14ac:dyDescent="0.3">
      <c r="A491" s="21">
        <v>44295</v>
      </c>
      <c r="B491" s="22" t="s">
        <v>62</v>
      </c>
      <c r="C491" s="22">
        <v>20.079999999999998</v>
      </c>
      <c r="D491" s="22">
        <v>20.5</v>
      </c>
      <c r="E491" s="22"/>
      <c r="F491" s="22"/>
    </row>
    <row r="492" spans="1:6" x14ac:dyDescent="0.25">
      <c r="A492" s="1">
        <v>44296</v>
      </c>
      <c r="B492" t="s">
        <v>56</v>
      </c>
      <c r="C492">
        <v>14.97</v>
      </c>
      <c r="D492">
        <v>16.7</v>
      </c>
    </row>
    <row r="493" spans="1:6" x14ac:dyDescent="0.25">
      <c r="A493" s="1">
        <v>44296</v>
      </c>
      <c r="B493" t="s">
        <v>58</v>
      </c>
      <c r="C493">
        <v>27.63</v>
      </c>
      <c r="D493">
        <v>32.159999999999997</v>
      </c>
    </row>
    <row r="494" spans="1:6" x14ac:dyDescent="0.25">
      <c r="A494" s="1">
        <v>44296</v>
      </c>
      <c r="B494" t="s">
        <v>60</v>
      </c>
      <c r="C494">
        <v>9.9</v>
      </c>
      <c r="D494">
        <v>24.94</v>
      </c>
    </row>
    <row r="495" spans="1:6" ht="15.75" thickBot="1" x14ac:dyDescent="0.3">
      <c r="A495" s="21">
        <v>44296</v>
      </c>
      <c r="B495" s="22" t="s">
        <v>62</v>
      </c>
      <c r="C495" s="22">
        <v>14.6</v>
      </c>
      <c r="D495" s="22">
        <v>16.559999999999999</v>
      </c>
      <c r="E495" s="22"/>
      <c r="F495" s="22"/>
    </row>
    <row r="496" spans="1:6" x14ac:dyDescent="0.25">
      <c r="A496" s="1">
        <v>44298</v>
      </c>
      <c r="B496" t="s">
        <v>56</v>
      </c>
      <c r="C496">
        <f>17.68+3.83</f>
        <v>21.509999999999998</v>
      </c>
      <c r="D496">
        <v>16.45</v>
      </c>
    </row>
    <row r="497" spans="1:6" x14ac:dyDescent="0.25">
      <c r="A497" s="1">
        <v>44298</v>
      </c>
      <c r="B497" t="s">
        <v>58</v>
      </c>
      <c r="C497">
        <v>25.85</v>
      </c>
      <c r="D497">
        <v>25.67</v>
      </c>
    </row>
    <row r="498" spans="1:6" x14ac:dyDescent="0.25">
      <c r="A498" s="1">
        <v>44298</v>
      </c>
      <c r="B498" t="s">
        <v>60</v>
      </c>
      <c r="C498">
        <v>19.63</v>
      </c>
      <c r="D498">
        <v>17.62</v>
      </c>
    </row>
    <row r="499" spans="1:6" ht="15.75" thickBot="1" x14ac:dyDescent="0.3">
      <c r="A499" s="21">
        <v>44298</v>
      </c>
      <c r="B499" s="22" t="s">
        <v>62</v>
      </c>
      <c r="C499" s="22">
        <v>17.52</v>
      </c>
      <c r="D499" s="22">
        <v>19.09</v>
      </c>
      <c r="E499" s="22"/>
      <c r="F499" s="22"/>
    </row>
    <row r="500" spans="1:6" x14ac:dyDescent="0.25">
      <c r="A500" s="1">
        <v>44299</v>
      </c>
      <c r="B500" t="s">
        <v>56</v>
      </c>
      <c r="C500">
        <f>18.3+1.3</f>
        <v>19.600000000000001</v>
      </c>
      <c r="D500">
        <v>33.659999999999997</v>
      </c>
    </row>
    <row r="501" spans="1:6" x14ac:dyDescent="0.25">
      <c r="A501" s="1">
        <v>44299</v>
      </c>
      <c r="B501" t="s">
        <v>58</v>
      </c>
      <c r="C501">
        <v>30.93</v>
      </c>
      <c r="D501">
        <v>35.549999999999997</v>
      </c>
    </row>
    <row r="502" spans="1:6" x14ac:dyDescent="0.25">
      <c r="A502" s="1">
        <v>44299</v>
      </c>
      <c r="B502" t="s">
        <v>60</v>
      </c>
      <c r="C502">
        <v>14.18</v>
      </c>
      <c r="D502">
        <v>20.94</v>
      </c>
    </row>
    <row r="503" spans="1:6" ht="15.75" thickBot="1" x14ac:dyDescent="0.3">
      <c r="A503" s="21">
        <v>44299</v>
      </c>
      <c r="B503" s="22" t="s">
        <v>62</v>
      </c>
      <c r="C503" s="22">
        <v>29.58</v>
      </c>
      <c r="D503" s="22">
        <v>18.579999999999998</v>
      </c>
      <c r="E503" s="22"/>
      <c r="F503" s="22"/>
    </row>
    <row r="504" spans="1:6" x14ac:dyDescent="0.25">
      <c r="A504" s="1">
        <v>44301</v>
      </c>
      <c r="B504" t="s">
        <v>56</v>
      </c>
      <c r="C504">
        <f>3.95+16.65</f>
        <v>20.599999999999998</v>
      </c>
      <c r="D504">
        <v>18.18</v>
      </c>
    </row>
    <row r="505" spans="1:6" x14ac:dyDescent="0.25">
      <c r="A505" s="1">
        <v>44301</v>
      </c>
      <c r="B505" t="s">
        <v>58</v>
      </c>
      <c r="C505">
        <v>30.6</v>
      </c>
      <c r="D505">
        <v>29.9</v>
      </c>
    </row>
    <row r="506" spans="1:6" x14ac:dyDescent="0.25">
      <c r="A506" s="1">
        <v>44301</v>
      </c>
      <c r="B506" t="s">
        <v>60</v>
      </c>
      <c r="C506">
        <v>14.98</v>
      </c>
      <c r="D506">
        <v>16.14</v>
      </c>
    </row>
    <row r="507" spans="1:6" ht="15.75" thickBot="1" x14ac:dyDescent="0.3">
      <c r="A507" s="21">
        <v>44301</v>
      </c>
      <c r="B507" s="22" t="s">
        <v>62</v>
      </c>
      <c r="C507" s="22">
        <v>15.92</v>
      </c>
      <c r="D507" s="22">
        <v>16.079999999999998</v>
      </c>
      <c r="E507" s="22"/>
      <c r="F507" s="22"/>
    </row>
    <row r="508" spans="1:6" x14ac:dyDescent="0.25">
      <c r="A508" s="1">
        <v>44302</v>
      </c>
      <c r="B508" t="s">
        <v>56</v>
      </c>
      <c r="C508">
        <v>19.38</v>
      </c>
      <c r="D508">
        <v>20.7</v>
      </c>
    </row>
    <row r="509" spans="1:6" x14ac:dyDescent="0.25">
      <c r="A509" s="1">
        <v>44302</v>
      </c>
      <c r="B509" t="s">
        <v>58</v>
      </c>
      <c r="C509">
        <v>21.55</v>
      </c>
      <c r="D509">
        <v>22.17</v>
      </c>
    </row>
    <row r="510" spans="1:6" x14ac:dyDescent="0.25">
      <c r="A510" s="1">
        <v>44302</v>
      </c>
      <c r="B510" t="s">
        <v>60</v>
      </c>
      <c r="C510">
        <v>18.170000000000002</v>
      </c>
      <c r="D510">
        <v>16.09</v>
      </c>
    </row>
    <row r="511" spans="1:6" ht="15.75" thickBot="1" x14ac:dyDescent="0.3">
      <c r="A511" s="21">
        <v>44302</v>
      </c>
      <c r="B511" s="22" t="s">
        <v>62</v>
      </c>
      <c r="C511" s="22">
        <v>18.05</v>
      </c>
      <c r="D511" s="22">
        <v>18.53</v>
      </c>
      <c r="E511" s="22"/>
      <c r="F511" s="22"/>
    </row>
    <row r="512" spans="1:6" x14ac:dyDescent="0.25">
      <c r="A512" s="1">
        <v>44303</v>
      </c>
      <c r="B512" t="s">
        <v>56</v>
      </c>
      <c r="C512">
        <v>19.399999999999999</v>
      </c>
      <c r="D512">
        <v>19.63</v>
      </c>
    </row>
    <row r="513" spans="1:6" x14ac:dyDescent="0.25">
      <c r="A513" s="1">
        <v>44303</v>
      </c>
      <c r="B513" t="s">
        <v>58</v>
      </c>
      <c r="C513">
        <v>31.25</v>
      </c>
      <c r="D513">
        <v>26.68</v>
      </c>
    </row>
    <row r="514" spans="1:6" x14ac:dyDescent="0.25">
      <c r="A514" s="1">
        <v>44303</v>
      </c>
      <c r="B514" t="s">
        <v>60</v>
      </c>
      <c r="C514">
        <v>9.8000000000000007</v>
      </c>
      <c r="D514">
        <v>20.65</v>
      </c>
    </row>
    <row r="515" spans="1:6" ht="15.75" thickBot="1" x14ac:dyDescent="0.3">
      <c r="A515" s="21">
        <v>44303</v>
      </c>
      <c r="B515" s="22" t="s">
        <v>62</v>
      </c>
      <c r="C515" s="22">
        <v>14.6</v>
      </c>
      <c r="D515" s="22">
        <v>14.42</v>
      </c>
      <c r="E515" s="22"/>
      <c r="F515" s="22"/>
    </row>
    <row r="516" spans="1:6" x14ac:dyDescent="0.25">
      <c r="A516" s="1">
        <v>44305</v>
      </c>
      <c r="B516" t="s">
        <v>56</v>
      </c>
      <c r="C516">
        <f>18.32+4.23</f>
        <v>22.55</v>
      </c>
      <c r="D516">
        <v>19.55</v>
      </c>
    </row>
    <row r="517" spans="1:6" x14ac:dyDescent="0.25">
      <c r="A517" s="1">
        <v>44305</v>
      </c>
      <c r="B517" t="s">
        <v>58</v>
      </c>
      <c r="C517">
        <v>25.75</v>
      </c>
      <c r="D517">
        <v>27.27</v>
      </c>
    </row>
    <row r="518" spans="1:6" x14ac:dyDescent="0.25">
      <c r="A518" s="1">
        <v>44305</v>
      </c>
      <c r="B518" t="s">
        <v>60</v>
      </c>
      <c r="C518">
        <v>26.37</v>
      </c>
      <c r="D518">
        <v>17.86</v>
      </c>
    </row>
    <row r="519" spans="1:6" ht="15.75" thickBot="1" x14ac:dyDescent="0.3">
      <c r="A519" s="21">
        <v>44305</v>
      </c>
      <c r="B519" s="22" t="s">
        <v>62</v>
      </c>
      <c r="C519" s="22">
        <v>18.07</v>
      </c>
      <c r="D519" s="22">
        <v>18.62</v>
      </c>
      <c r="E519" s="22"/>
      <c r="F519" s="22"/>
    </row>
    <row r="520" spans="1:6" x14ac:dyDescent="0.25">
      <c r="A520" s="1">
        <v>44306</v>
      </c>
      <c r="B520" t="s">
        <v>56</v>
      </c>
      <c r="C520">
        <f>20.5+1.6</f>
        <v>22.1</v>
      </c>
      <c r="D520">
        <v>34.880000000000003</v>
      </c>
    </row>
    <row r="521" spans="1:6" x14ac:dyDescent="0.25">
      <c r="A521" s="1">
        <v>44306</v>
      </c>
      <c r="B521" t="s">
        <v>58</v>
      </c>
      <c r="C521">
        <v>31.35</v>
      </c>
      <c r="D521">
        <v>35.82</v>
      </c>
    </row>
    <row r="522" spans="1:6" x14ac:dyDescent="0.25">
      <c r="A522" s="1">
        <v>44306</v>
      </c>
      <c r="B522" t="s">
        <v>60</v>
      </c>
      <c r="C522">
        <v>18.22</v>
      </c>
      <c r="D522">
        <v>23.75</v>
      </c>
    </row>
    <row r="523" spans="1:6" ht="15.75" thickBot="1" x14ac:dyDescent="0.3">
      <c r="A523" s="21">
        <v>44306</v>
      </c>
      <c r="B523" s="22" t="s">
        <v>62</v>
      </c>
      <c r="C523" s="22">
        <v>18.72</v>
      </c>
      <c r="D523" s="22">
        <v>21.88</v>
      </c>
      <c r="E523" s="22"/>
      <c r="F523" s="22"/>
    </row>
    <row r="524" spans="1:6" x14ac:dyDescent="0.25">
      <c r="A524" s="1">
        <v>44308</v>
      </c>
      <c r="B524" t="s">
        <v>56</v>
      </c>
      <c r="C524">
        <v>20.5</v>
      </c>
      <c r="D524">
        <v>17.64</v>
      </c>
    </row>
    <row r="525" spans="1:6" x14ac:dyDescent="0.25">
      <c r="A525" s="1">
        <v>44308</v>
      </c>
      <c r="B525" t="s">
        <v>58</v>
      </c>
      <c r="C525">
        <v>27.57</v>
      </c>
      <c r="D525">
        <v>31.17</v>
      </c>
    </row>
    <row r="526" spans="1:6" x14ac:dyDescent="0.25">
      <c r="A526" s="1">
        <v>44308</v>
      </c>
      <c r="B526" t="s">
        <v>60</v>
      </c>
      <c r="C526">
        <v>15.68</v>
      </c>
      <c r="D526">
        <v>11.49</v>
      </c>
    </row>
    <row r="527" spans="1:6" ht="15.75" thickBot="1" x14ac:dyDescent="0.3">
      <c r="A527" s="21">
        <v>44308</v>
      </c>
      <c r="B527" s="22" t="s">
        <v>62</v>
      </c>
      <c r="C527" s="22">
        <v>15.77</v>
      </c>
      <c r="D527" s="22">
        <v>26.55</v>
      </c>
      <c r="E527" s="22"/>
      <c r="F527" s="22"/>
    </row>
    <row r="528" spans="1:6" x14ac:dyDescent="0.25">
      <c r="A528" s="1">
        <v>44309</v>
      </c>
      <c r="B528" t="s">
        <v>56</v>
      </c>
      <c r="C528">
        <f>16.85+2.03</f>
        <v>18.880000000000003</v>
      </c>
      <c r="D528">
        <v>16.86</v>
      </c>
    </row>
    <row r="529" spans="1:6" x14ac:dyDescent="0.25">
      <c r="A529" s="1">
        <v>44309</v>
      </c>
      <c r="B529" t="s">
        <v>58</v>
      </c>
      <c r="C529">
        <v>20.07</v>
      </c>
      <c r="D529">
        <v>21.48</v>
      </c>
    </row>
    <row r="530" spans="1:6" x14ac:dyDescent="0.25">
      <c r="A530" s="1">
        <v>44309</v>
      </c>
      <c r="B530" t="s">
        <v>60</v>
      </c>
      <c r="C530">
        <v>13.3</v>
      </c>
      <c r="D530">
        <v>16.18</v>
      </c>
    </row>
    <row r="531" spans="1:6" ht="15.75" thickBot="1" x14ac:dyDescent="0.3">
      <c r="A531" s="21">
        <v>44309</v>
      </c>
      <c r="B531" s="22" t="s">
        <v>62</v>
      </c>
      <c r="C531" s="22">
        <v>14.62</v>
      </c>
      <c r="D531" s="22">
        <v>15.1</v>
      </c>
      <c r="E531" s="22"/>
      <c r="F531" s="22"/>
    </row>
    <row r="532" spans="1:6" x14ac:dyDescent="0.25">
      <c r="A532" s="1">
        <v>44310</v>
      </c>
      <c r="B532" t="s">
        <v>56</v>
      </c>
      <c r="C532">
        <f>14.62+1.05</f>
        <v>15.67</v>
      </c>
      <c r="D532">
        <v>24.91</v>
      </c>
    </row>
    <row r="533" spans="1:6" x14ac:dyDescent="0.25">
      <c r="A533" s="1">
        <v>44310</v>
      </c>
      <c r="B533" t="s">
        <v>58</v>
      </c>
      <c r="C533">
        <v>25.97</v>
      </c>
      <c r="D533">
        <v>32.58</v>
      </c>
    </row>
    <row r="534" spans="1:6" x14ac:dyDescent="0.25">
      <c r="A534" s="1">
        <v>44310</v>
      </c>
      <c r="B534" t="s">
        <v>60</v>
      </c>
      <c r="C534">
        <v>9.77</v>
      </c>
      <c r="D534">
        <v>22.05</v>
      </c>
      <c r="F534">
        <v>8.27</v>
      </c>
    </row>
    <row r="535" spans="1:6" ht="15.75" thickBot="1" x14ac:dyDescent="0.3">
      <c r="A535" s="21">
        <v>44310</v>
      </c>
      <c r="B535" s="22" t="s">
        <v>62</v>
      </c>
      <c r="C535" s="22">
        <v>14.4</v>
      </c>
      <c r="D535" s="22">
        <v>18.66</v>
      </c>
      <c r="E535" s="22"/>
      <c r="F535" s="22">
        <v>4.68</v>
      </c>
    </row>
    <row r="536" spans="1:6" x14ac:dyDescent="0.25">
      <c r="A536" s="1">
        <v>44312</v>
      </c>
      <c r="B536" t="s">
        <v>56</v>
      </c>
      <c r="C536">
        <v>22.04</v>
      </c>
      <c r="D536">
        <v>16.47</v>
      </c>
    </row>
    <row r="537" spans="1:6" x14ac:dyDescent="0.25">
      <c r="A537" s="1">
        <v>44312</v>
      </c>
      <c r="B537" t="s">
        <v>58</v>
      </c>
      <c r="C537">
        <v>24.02</v>
      </c>
      <c r="D537">
        <v>23.4</v>
      </c>
    </row>
    <row r="538" spans="1:6" x14ac:dyDescent="0.25">
      <c r="A538" s="1">
        <v>44312</v>
      </c>
      <c r="B538" t="s">
        <v>60</v>
      </c>
      <c r="C538">
        <v>20.65</v>
      </c>
      <c r="D538">
        <v>16.329999999999998</v>
      </c>
    </row>
    <row r="539" spans="1:6" ht="15.75" thickBot="1" x14ac:dyDescent="0.3">
      <c r="A539" s="21">
        <v>44312</v>
      </c>
      <c r="B539" s="22" t="s">
        <v>62</v>
      </c>
      <c r="C539" s="22">
        <v>21.28</v>
      </c>
      <c r="D539" s="22">
        <v>20.92</v>
      </c>
      <c r="E539" s="22"/>
      <c r="F539" s="22">
        <v>0.33</v>
      </c>
    </row>
    <row r="540" spans="1:6" x14ac:dyDescent="0.25">
      <c r="A540" s="1">
        <v>44313</v>
      </c>
      <c r="B540" t="s">
        <v>56</v>
      </c>
      <c r="C540">
        <v>16.329999999999998</v>
      </c>
      <c r="D540">
        <v>23.71</v>
      </c>
    </row>
    <row r="541" spans="1:6" x14ac:dyDescent="0.25">
      <c r="A541" s="1">
        <v>44313</v>
      </c>
      <c r="B541" t="s">
        <v>58</v>
      </c>
      <c r="C541">
        <v>28.4</v>
      </c>
      <c r="D541">
        <v>39.950000000000003</v>
      </c>
    </row>
    <row r="542" spans="1:6" x14ac:dyDescent="0.25">
      <c r="A542" s="1">
        <v>44313</v>
      </c>
      <c r="B542" t="s">
        <v>60</v>
      </c>
      <c r="C542">
        <v>14.37</v>
      </c>
      <c r="D542">
        <v>24.51</v>
      </c>
    </row>
    <row r="543" spans="1:6" ht="15.75" thickBot="1" x14ac:dyDescent="0.3">
      <c r="A543" s="21">
        <v>44313</v>
      </c>
      <c r="B543" s="22" t="s">
        <v>62</v>
      </c>
      <c r="C543" s="22">
        <v>21.15</v>
      </c>
      <c r="D543" s="22">
        <v>18.45</v>
      </c>
      <c r="E543" s="22"/>
      <c r="F543" s="22"/>
    </row>
    <row r="544" spans="1:6" x14ac:dyDescent="0.25">
      <c r="A544" s="1">
        <v>44315</v>
      </c>
      <c r="B544" t="s">
        <v>56</v>
      </c>
      <c r="C544">
        <f>14.13+3.77</f>
        <v>17.900000000000002</v>
      </c>
      <c r="D544">
        <v>16.989999999999998</v>
      </c>
    </row>
    <row r="545" spans="1:6" x14ac:dyDescent="0.25">
      <c r="A545" s="1">
        <v>44315</v>
      </c>
      <c r="B545" t="s">
        <v>58</v>
      </c>
      <c r="C545">
        <v>26.78</v>
      </c>
      <c r="D545">
        <v>22.75</v>
      </c>
    </row>
    <row r="546" spans="1:6" x14ac:dyDescent="0.25">
      <c r="A546" s="1">
        <v>44315</v>
      </c>
      <c r="B546" t="s">
        <v>60</v>
      </c>
      <c r="C546">
        <v>13.3</v>
      </c>
      <c r="D546">
        <v>12.33</v>
      </c>
    </row>
    <row r="547" spans="1:6" ht="15.75" thickBot="1" x14ac:dyDescent="0.3">
      <c r="A547" s="21">
        <v>44315</v>
      </c>
      <c r="B547" s="22" t="s">
        <v>62</v>
      </c>
      <c r="C547" s="22">
        <v>16.670000000000002</v>
      </c>
      <c r="D547" s="22">
        <v>18.850000000000001</v>
      </c>
      <c r="E547" s="22"/>
      <c r="F547" s="22">
        <v>2.42</v>
      </c>
    </row>
    <row r="548" spans="1:6" x14ac:dyDescent="0.25">
      <c r="A548" s="1">
        <v>44316</v>
      </c>
      <c r="B548" t="s">
        <v>56</v>
      </c>
      <c r="C548">
        <v>16.78</v>
      </c>
      <c r="D548">
        <v>15.5</v>
      </c>
    </row>
    <row r="549" spans="1:6" x14ac:dyDescent="0.25">
      <c r="A549" s="1">
        <v>44316</v>
      </c>
      <c r="B549" t="s">
        <v>58</v>
      </c>
      <c r="C549">
        <v>19.100000000000001</v>
      </c>
      <c r="D549">
        <v>20.260000000000002</v>
      </c>
    </row>
    <row r="550" spans="1:6" x14ac:dyDescent="0.25">
      <c r="A550" s="1">
        <v>44316</v>
      </c>
      <c r="B550" t="s">
        <v>60</v>
      </c>
      <c r="C550">
        <v>13.93</v>
      </c>
      <c r="D550">
        <v>15.75</v>
      </c>
    </row>
    <row r="551" spans="1:6" ht="15.75" thickBot="1" x14ac:dyDescent="0.3">
      <c r="A551" s="21">
        <v>44316</v>
      </c>
      <c r="B551" s="22" t="s">
        <v>62</v>
      </c>
      <c r="C551" s="22">
        <v>23.97</v>
      </c>
      <c r="D551" s="22">
        <v>19.010000000000002</v>
      </c>
      <c r="E551" s="22"/>
      <c r="F551" s="22">
        <v>4.2</v>
      </c>
    </row>
    <row r="552" spans="1:6" x14ac:dyDescent="0.25">
      <c r="A552" s="33">
        <v>44317</v>
      </c>
      <c r="B552" t="s">
        <v>56</v>
      </c>
      <c r="C552">
        <v>15.37</v>
      </c>
      <c r="D552">
        <v>22.25</v>
      </c>
    </row>
    <row r="553" spans="1:6" x14ac:dyDescent="0.25">
      <c r="A553" s="33">
        <v>44317</v>
      </c>
      <c r="B553" t="s">
        <v>58</v>
      </c>
      <c r="C553">
        <v>27.88</v>
      </c>
      <c r="D553">
        <v>35.96</v>
      </c>
    </row>
    <row r="554" spans="1:6" x14ac:dyDescent="0.25">
      <c r="A554" s="33">
        <v>44317</v>
      </c>
      <c r="B554" t="s">
        <v>60</v>
      </c>
      <c r="C554">
        <v>10.9</v>
      </c>
      <c r="D554">
        <v>21.72</v>
      </c>
      <c r="F554">
        <v>4.07</v>
      </c>
    </row>
    <row r="555" spans="1:6" ht="15.75" thickBot="1" x14ac:dyDescent="0.3">
      <c r="A555" s="34">
        <v>44317</v>
      </c>
      <c r="B555" s="22" t="s">
        <v>62</v>
      </c>
      <c r="C555" s="22">
        <v>16.579999999999998</v>
      </c>
      <c r="D555" s="22">
        <v>26.55</v>
      </c>
      <c r="E555" s="22"/>
      <c r="F555" s="22">
        <v>8.44</v>
      </c>
    </row>
    <row r="556" spans="1:6" x14ac:dyDescent="0.25">
      <c r="A556" s="1">
        <v>44319</v>
      </c>
      <c r="B556" t="s">
        <v>56</v>
      </c>
      <c r="C556">
        <f>18.38+6.05</f>
        <v>24.43</v>
      </c>
      <c r="D556">
        <v>16.850000000000001</v>
      </c>
    </row>
    <row r="557" spans="1:6" x14ac:dyDescent="0.25">
      <c r="A557" s="1">
        <v>44319</v>
      </c>
      <c r="B557" t="s">
        <v>58</v>
      </c>
      <c r="C557">
        <v>25.13</v>
      </c>
      <c r="D557">
        <v>27.03</v>
      </c>
    </row>
    <row r="558" spans="1:6" x14ac:dyDescent="0.25">
      <c r="A558" s="1">
        <v>44319</v>
      </c>
      <c r="B558" t="s">
        <v>60</v>
      </c>
      <c r="C558">
        <v>27.4</v>
      </c>
      <c r="D558">
        <v>16.47</v>
      </c>
    </row>
    <row r="559" spans="1:6" ht="15.75" thickBot="1" x14ac:dyDescent="0.3">
      <c r="A559" s="21">
        <v>44319</v>
      </c>
      <c r="B559" s="22" t="s">
        <v>62</v>
      </c>
      <c r="C559" s="22">
        <v>19.600000000000001</v>
      </c>
      <c r="D559" s="22">
        <v>21.2</v>
      </c>
      <c r="E559" s="22"/>
      <c r="F559" s="22">
        <v>3.42</v>
      </c>
    </row>
    <row r="560" spans="1:6" x14ac:dyDescent="0.25">
      <c r="A560" s="1">
        <v>44320</v>
      </c>
      <c r="B560" t="s">
        <v>56</v>
      </c>
      <c r="C560">
        <v>16.98</v>
      </c>
      <c r="D560">
        <v>32.35</v>
      </c>
    </row>
    <row r="561" spans="1:6" x14ac:dyDescent="0.25">
      <c r="A561" s="1">
        <v>44320</v>
      </c>
      <c r="B561" t="s">
        <v>58</v>
      </c>
      <c r="C561">
        <v>30.67</v>
      </c>
      <c r="D561">
        <v>35.78</v>
      </c>
    </row>
    <row r="562" spans="1:6" x14ac:dyDescent="0.25">
      <c r="A562" s="1">
        <v>44320</v>
      </c>
      <c r="B562" t="s">
        <v>60</v>
      </c>
      <c r="C562">
        <v>16.48</v>
      </c>
      <c r="D562">
        <v>25.95</v>
      </c>
    </row>
    <row r="563" spans="1:6" ht="15.75" thickBot="1" x14ac:dyDescent="0.3">
      <c r="A563" s="21">
        <v>44320</v>
      </c>
      <c r="B563" s="22" t="s">
        <v>62</v>
      </c>
      <c r="C563" s="22">
        <v>27.62</v>
      </c>
      <c r="D563" s="22">
        <v>22.38</v>
      </c>
      <c r="E563" s="22"/>
      <c r="F563" s="22"/>
    </row>
    <row r="564" spans="1:6" x14ac:dyDescent="0.25">
      <c r="A564" s="1">
        <v>44322</v>
      </c>
      <c r="B564" t="s">
        <v>56</v>
      </c>
      <c r="C564">
        <f>17.2+4.25</f>
        <v>21.45</v>
      </c>
      <c r="D564">
        <v>16.07</v>
      </c>
    </row>
    <row r="565" spans="1:6" x14ac:dyDescent="0.25">
      <c r="A565" s="1">
        <v>44322</v>
      </c>
      <c r="B565" t="s">
        <v>58</v>
      </c>
      <c r="C565">
        <v>29.2</v>
      </c>
      <c r="D565">
        <v>31.98</v>
      </c>
    </row>
    <row r="566" spans="1:6" x14ac:dyDescent="0.25">
      <c r="A566" s="1">
        <v>44322</v>
      </c>
      <c r="B566" t="s">
        <v>60</v>
      </c>
      <c r="C566">
        <v>17.2</v>
      </c>
      <c r="D566">
        <v>11.58</v>
      </c>
    </row>
    <row r="567" spans="1:6" ht="15.75" thickBot="1" x14ac:dyDescent="0.3">
      <c r="A567" s="21">
        <v>44322</v>
      </c>
      <c r="B567" s="22" t="s">
        <v>62</v>
      </c>
      <c r="C567" s="22">
        <v>15.9</v>
      </c>
      <c r="D567" s="22">
        <v>15.25</v>
      </c>
      <c r="E567" s="22"/>
      <c r="F567" s="22"/>
    </row>
    <row r="568" spans="1:6" x14ac:dyDescent="0.25">
      <c r="A568" s="1">
        <v>44323</v>
      </c>
      <c r="B568" t="s">
        <v>56</v>
      </c>
      <c r="C568">
        <f>17.23+2.07</f>
        <v>19.3</v>
      </c>
      <c r="D568">
        <v>16.13</v>
      </c>
    </row>
    <row r="569" spans="1:6" x14ac:dyDescent="0.25">
      <c r="A569" s="1">
        <v>44323</v>
      </c>
      <c r="B569" t="s">
        <v>58</v>
      </c>
      <c r="C569">
        <v>20.8</v>
      </c>
      <c r="D569">
        <v>20.51</v>
      </c>
    </row>
    <row r="570" spans="1:6" x14ac:dyDescent="0.25">
      <c r="A570" s="1">
        <v>44323</v>
      </c>
      <c r="B570" t="s">
        <v>60</v>
      </c>
      <c r="C570">
        <v>13.42</v>
      </c>
      <c r="D570">
        <v>17.13</v>
      </c>
    </row>
    <row r="571" spans="1:6" ht="15.75" thickBot="1" x14ac:dyDescent="0.3">
      <c r="A571" s="21">
        <v>44323</v>
      </c>
      <c r="B571" s="22" t="s">
        <v>62</v>
      </c>
      <c r="C571" s="22">
        <v>18.3</v>
      </c>
      <c r="D571" s="22">
        <v>19.190000000000001</v>
      </c>
      <c r="E571" s="22"/>
      <c r="F571" s="22"/>
    </row>
    <row r="572" spans="1:6" x14ac:dyDescent="0.25">
      <c r="A572" s="1">
        <v>44324</v>
      </c>
      <c r="B572" t="s">
        <v>56</v>
      </c>
      <c r="C572">
        <v>17.46</v>
      </c>
      <c r="D572">
        <v>22.96</v>
      </c>
    </row>
    <row r="573" spans="1:6" x14ac:dyDescent="0.25">
      <c r="A573" s="1">
        <v>44324</v>
      </c>
      <c r="B573" t="s">
        <v>58</v>
      </c>
      <c r="C573">
        <v>28.72</v>
      </c>
      <c r="D573">
        <v>32.22</v>
      </c>
    </row>
    <row r="574" spans="1:6" x14ac:dyDescent="0.25">
      <c r="A574" s="1">
        <v>44324</v>
      </c>
      <c r="B574" t="s">
        <v>60</v>
      </c>
      <c r="C574">
        <v>10.7</v>
      </c>
      <c r="D574">
        <v>20.64</v>
      </c>
    </row>
    <row r="575" spans="1:6" ht="15.75" thickBot="1" x14ac:dyDescent="0.3">
      <c r="A575" s="21">
        <v>44324</v>
      </c>
      <c r="B575" s="22" t="s">
        <v>62</v>
      </c>
      <c r="C575" s="22">
        <v>16.68</v>
      </c>
      <c r="D575" s="22">
        <v>17.2</v>
      </c>
      <c r="E575" s="22"/>
      <c r="F575" s="22"/>
    </row>
    <row r="576" spans="1:6" x14ac:dyDescent="0.25">
      <c r="A576" s="1">
        <v>44326</v>
      </c>
      <c r="B576" t="s">
        <v>56</v>
      </c>
      <c r="C576">
        <v>23.13</v>
      </c>
      <c r="D576">
        <v>17.309999999999999</v>
      </c>
    </row>
    <row r="577" spans="1:6" x14ac:dyDescent="0.25">
      <c r="A577" s="1">
        <v>44326</v>
      </c>
      <c r="B577" t="s">
        <v>58</v>
      </c>
      <c r="C577">
        <v>25.63</v>
      </c>
      <c r="D577">
        <v>26.3</v>
      </c>
    </row>
    <row r="578" spans="1:6" x14ac:dyDescent="0.25">
      <c r="A578" s="1">
        <v>44326</v>
      </c>
      <c r="B578" t="s">
        <v>60</v>
      </c>
      <c r="C578">
        <v>19.8</v>
      </c>
      <c r="D578">
        <v>16.28</v>
      </c>
    </row>
    <row r="579" spans="1:6" ht="15.75" thickBot="1" x14ac:dyDescent="0.3">
      <c r="A579" s="21">
        <v>44326</v>
      </c>
      <c r="B579" s="22" t="s">
        <v>62</v>
      </c>
      <c r="C579" s="22">
        <v>18.170000000000002</v>
      </c>
      <c r="D579" s="22">
        <v>20.75</v>
      </c>
      <c r="E579" s="22"/>
      <c r="F579" s="22"/>
    </row>
    <row r="580" spans="1:6" x14ac:dyDescent="0.25">
      <c r="A580" s="1">
        <v>44327</v>
      </c>
      <c r="B580" t="s">
        <v>56</v>
      </c>
      <c r="C580">
        <f>20.63+1.8</f>
        <v>22.43</v>
      </c>
      <c r="D580">
        <v>32.770000000000003</v>
      </c>
    </row>
    <row r="581" spans="1:6" x14ac:dyDescent="0.25">
      <c r="A581" s="1">
        <v>44327</v>
      </c>
      <c r="B581" t="s">
        <v>58</v>
      </c>
      <c r="C581">
        <v>29.06</v>
      </c>
      <c r="D581">
        <v>35.71</v>
      </c>
    </row>
    <row r="582" spans="1:6" x14ac:dyDescent="0.25">
      <c r="A582" s="1">
        <v>44327</v>
      </c>
      <c r="B582" t="s">
        <v>60</v>
      </c>
      <c r="C582">
        <v>13</v>
      </c>
      <c r="D582">
        <v>24.8</v>
      </c>
    </row>
    <row r="583" spans="1:6" ht="15.75" thickBot="1" x14ac:dyDescent="0.3">
      <c r="A583" s="21">
        <v>44327</v>
      </c>
      <c r="B583" s="22" t="s">
        <v>62</v>
      </c>
      <c r="C583" s="22">
        <v>19.88</v>
      </c>
      <c r="D583" s="22">
        <v>20.329999999999998</v>
      </c>
      <c r="E583" s="22"/>
      <c r="F583" s="22"/>
    </row>
    <row r="584" spans="1:6" x14ac:dyDescent="0.25">
      <c r="A584" s="1">
        <v>44329</v>
      </c>
      <c r="B584" t="s">
        <v>56</v>
      </c>
      <c r="C584">
        <v>20.6</v>
      </c>
      <c r="D584">
        <v>16.63</v>
      </c>
    </row>
    <row r="585" spans="1:6" x14ac:dyDescent="0.25">
      <c r="A585" s="1">
        <v>44329</v>
      </c>
      <c r="B585" t="s">
        <v>58</v>
      </c>
      <c r="C585">
        <v>29.1</v>
      </c>
      <c r="D585">
        <v>28.33</v>
      </c>
    </row>
    <row r="586" spans="1:6" x14ac:dyDescent="0.25">
      <c r="A586" s="1">
        <v>44329</v>
      </c>
      <c r="B586" t="s">
        <v>60</v>
      </c>
      <c r="C586">
        <v>13</v>
      </c>
      <c r="D586">
        <v>13.25</v>
      </c>
    </row>
    <row r="587" spans="1:6" ht="15.75" thickBot="1" x14ac:dyDescent="0.3">
      <c r="A587" s="21">
        <v>44329</v>
      </c>
      <c r="B587" s="22" t="s">
        <v>62</v>
      </c>
      <c r="C587" s="22">
        <v>14.4</v>
      </c>
      <c r="D587" s="22">
        <v>14.19</v>
      </c>
      <c r="E587" s="22"/>
      <c r="F587" s="22"/>
    </row>
    <row r="588" spans="1:6" x14ac:dyDescent="0.25">
      <c r="A588" s="1">
        <v>44330</v>
      </c>
      <c r="B588" t="s">
        <v>56</v>
      </c>
      <c r="C588">
        <f>14.25+2.5</f>
        <v>16.75</v>
      </c>
      <c r="D588">
        <v>16.77</v>
      </c>
    </row>
    <row r="589" spans="1:6" x14ac:dyDescent="0.25">
      <c r="A589" s="1">
        <v>44330</v>
      </c>
      <c r="B589" t="s">
        <v>58</v>
      </c>
      <c r="C589">
        <v>22.4</v>
      </c>
      <c r="D589">
        <v>17.71</v>
      </c>
    </row>
    <row r="590" spans="1:6" x14ac:dyDescent="0.25">
      <c r="A590" s="1">
        <v>44330</v>
      </c>
      <c r="B590" t="s">
        <v>60</v>
      </c>
      <c r="C590">
        <v>18.399999999999999</v>
      </c>
      <c r="D590">
        <v>18.82</v>
      </c>
    </row>
    <row r="591" spans="1:6" ht="15.75" thickBot="1" x14ac:dyDescent="0.3">
      <c r="A591" s="21">
        <v>44330</v>
      </c>
      <c r="B591" s="22" t="s">
        <v>62</v>
      </c>
      <c r="C591" s="22">
        <v>19.100000000000001</v>
      </c>
      <c r="D591" s="22">
        <v>20.03</v>
      </c>
      <c r="E591" s="22"/>
      <c r="F591" s="22"/>
    </row>
    <row r="592" spans="1:6" x14ac:dyDescent="0.25">
      <c r="A592" s="1">
        <v>44331</v>
      </c>
      <c r="B592" t="s">
        <v>56</v>
      </c>
      <c r="C592">
        <v>17.190000000000001</v>
      </c>
      <c r="D592">
        <v>17.440000000000001</v>
      </c>
    </row>
    <row r="593" spans="1:6" x14ac:dyDescent="0.25">
      <c r="A593" s="1">
        <v>44331</v>
      </c>
      <c r="B593" t="s">
        <v>58</v>
      </c>
      <c r="C593">
        <v>27.66</v>
      </c>
      <c r="D593">
        <v>40.04</v>
      </c>
    </row>
    <row r="594" spans="1:6" x14ac:dyDescent="0.25">
      <c r="A594" s="1">
        <v>44331</v>
      </c>
      <c r="B594" t="s">
        <v>60</v>
      </c>
      <c r="C594">
        <v>10.1</v>
      </c>
      <c r="D594">
        <v>17.02</v>
      </c>
    </row>
    <row r="595" spans="1:6" ht="15.75" thickBot="1" x14ac:dyDescent="0.3">
      <c r="A595" s="21">
        <v>44331</v>
      </c>
      <c r="B595" s="22" t="s">
        <v>62</v>
      </c>
      <c r="C595" s="22">
        <v>14.28</v>
      </c>
      <c r="D595" s="22">
        <v>16.920000000000002</v>
      </c>
      <c r="E595" s="22"/>
      <c r="F595" s="22"/>
    </row>
    <row r="596" spans="1:6" x14ac:dyDescent="0.25">
      <c r="A596" s="1">
        <v>44333</v>
      </c>
      <c r="B596" t="s">
        <v>56</v>
      </c>
      <c r="C596">
        <v>24.33</v>
      </c>
      <c r="D596">
        <v>15.91</v>
      </c>
    </row>
    <row r="597" spans="1:6" x14ac:dyDescent="0.25">
      <c r="A597" s="1">
        <v>44333</v>
      </c>
      <c r="B597" t="s">
        <v>58</v>
      </c>
      <c r="C597">
        <v>25.3</v>
      </c>
      <c r="D597">
        <v>26.28</v>
      </c>
    </row>
    <row r="598" spans="1:6" x14ac:dyDescent="0.25">
      <c r="A598" s="1">
        <v>44333</v>
      </c>
      <c r="B598" t="s">
        <v>60</v>
      </c>
      <c r="C598">
        <v>18.82</v>
      </c>
      <c r="D598">
        <v>15.37</v>
      </c>
    </row>
    <row r="599" spans="1:6" ht="15.75" thickBot="1" x14ac:dyDescent="0.3">
      <c r="A599" s="21">
        <v>44333</v>
      </c>
      <c r="B599" s="22" t="s">
        <v>62</v>
      </c>
      <c r="C599" s="22">
        <v>17.350000000000001</v>
      </c>
      <c r="D599" s="22">
        <v>19.399999999999999</v>
      </c>
      <c r="E599" s="22"/>
      <c r="F599" s="22"/>
    </row>
    <row r="600" spans="1:6" x14ac:dyDescent="0.25">
      <c r="A600" s="1">
        <v>44334</v>
      </c>
      <c r="B600" t="s">
        <v>56</v>
      </c>
      <c r="C600">
        <v>22.21</v>
      </c>
      <c r="D600">
        <v>33.76</v>
      </c>
    </row>
    <row r="601" spans="1:6" x14ac:dyDescent="0.25">
      <c r="A601" s="1">
        <v>44334</v>
      </c>
      <c r="B601" t="s">
        <v>58</v>
      </c>
      <c r="C601">
        <v>30.62</v>
      </c>
      <c r="D601">
        <v>37.39</v>
      </c>
    </row>
    <row r="602" spans="1:6" x14ac:dyDescent="0.25">
      <c r="A602" s="1">
        <v>44334</v>
      </c>
      <c r="B602" t="s">
        <v>60</v>
      </c>
      <c r="C602">
        <v>12.4</v>
      </c>
      <c r="D602">
        <v>24.52</v>
      </c>
    </row>
    <row r="603" spans="1:6" ht="15.75" thickBot="1" x14ac:dyDescent="0.3">
      <c r="A603" s="21">
        <v>44334</v>
      </c>
      <c r="B603" s="22" t="s">
        <v>62</v>
      </c>
      <c r="C603" s="22">
        <v>20.88</v>
      </c>
      <c r="D603" s="22">
        <v>21.33</v>
      </c>
      <c r="E603" s="22"/>
      <c r="F603" s="22"/>
    </row>
    <row r="604" spans="1:6" x14ac:dyDescent="0.25">
      <c r="A604" s="1">
        <v>44336</v>
      </c>
      <c r="B604" t="s">
        <v>56</v>
      </c>
      <c r="C604">
        <v>20.6</v>
      </c>
      <c r="D604">
        <v>16.3</v>
      </c>
    </row>
    <row r="605" spans="1:6" x14ac:dyDescent="0.25">
      <c r="A605" s="1">
        <v>44336</v>
      </c>
      <c r="B605" t="s">
        <v>58</v>
      </c>
      <c r="C605">
        <v>29.5</v>
      </c>
      <c r="D605">
        <v>27.92</v>
      </c>
    </row>
    <row r="606" spans="1:6" x14ac:dyDescent="0.25">
      <c r="A606" s="1">
        <v>44336</v>
      </c>
      <c r="B606" t="s">
        <v>60</v>
      </c>
      <c r="C606">
        <v>11.4</v>
      </c>
      <c r="D606">
        <v>15.83</v>
      </c>
    </row>
    <row r="607" spans="1:6" ht="15.75" thickBot="1" x14ac:dyDescent="0.3">
      <c r="A607" s="21">
        <v>44336</v>
      </c>
      <c r="B607" s="22" t="s">
        <v>62</v>
      </c>
      <c r="C607" s="22">
        <v>14.7</v>
      </c>
      <c r="D607" s="22">
        <v>14.15</v>
      </c>
      <c r="E607" s="22"/>
      <c r="F607" s="22"/>
    </row>
    <row r="608" spans="1:6" x14ac:dyDescent="0.25">
      <c r="A608" s="1">
        <v>44337</v>
      </c>
      <c r="B608" t="s">
        <v>56</v>
      </c>
      <c r="C608">
        <v>19</v>
      </c>
      <c r="D608">
        <v>17</v>
      </c>
    </row>
    <row r="609" spans="1:6" x14ac:dyDescent="0.25">
      <c r="A609" s="1">
        <v>44337</v>
      </c>
      <c r="B609" t="s">
        <v>58</v>
      </c>
      <c r="C609">
        <v>20.079999999999998</v>
      </c>
      <c r="D609">
        <v>21.58</v>
      </c>
    </row>
    <row r="610" spans="1:6" x14ac:dyDescent="0.25">
      <c r="A610" s="1">
        <v>44337</v>
      </c>
      <c r="B610" t="s">
        <v>60</v>
      </c>
      <c r="C610">
        <v>15.15</v>
      </c>
      <c r="D610">
        <v>16.55</v>
      </c>
    </row>
    <row r="611" spans="1:6" ht="15.75" thickBot="1" x14ac:dyDescent="0.3">
      <c r="A611" s="21">
        <v>44337</v>
      </c>
      <c r="B611" s="22" t="s">
        <v>62</v>
      </c>
      <c r="C611" s="22">
        <v>18.28</v>
      </c>
      <c r="D611" s="22">
        <v>21.65</v>
      </c>
      <c r="E611" s="22"/>
      <c r="F611" s="22"/>
    </row>
    <row r="612" spans="1:6" x14ac:dyDescent="0.25">
      <c r="A612" s="1">
        <v>44338</v>
      </c>
      <c r="B612" t="s">
        <v>56</v>
      </c>
      <c r="C612">
        <v>18.36</v>
      </c>
      <c r="D612">
        <v>34.06</v>
      </c>
    </row>
    <row r="613" spans="1:6" x14ac:dyDescent="0.25">
      <c r="A613" s="1">
        <v>44338</v>
      </c>
      <c r="B613" t="s">
        <v>58</v>
      </c>
      <c r="C613">
        <v>29</v>
      </c>
      <c r="D613">
        <v>47.47</v>
      </c>
    </row>
    <row r="614" spans="1:6" x14ac:dyDescent="0.25">
      <c r="A614" s="1">
        <v>44338</v>
      </c>
      <c r="B614" t="s">
        <v>60</v>
      </c>
      <c r="C614">
        <v>10.63</v>
      </c>
      <c r="D614">
        <v>20.77</v>
      </c>
    </row>
    <row r="615" spans="1:6" ht="15.75" thickBot="1" x14ac:dyDescent="0.3">
      <c r="A615" s="21">
        <v>44338</v>
      </c>
      <c r="B615" s="22" t="s">
        <v>62</v>
      </c>
      <c r="C615" s="22">
        <v>15.12</v>
      </c>
      <c r="D615" s="22">
        <v>21.33</v>
      </c>
      <c r="E615" s="22"/>
      <c r="F615" s="22"/>
    </row>
    <row r="616" spans="1:6" x14ac:dyDescent="0.25">
      <c r="A616" s="1">
        <v>44340</v>
      </c>
      <c r="B616" t="s">
        <v>56</v>
      </c>
      <c r="C616">
        <f>25.43+5.27</f>
        <v>30.7</v>
      </c>
      <c r="D616">
        <v>17.989999999999998</v>
      </c>
    </row>
    <row r="617" spans="1:6" x14ac:dyDescent="0.25">
      <c r="A617" s="1">
        <v>44340</v>
      </c>
      <c r="B617" t="s">
        <v>58</v>
      </c>
      <c r="C617">
        <v>28.78</v>
      </c>
      <c r="D617">
        <v>22.65</v>
      </c>
    </row>
    <row r="618" spans="1:6" x14ac:dyDescent="0.25">
      <c r="A618" s="1">
        <v>44340</v>
      </c>
      <c r="B618" t="s">
        <v>60</v>
      </c>
      <c r="C618">
        <v>18.45</v>
      </c>
      <c r="D618">
        <v>16.46</v>
      </c>
    </row>
    <row r="619" spans="1:6" x14ac:dyDescent="0.25">
      <c r="A619" s="1">
        <v>44340</v>
      </c>
      <c r="B619" t="s">
        <v>62</v>
      </c>
      <c r="C619">
        <v>19.420000000000002</v>
      </c>
      <c r="D619">
        <v>19.04</v>
      </c>
    </row>
    <row r="620" spans="1:6" x14ac:dyDescent="0.25">
      <c r="A620" s="1">
        <v>44341</v>
      </c>
      <c r="B620" t="s">
        <v>56</v>
      </c>
      <c r="C620">
        <f>26.7+2.5</f>
        <v>29.2</v>
      </c>
      <c r="D620">
        <v>36.5</v>
      </c>
    </row>
    <row r="621" spans="1:6" x14ac:dyDescent="0.25">
      <c r="A621" s="1">
        <v>44341</v>
      </c>
      <c r="B621" t="s">
        <v>58</v>
      </c>
      <c r="C621">
        <v>34.479999999999997</v>
      </c>
      <c r="D621">
        <v>48.92</v>
      </c>
    </row>
    <row r="622" spans="1:6" x14ac:dyDescent="0.25">
      <c r="A622" s="1">
        <v>44341</v>
      </c>
      <c r="B622" t="s">
        <v>60</v>
      </c>
      <c r="C622">
        <v>13.05</v>
      </c>
      <c r="D622">
        <v>24.76</v>
      </c>
    </row>
    <row r="623" spans="1:6" x14ac:dyDescent="0.25">
      <c r="A623" s="1">
        <v>44341</v>
      </c>
      <c r="B623" t="s">
        <v>62</v>
      </c>
      <c r="C623">
        <v>22.92</v>
      </c>
      <c r="D623">
        <v>24.08</v>
      </c>
    </row>
    <row r="624" spans="1:6" x14ac:dyDescent="0.25">
      <c r="A624" s="1">
        <v>44343</v>
      </c>
      <c r="B624" t="s">
        <v>56</v>
      </c>
      <c r="C624">
        <v>31</v>
      </c>
      <c r="D624">
        <v>17.46</v>
      </c>
    </row>
    <row r="625" spans="1:4" x14ac:dyDescent="0.25">
      <c r="A625" s="1">
        <v>44343</v>
      </c>
      <c r="B625" t="s">
        <v>58</v>
      </c>
      <c r="C625">
        <v>36</v>
      </c>
      <c r="D625">
        <v>16.100000000000001</v>
      </c>
    </row>
    <row r="626" spans="1:4" x14ac:dyDescent="0.25">
      <c r="A626" s="1">
        <v>44343</v>
      </c>
      <c r="B626" t="s">
        <v>60</v>
      </c>
      <c r="C626">
        <v>15.2</v>
      </c>
      <c r="D626">
        <v>16.18</v>
      </c>
    </row>
    <row r="627" spans="1:4" x14ac:dyDescent="0.25">
      <c r="A627" s="1">
        <v>44343</v>
      </c>
      <c r="B627" t="s">
        <v>62</v>
      </c>
      <c r="C627">
        <v>19.600000000000001</v>
      </c>
      <c r="D627">
        <v>19.38</v>
      </c>
    </row>
    <row r="628" spans="1:4" x14ac:dyDescent="0.25">
      <c r="A628" s="1">
        <v>44344</v>
      </c>
      <c r="B628" t="s">
        <v>56</v>
      </c>
      <c r="C628">
        <f>27.33+3.75</f>
        <v>31.08</v>
      </c>
      <c r="D628">
        <v>24.38</v>
      </c>
    </row>
    <row r="629" spans="1:4" x14ac:dyDescent="0.25">
      <c r="A629" s="1">
        <v>44344</v>
      </c>
      <c r="B629" t="s">
        <v>58</v>
      </c>
      <c r="C629">
        <v>25.85</v>
      </c>
      <c r="D629">
        <v>21.3</v>
      </c>
    </row>
    <row r="630" spans="1:4" x14ac:dyDescent="0.25">
      <c r="A630" s="1">
        <v>44344</v>
      </c>
      <c r="B630" t="s">
        <v>60</v>
      </c>
      <c r="C630">
        <v>15.02</v>
      </c>
      <c r="D630">
        <v>16.420000000000002</v>
      </c>
    </row>
    <row r="631" spans="1:4" x14ac:dyDescent="0.25">
      <c r="A631" s="1">
        <v>44344</v>
      </c>
      <c r="B631" t="s">
        <v>62</v>
      </c>
      <c r="C631">
        <v>29.75</v>
      </c>
      <c r="D631">
        <v>17.25</v>
      </c>
    </row>
    <row r="632" spans="1:4" x14ac:dyDescent="0.25">
      <c r="A632" s="1">
        <v>44345</v>
      </c>
      <c r="B632" t="s">
        <v>56</v>
      </c>
      <c r="C632">
        <f>23.92+1.26</f>
        <v>25.180000000000003</v>
      </c>
      <c r="D632">
        <v>34.89</v>
      </c>
    </row>
    <row r="633" spans="1:4" x14ac:dyDescent="0.25">
      <c r="A633" s="1">
        <v>44345</v>
      </c>
      <c r="B633" t="s">
        <v>58</v>
      </c>
      <c r="C633">
        <v>40.380000000000003</v>
      </c>
      <c r="D633">
        <v>38.28</v>
      </c>
    </row>
    <row r="634" spans="1:4" x14ac:dyDescent="0.25">
      <c r="A634" s="1">
        <v>44345</v>
      </c>
      <c r="B634" t="s">
        <v>60</v>
      </c>
      <c r="C634">
        <v>11.88</v>
      </c>
      <c r="D634">
        <v>10.6</v>
      </c>
    </row>
    <row r="635" spans="1:4" x14ac:dyDescent="0.25">
      <c r="A635" s="1">
        <v>44345</v>
      </c>
      <c r="B635" t="s">
        <v>62</v>
      </c>
      <c r="C635">
        <v>18.73</v>
      </c>
      <c r="D635">
        <v>17.25</v>
      </c>
    </row>
    <row r="636" spans="1:4" x14ac:dyDescent="0.25">
      <c r="A636" s="1">
        <v>44347</v>
      </c>
      <c r="B636" t="s">
        <v>56</v>
      </c>
      <c r="C636">
        <v>9.42</v>
      </c>
      <c r="D636">
        <v>9.42</v>
      </c>
    </row>
    <row r="637" spans="1:4" x14ac:dyDescent="0.25">
      <c r="A637" s="1">
        <v>44347</v>
      </c>
      <c r="B637" t="s">
        <v>58</v>
      </c>
      <c r="C637">
        <v>22</v>
      </c>
      <c r="D637">
        <v>24.28</v>
      </c>
    </row>
    <row r="638" spans="1:4" x14ac:dyDescent="0.25">
      <c r="A638" s="1">
        <v>44348</v>
      </c>
      <c r="B638" t="s">
        <v>56</v>
      </c>
      <c r="C638">
        <f>21.67+4.43</f>
        <v>26.1</v>
      </c>
      <c r="D638">
        <v>34.549999999999997</v>
      </c>
    </row>
    <row r="639" spans="1:4" x14ac:dyDescent="0.25">
      <c r="A639" s="1">
        <v>44348</v>
      </c>
      <c r="B639" t="s">
        <v>58</v>
      </c>
      <c r="C639">
        <v>30.17</v>
      </c>
      <c r="D639">
        <v>32.479999999999997</v>
      </c>
    </row>
    <row r="640" spans="1:4" x14ac:dyDescent="0.25">
      <c r="A640" s="1">
        <v>44348</v>
      </c>
      <c r="B640" t="s">
        <v>60</v>
      </c>
      <c r="C640">
        <v>22.37</v>
      </c>
      <c r="D640">
        <v>18.75</v>
      </c>
    </row>
    <row r="641" spans="1:4" x14ac:dyDescent="0.25">
      <c r="A641" s="1">
        <v>44348</v>
      </c>
      <c r="B641" t="s">
        <v>62</v>
      </c>
      <c r="C641">
        <v>20.67</v>
      </c>
      <c r="D641">
        <v>21.87</v>
      </c>
    </row>
    <row r="642" spans="1:4" x14ac:dyDescent="0.25">
      <c r="A642" s="1">
        <v>44349</v>
      </c>
      <c r="B642" t="s">
        <v>56</v>
      </c>
      <c r="C642">
        <f>23.55+1.77</f>
        <v>25.32</v>
      </c>
      <c r="D642">
        <v>29.57</v>
      </c>
    </row>
    <row r="643" spans="1:4" x14ac:dyDescent="0.25">
      <c r="A643" s="1">
        <v>44349</v>
      </c>
      <c r="B643" t="s">
        <v>58</v>
      </c>
      <c r="C643">
        <v>29.26</v>
      </c>
      <c r="D643">
        <v>33.64</v>
      </c>
    </row>
    <row r="644" spans="1:4" x14ac:dyDescent="0.25">
      <c r="A644" s="1">
        <v>44349</v>
      </c>
      <c r="B644" t="s">
        <v>60</v>
      </c>
      <c r="C644">
        <v>13.54</v>
      </c>
      <c r="D644">
        <v>8.23</v>
      </c>
    </row>
    <row r="645" spans="1:4" x14ac:dyDescent="0.25">
      <c r="A645" s="1">
        <v>44349</v>
      </c>
      <c r="B645" t="s">
        <v>62</v>
      </c>
      <c r="C645">
        <v>19.53</v>
      </c>
      <c r="D645">
        <v>19.899999999999999</v>
      </c>
    </row>
    <row r="646" spans="1:4" x14ac:dyDescent="0.25">
      <c r="A646" s="1">
        <v>44351</v>
      </c>
      <c r="B646" t="s">
        <v>56</v>
      </c>
      <c r="C646">
        <v>24.77</v>
      </c>
      <c r="D646">
        <v>22.67</v>
      </c>
    </row>
    <row r="647" spans="1:4" x14ac:dyDescent="0.25">
      <c r="A647" s="1">
        <v>44351</v>
      </c>
      <c r="B647" t="s">
        <v>58</v>
      </c>
      <c r="C647">
        <v>33.78</v>
      </c>
      <c r="D647">
        <v>35.840000000000003</v>
      </c>
    </row>
    <row r="648" spans="1:4" x14ac:dyDescent="0.25">
      <c r="A648" s="1">
        <v>44351</v>
      </c>
      <c r="B648" t="s">
        <v>60</v>
      </c>
      <c r="C648">
        <v>12.18</v>
      </c>
      <c r="D648">
        <v>15.45</v>
      </c>
    </row>
    <row r="649" spans="1:4" x14ac:dyDescent="0.25">
      <c r="A649" s="1">
        <v>44351</v>
      </c>
      <c r="B649" t="s">
        <v>62</v>
      </c>
      <c r="C649">
        <v>19.579999999999998</v>
      </c>
      <c r="D649">
        <v>23.57</v>
      </c>
    </row>
    <row r="650" spans="1:4" x14ac:dyDescent="0.25">
      <c r="A650" s="1">
        <v>44352</v>
      </c>
      <c r="B650" t="s">
        <v>56</v>
      </c>
      <c r="C650">
        <v>22.1</v>
      </c>
      <c r="D650">
        <v>18.39</v>
      </c>
    </row>
    <row r="651" spans="1:4" x14ac:dyDescent="0.25">
      <c r="A651" s="1">
        <v>44352</v>
      </c>
      <c r="B651" t="s">
        <v>58</v>
      </c>
      <c r="C651">
        <v>32.35</v>
      </c>
      <c r="D651">
        <v>29</v>
      </c>
    </row>
    <row r="652" spans="1:4" x14ac:dyDescent="0.25">
      <c r="A652" s="1">
        <v>44352</v>
      </c>
      <c r="B652" t="s">
        <v>60</v>
      </c>
      <c r="C652">
        <v>18.43</v>
      </c>
      <c r="D652">
        <v>25.5</v>
      </c>
    </row>
    <row r="653" spans="1:4" x14ac:dyDescent="0.25">
      <c r="A653" s="1">
        <v>44352</v>
      </c>
      <c r="B653" t="s">
        <v>62</v>
      </c>
      <c r="C653">
        <v>19.149999999999999</v>
      </c>
      <c r="D653">
        <v>20.399999999999999</v>
      </c>
    </row>
    <row r="654" spans="1:4" x14ac:dyDescent="0.25">
      <c r="A654" s="1">
        <v>44354</v>
      </c>
      <c r="B654" t="s">
        <v>56</v>
      </c>
      <c r="C654">
        <f>21.07+4.62</f>
        <v>25.69</v>
      </c>
      <c r="D654">
        <v>23.75</v>
      </c>
    </row>
    <row r="655" spans="1:4" x14ac:dyDescent="0.25">
      <c r="A655" s="1">
        <v>44354</v>
      </c>
      <c r="B655" t="s">
        <v>58</v>
      </c>
      <c r="C655">
        <v>27.53</v>
      </c>
      <c r="D655">
        <v>28.48</v>
      </c>
    </row>
    <row r="656" spans="1:4" x14ac:dyDescent="0.25">
      <c r="A656" s="1">
        <v>44354</v>
      </c>
      <c r="B656" t="s">
        <v>60</v>
      </c>
      <c r="C656">
        <v>18.8</v>
      </c>
      <c r="D656">
        <v>17.670000000000002</v>
      </c>
    </row>
    <row r="657" spans="1:4" x14ac:dyDescent="0.25">
      <c r="A657" s="1">
        <v>44354</v>
      </c>
      <c r="B657" t="s">
        <v>62</v>
      </c>
      <c r="C657">
        <v>17.649999999999999</v>
      </c>
      <c r="D657">
        <v>17.75</v>
      </c>
    </row>
    <row r="658" spans="1:4" x14ac:dyDescent="0.25">
      <c r="A658" s="1">
        <v>44355</v>
      </c>
      <c r="B658" t="s">
        <v>56</v>
      </c>
      <c r="C658">
        <f>23.78+2.23</f>
        <v>26.01</v>
      </c>
      <c r="D658">
        <v>32.93</v>
      </c>
    </row>
    <row r="659" spans="1:4" x14ac:dyDescent="0.25">
      <c r="A659" s="1">
        <v>44355</v>
      </c>
      <c r="B659" t="s">
        <v>58</v>
      </c>
      <c r="C659">
        <v>33.36</v>
      </c>
      <c r="D659">
        <v>37.36</v>
      </c>
    </row>
    <row r="660" spans="1:4" x14ac:dyDescent="0.25">
      <c r="A660" s="1">
        <v>44355</v>
      </c>
      <c r="B660" t="s">
        <v>60</v>
      </c>
      <c r="C660">
        <v>19.23</v>
      </c>
      <c r="D660">
        <v>24.45</v>
      </c>
    </row>
    <row r="661" spans="1:4" x14ac:dyDescent="0.25">
      <c r="A661" s="1">
        <v>44355</v>
      </c>
      <c r="B661" t="s">
        <v>62</v>
      </c>
      <c r="C661">
        <v>34.47</v>
      </c>
      <c r="D661">
        <v>26.9</v>
      </c>
    </row>
    <row r="662" spans="1:4" x14ac:dyDescent="0.25">
      <c r="A662" s="1">
        <v>44357</v>
      </c>
      <c r="B662" t="s">
        <v>56</v>
      </c>
      <c r="C662">
        <f>17.5+4.35</f>
        <v>21.85</v>
      </c>
      <c r="D662">
        <v>19.82</v>
      </c>
    </row>
    <row r="663" spans="1:4" x14ac:dyDescent="0.25">
      <c r="A663" s="1">
        <v>44357</v>
      </c>
      <c r="B663" t="s">
        <v>58</v>
      </c>
      <c r="C663">
        <v>30.47</v>
      </c>
      <c r="D663">
        <v>31</v>
      </c>
    </row>
    <row r="664" spans="1:4" x14ac:dyDescent="0.25">
      <c r="A664" s="1">
        <v>44357</v>
      </c>
      <c r="B664" t="s">
        <v>60</v>
      </c>
      <c r="C664">
        <v>17.7</v>
      </c>
      <c r="D664">
        <v>17.670000000000002</v>
      </c>
    </row>
    <row r="665" spans="1:4" x14ac:dyDescent="0.25">
      <c r="A665" s="1">
        <v>44357</v>
      </c>
      <c r="B665" t="s">
        <v>62</v>
      </c>
      <c r="C665">
        <v>14.38</v>
      </c>
      <c r="D665">
        <v>26.88</v>
      </c>
    </row>
    <row r="666" spans="1:4" x14ac:dyDescent="0.25">
      <c r="A666" s="1">
        <v>44358</v>
      </c>
      <c r="B666" t="s">
        <v>56</v>
      </c>
      <c r="C666">
        <f>17.13+2.47</f>
        <v>19.599999999999998</v>
      </c>
      <c r="D666">
        <v>21.45</v>
      </c>
    </row>
    <row r="667" spans="1:4" x14ac:dyDescent="0.25">
      <c r="A667" s="1">
        <v>44358</v>
      </c>
      <c r="B667" t="s">
        <v>58</v>
      </c>
      <c r="C667">
        <v>19.420000000000002</v>
      </c>
      <c r="D667">
        <v>20.78</v>
      </c>
    </row>
    <row r="668" spans="1:4" x14ac:dyDescent="0.25">
      <c r="A668" s="1">
        <v>44358</v>
      </c>
      <c r="B668" t="s">
        <v>60</v>
      </c>
      <c r="C668">
        <v>15.22</v>
      </c>
      <c r="D668">
        <v>16.05</v>
      </c>
    </row>
    <row r="669" spans="1:4" x14ac:dyDescent="0.25">
      <c r="A669" s="1">
        <v>44358</v>
      </c>
      <c r="B669" t="s">
        <v>62</v>
      </c>
      <c r="C669">
        <v>16.12</v>
      </c>
      <c r="D669">
        <v>19.420000000000002</v>
      </c>
    </row>
    <row r="670" spans="1:4" x14ac:dyDescent="0.25">
      <c r="A670" s="1">
        <v>44359</v>
      </c>
      <c r="B670" t="s">
        <v>56</v>
      </c>
      <c r="C670">
        <f>17.39+1.65</f>
        <v>19.04</v>
      </c>
      <c r="D670">
        <v>24.7</v>
      </c>
    </row>
    <row r="671" spans="1:4" x14ac:dyDescent="0.25">
      <c r="A671" s="1">
        <v>44359</v>
      </c>
      <c r="B671" t="s">
        <v>58</v>
      </c>
      <c r="C671">
        <v>28.37</v>
      </c>
      <c r="D671">
        <v>33.97</v>
      </c>
    </row>
    <row r="672" spans="1:4" x14ac:dyDescent="0.25">
      <c r="A672" s="1">
        <v>44359</v>
      </c>
      <c r="B672" t="s">
        <v>60</v>
      </c>
      <c r="C672">
        <v>11.08</v>
      </c>
      <c r="D672">
        <v>25.14</v>
      </c>
    </row>
    <row r="673" spans="1:4" x14ac:dyDescent="0.25">
      <c r="A673" s="1">
        <v>44359</v>
      </c>
      <c r="B673" t="s">
        <v>62</v>
      </c>
      <c r="C673">
        <v>14.68</v>
      </c>
      <c r="D673">
        <v>20.329999999999998</v>
      </c>
    </row>
    <row r="674" spans="1:4" x14ac:dyDescent="0.25">
      <c r="A674" s="1">
        <v>44361</v>
      </c>
      <c r="B674" t="s">
        <v>56</v>
      </c>
      <c r="C674">
        <f>17.88+4.85</f>
        <v>22.729999999999997</v>
      </c>
      <c r="D674">
        <v>23.72</v>
      </c>
    </row>
    <row r="675" spans="1:4" x14ac:dyDescent="0.25">
      <c r="A675" s="1">
        <v>44361</v>
      </c>
      <c r="B675" t="s">
        <v>58</v>
      </c>
      <c r="C675">
        <v>25.08</v>
      </c>
      <c r="D675">
        <v>26.66</v>
      </c>
    </row>
    <row r="676" spans="1:4" x14ac:dyDescent="0.25">
      <c r="A676" s="1">
        <v>44361</v>
      </c>
      <c r="B676" t="s">
        <v>60</v>
      </c>
      <c r="C676">
        <v>19.68</v>
      </c>
      <c r="D676">
        <v>17.420000000000002</v>
      </c>
    </row>
    <row r="677" spans="1:4" x14ac:dyDescent="0.25">
      <c r="A677" s="1">
        <v>44361</v>
      </c>
      <c r="B677" t="s">
        <v>62</v>
      </c>
      <c r="C677">
        <v>17.63</v>
      </c>
      <c r="D677">
        <v>19.71</v>
      </c>
    </row>
    <row r="678" spans="1:4" x14ac:dyDescent="0.25">
      <c r="A678" s="1">
        <v>44362</v>
      </c>
      <c r="B678" t="s">
        <v>56</v>
      </c>
      <c r="C678">
        <f>20.03+2.17</f>
        <v>22.200000000000003</v>
      </c>
      <c r="D678">
        <v>35.44</v>
      </c>
    </row>
    <row r="679" spans="1:4" x14ac:dyDescent="0.25">
      <c r="A679" s="1">
        <v>44362</v>
      </c>
      <c r="B679" t="s">
        <v>58</v>
      </c>
      <c r="C679">
        <v>29.45</v>
      </c>
      <c r="D679">
        <v>43.82</v>
      </c>
    </row>
    <row r="680" spans="1:4" x14ac:dyDescent="0.25">
      <c r="A680" s="1">
        <v>44362</v>
      </c>
      <c r="B680" t="s">
        <v>60</v>
      </c>
      <c r="C680">
        <v>13.63</v>
      </c>
      <c r="D680">
        <v>23.88</v>
      </c>
    </row>
    <row r="681" spans="1:4" x14ac:dyDescent="0.25">
      <c r="A681" s="1">
        <v>44362</v>
      </c>
      <c r="B681" t="s">
        <v>62</v>
      </c>
      <c r="C681">
        <v>22.67</v>
      </c>
      <c r="D681">
        <v>22.35</v>
      </c>
    </row>
    <row r="682" spans="1:4" x14ac:dyDescent="0.25">
      <c r="A682" s="1">
        <v>44364</v>
      </c>
      <c r="B682" t="s">
        <v>56</v>
      </c>
      <c r="C682">
        <f>20.87+5.9</f>
        <v>26.770000000000003</v>
      </c>
      <c r="D682">
        <v>24.23</v>
      </c>
    </row>
    <row r="683" spans="1:4" x14ac:dyDescent="0.25">
      <c r="A683" s="1">
        <v>44364</v>
      </c>
      <c r="B683" t="s">
        <v>58</v>
      </c>
      <c r="C683">
        <v>30.18</v>
      </c>
      <c r="D683">
        <v>27.57</v>
      </c>
    </row>
    <row r="684" spans="1:4" x14ac:dyDescent="0.25">
      <c r="A684" s="1">
        <v>44364</v>
      </c>
      <c r="B684" t="s">
        <v>60</v>
      </c>
      <c r="C684">
        <v>13.42</v>
      </c>
      <c r="D684">
        <v>16.3</v>
      </c>
    </row>
    <row r="685" spans="1:4" x14ac:dyDescent="0.25">
      <c r="A685" s="1">
        <v>44364</v>
      </c>
      <c r="B685" t="s">
        <v>62</v>
      </c>
      <c r="C685">
        <v>18.05</v>
      </c>
      <c r="D685">
        <v>14.05</v>
      </c>
    </row>
    <row r="686" spans="1:4" x14ac:dyDescent="0.25">
      <c r="A686" s="1">
        <v>44365</v>
      </c>
      <c r="B686" t="s">
        <v>56</v>
      </c>
      <c r="C686">
        <f>17.73+2.95</f>
        <v>20.68</v>
      </c>
      <c r="D686">
        <v>17.21</v>
      </c>
    </row>
    <row r="687" spans="1:4" x14ac:dyDescent="0.25">
      <c r="A687" s="1">
        <v>44365</v>
      </c>
      <c r="B687" t="s">
        <v>58</v>
      </c>
      <c r="C687">
        <v>20.100000000000001</v>
      </c>
      <c r="D687">
        <v>21.77</v>
      </c>
    </row>
    <row r="688" spans="1:4" x14ac:dyDescent="0.25">
      <c r="A688" s="1">
        <v>44365</v>
      </c>
      <c r="B688" t="s">
        <v>60</v>
      </c>
      <c r="C688">
        <v>13.2</v>
      </c>
      <c r="D688">
        <v>17.8</v>
      </c>
    </row>
    <row r="689" spans="1:4" x14ac:dyDescent="0.25">
      <c r="A689" s="1">
        <v>44365</v>
      </c>
      <c r="B689" t="s">
        <v>62</v>
      </c>
      <c r="C689">
        <v>14.28</v>
      </c>
      <c r="D689">
        <v>16.920000000000002</v>
      </c>
    </row>
    <row r="690" spans="1:4" x14ac:dyDescent="0.25">
      <c r="A690" s="1">
        <v>44366</v>
      </c>
      <c r="B690" t="s">
        <v>56</v>
      </c>
      <c r="C690">
        <f>19.72+1.77</f>
        <v>21.49</v>
      </c>
      <c r="D690">
        <v>31.94</v>
      </c>
    </row>
    <row r="691" spans="1:4" x14ac:dyDescent="0.25">
      <c r="A691" s="1">
        <v>44366</v>
      </c>
      <c r="B691" t="s">
        <v>58</v>
      </c>
      <c r="C691">
        <v>31.45</v>
      </c>
      <c r="D691">
        <v>35.33</v>
      </c>
    </row>
    <row r="692" spans="1:4" x14ac:dyDescent="0.25">
      <c r="A692" s="1">
        <v>44366</v>
      </c>
      <c r="B692" t="s">
        <v>60</v>
      </c>
      <c r="C692">
        <v>10.4</v>
      </c>
      <c r="D692">
        <v>94.92</v>
      </c>
    </row>
    <row r="693" spans="1:4" x14ac:dyDescent="0.25">
      <c r="A693" s="1">
        <v>44366</v>
      </c>
      <c r="B693" t="s">
        <v>62</v>
      </c>
      <c r="C693">
        <v>15.87</v>
      </c>
      <c r="D693">
        <v>20.86</v>
      </c>
    </row>
    <row r="694" spans="1:4" x14ac:dyDescent="0.25">
      <c r="A694" s="1">
        <v>44368</v>
      </c>
      <c r="B694" t="s">
        <v>56</v>
      </c>
      <c r="C694">
        <f>23.75+5.04</f>
        <v>28.79</v>
      </c>
      <c r="D694">
        <v>26.47</v>
      </c>
    </row>
    <row r="695" spans="1:4" x14ac:dyDescent="0.25">
      <c r="A695" s="1">
        <v>44368</v>
      </c>
      <c r="B695" t="s">
        <v>58</v>
      </c>
      <c r="C695">
        <v>27.23</v>
      </c>
      <c r="D695">
        <v>25.15</v>
      </c>
    </row>
    <row r="696" spans="1:4" x14ac:dyDescent="0.25">
      <c r="A696" s="1">
        <v>44368</v>
      </c>
      <c r="B696" t="s">
        <v>60</v>
      </c>
      <c r="C696">
        <v>16.850000000000001</v>
      </c>
      <c r="D696">
        <v>17.55</v>
      </c>
    </row>
    <row r="697" spans="1:4" x14ac:dyDescent="0.25">
      <c r="A697" s="1">
        <v>44368</v>
      </c>
      <c r="B697" t="s">
        <v>62</v>
      </c>
      <c r="C697">
        <v>17.78</v>
      </c>
      <c r="D697">
        <v>18.850000000000001</v>
      </c>
    </row>
    <row r="698" spans="1:4" x14ac:dyDescent="0.25">
      <c r="A698" s="1">
        <v>44369</v>
      </c>
      <c r="B698" t="s">
        <v>56</v>
      </c>
      <c r="C698">
        <f>21.58+2.57</f>
        <v>24.15</v>
      </c>
      <c r="D698">
        <v>29.83</v>
      </c>
    </row>
    <row r="699" spans="1:4" x14ac:dyDescent="0.25">
      <c r="A699" s="1">
        <v>44369</v>
      </c>
      <c r="B699" t="s">
        <v>58</v>
      </c>
      <c r="C699">
        <v>31.13</v>
      </c>
      <c r="D699">
        <v>47.27</v>
      </c>
    </row>
    <row r="700" spans="1:4" x14ac:dyDescent="0.25">
      <c r="A700" s="1">
        <v>44369</v>
      </c>
      <c r="B700" t="s">
        <v>60</v>
      </c>
      <c r="C700">
        <v>17.3</v>
      </c>
      <c r="D700">
        <v>23.8</v>
      </c>
    </row>
    <row r="701" spans="1:4" x14ac:dyDescent="0.25">
      <c r="A701" s="1">
        <v>44369</v>
      </c>
      <c r="B701" t="s">
        <v>62</v>
      </c>
      <c r="C701">
        <v>24.08</v>
      </c>
      <c r="D701">
        <v>21.83</v>
      </c>
    </row>
    <row r="702" spans="1:4" x14ac:dyDescent="0.25">
      <c r="A702" s="1">
        <v>44371</v>
      </c>
      <c r="B702" t="s">
        <v>56</v>
      </c>
      <c r="C702">
        <f>19.72+5.28</f>
        <v>25</v>
      </c>
      <c r="D702">
        <v>18.57</v>
      </c>
    </row>
    <row r="703" spans="1:4" x14ac:dyDescent="0.25">
      <c r="A703" s="1">
        <v>44371</v>
      </c>
      <c r="B703" t="s">
        <v>58</v>
      </c>
      <c r="C703">
        <v>33.03</v>
      </c>
      <c r="D703">
        <v>21.07</v>
      </c>
    </row>
    <row r="704" spans="1:4" x14ac:dyDescent="0.25">
      <c r="A704" s="1">
        <v>44371</v>
      </c>
      <c r="B704" t="s">
        <v>60</v>
      </c>
      <c r="C704">
        <v>11.1</v>
      </c>
      <c r="D704">
        <v>9.5299999999999994</v>
      </c>
    </row>
    <row r="705" spans="1:4" x14ac:dyDescent="0.25">
      <c r="A705" s="1">
        <v>44371</v>
      </c>
      <c r="B705" t="s">
        <v>62</v>
      </c>
      <c r="C705">
        <v>15.7</v>
      </c>
      <c r="D705">
        <v>15.33</v>
      </c>
    </row>
    <row r="706" spans="1:4" x14ac:dyDescent="0.25">
      <c r="A706" s="1">
        <v>44372</v>
      </c>
      <c r="B706" t="s">
        <v>56</v>
      </c>
      <c r="C706">
        <f>20.35+3.18</f>
        <v>23.53</v>
      </c>
      <c r="D706">
        <v>32.83</v>
      </c>
    </row>
    <row r="707" spans="1:4" x14ac:dyDescent="0.25">
      <c r="A707" s="1">
        <v>44372</v>
      </c>
      <c r="B707" t="s">
        <v>58</v>
      </c>
      <c r="C707">
        <v>23.82</v>
      </c>
      <c r="D707">
        <v>25.49</v>
      </c>
    </row>
    <row r="708" spans="1:4" x14ac:dyDescent="0.25">
      <c r="A708" s="1">
        <v>44372</v>
      </c>
      <c r="B708" t="s">
        <v>60</v>
      </c>
      <c r="C708">
        <v>13.58</v>
      </c>
      <c r="D708">
        <v>14.83</v>
      </c>
    </row>
    <row r="709" spans="1:4" x14ac:dyDescent="0.25">
      <c r="A709" s="1">
        <v>44372</v>
      </c>
      <c r="B709" t="s">
        <v>62</v>
      </c>
      <c r="C709">
        <v>33.47</v>
      </c>
      <c r="D709">
        <v>21</v>
      </c>
    </row>
    <row r="710" spans="1:4" x14ac:dyDescent="0.25">
      <c r="A710" s="1">
        <v>44373</v>
      </c>
      <c r="B710" t="s">
        <v>56</v>
      </c>
      <c r="C710">
        <f>20.25+1.23</f>
        <v>21.48</v>
      </c>
      <c r="D710">
        <v>40.159999999999997</v>
      </c>
    </row>
    <row r="711" spans="1:4" x14ac:dyDescent="0.25">
      <c r="A711" s="1">
        <v>44373</v>
      </c>
      <c r="B711" t="s">
        <v>58</v>
      </c>
      <c r="C711">
        <v>33.549999999999997</v>
      </c>
      <c r="D711">
        <v>37.1</v>
      </c>
    </row>
    <row r="712" spans="1:4" x14ac:dyDescent="0.25">
      <c r="A712" s="1">
        <v>44373</v>
      </c>
      <c r="B712" t="s">
        <v>60</v>
      </c>
      <c r="C712">
        <v>10.68</v>
      </c>
      <c r="D712">
        <v>21.64</v>
      </c>
    </row>
    <row r="713" spans="1:4" x14ac:dyDescent="0.25">
      <c r="A713" s="1">
        <v>44373</v>
      </c>
      <c r="B713" t="s">
        <v>62</v>
      </c>
      <c r="C713">
        <v>15.45</v>
      </c>
      <c r="D713">
        <v>20.170000000000002</v>
      </c>
    </row>
    <row r="714" spans="1:4" x14ac:dyDescent="0.25">
      <c r="A714" s="1">
        <v>44375</v>
      </c>
      <c r="B714" t="s">
        <v>56</v>
      </c>
      <c r="C714">
        <f>29.58+6.87</f>
        <v>36.449999999999996</v>
      </c>
      <c r="D714">
        <v>20.72</v>
      </c>
    </row>
    <row r="715" spans="1:4" x14ac:dyDescent="0.25">
      <c r="A715" s="1">
        <v>44375</v>
      </c>
      <c r="B715" t="s">
        <v>58</v>
      </c>
      <c r="C715">
        <v>35.6</v>
      </c>
      <c r="D715">
        <v>31.27</v>
      </c>
    </row>
    <row r="716" spans="1:4" x14ac:dyDescent="0.25">
      <c r="A716" s="1">
        <v>44375</v>
      </c>
      <c r="B716" t="s">
        <v>60</v>
      </c>
      <c r="C716">
        <v>23.85</v>
      </c>
      <c r="D716">
        <v>17.87</v>
      </c>
    </row>
    <row r="717" spans="1:4" x14ac:dyDescent="0.25">
      <c r="A717" s="1">
        <v>44375</v>
      </c>
      <c r="B717" t="s">
        <v>62</v>
      </c>
      <c r="C717">
        <v>20.62</v>
      </c>
      <c r="D717">
        <v>19.559999999999999</v>
      </c>
    </row>
    <row r="718" spans="1:4" x14ac:dyDescent="0.25">
      <c r="A718" s="1">
        <v>44376</v>
      </c>
      <c r="B718" t="s">
        <v>56</v>
      </c>
      <c r="C718">
        <f>33.11+3.28</f>
        <v>36.39</v>
      </c>
      <c r="D718">
        <v>31.15</v>
      </c>
    </row>
    <row r="719" spans="1:4" x14ac:dyDescent="0.25">
      <c r="A719" s="1">
        <v>44376</v>
      </c>
      <c r="B719" t="s">
        <v>58</v>
      </c>
      <c r="C719">
        <v>39.75</v>
      </c>
      <c r="D719">
        <v>39.630000000000003</v>
      </c>
    </row>
    <row r="720" spans="1:4" x14ac:dyDescent="0.25">
      <c r="A720" s="1">
        <v>44376</v>
      </c>
      <c r="B720" t="s">
        <v>60</v>
      </c>
      <c r="C720">
        <v>16.13</v>
      </c>
      <c r="D720">
        <v>28.08</v>
      </c>
    </row>
    <row r="721" spans="1:4" x14ac:dyDescent="0.25">
      <c r="A721" s="1">
        <v>44376</v>
      </c>
      <c r="B721" t="s">
        <v>62</v>
      </c>
      <c r="C721">
        <v>21.05</v>
      </c>
      <c r="D721">
        <v>19.399999999999999</v>
      </c>
    </row>
    <row r="722" spans="1:4" x14ac:dyDescent="0.25">
      <c r="A722" s="1">
        <v>44378</v>
      </c>
      <c r="B722" t="s">
        <v>56</v>
      </c>
      <c r="C722">
        <f>29.6+6.05</f>
        <v>35.65</v>
      </c>
      <c r="D722">
        <v>30.36</v>
      </c>
    </row>
    <row r="723" spans="1:4" x14ac:dyDescent="0.25">
      <c r="A723" s="1">
        <v>44378</v>
      </c>
      <c r="B723" t="s">
        <v>58</v>
      </c>
      <c r="C723">
        <v>42.98</v>
      </c>
      <c r="D723">
        <v>28.17</v>
      </c>
    </row>
    <row r="724" spans="1:4" x14ac:dyDescent="0.25">
      <c r="A724" s="1">
        <v>44378</v>
      </c>
      <c r="B724" t="s">
        <v>60</v>
      </c>
      <c r="C724">
        <v>12.7</v>
      </c>
      <c r="D724">
        <v>18.010000000000002</v>
      </c>
    </row>
    <row r="725" spans="1:4" x14ac:dyDescent="0.25">
      <c r="A725" s="1">
        <v>44378</v>
      </c>
      <c r="B725" t="s">
        <v>62</v>
      </c>
      <c r="C725">
        <v>17.899999999999999</v>
      </c>
      <c r="D725">
        <v>30.45</v>
      </c>
    </row>
    <row r="726" spans="1:4" x14ac:dyDescent="0.25">
      <c r="A726" s="1">
        <v>44379</v>
      </c>
      <c r="B726" t="s">
        <v>56</v>
      </c>
      <c r="C726">
        <f>30.5+3.8</f>
        <v>34.299999999999997</v>
      </c>
      <c r="D726">
        <v>17.7</v>
      </c>
    </row>
    <row r="727" spans="1:4" x14ac:dyDescent="0.25">
      <c r="A727" s="1">
        <v>44379</v>
      </c>
      <c r="B727" t="s">
        <v>58</v>
      </c>
      <c r="C727">
        <v>33.880000000000003</v>
      </c>
      <c r="D727">
        <v>30.67</v>
      </c>
    </row>
    <row r="728" spans="1:4" x14ac:dyDescent="0.25">
      <c r="A728" s="1">
        <v>44379</v>
      </c>
      <c r="B728" t="s">
        <v>60</v>
      </c>
      <c r="C728">
        <v>15.33</v>
      </c>
      <c r="D728">
        <v>16.309999999999999</v>
      </c>
    </row>
    <row r="729" spans="1:4" x14ac:dyDescent="0.25">
      <c r="A729" s="1">
        <v>44379</v>
      </c>
      <c r="B729" t="s">
        <v>62</v>
      </c>
      <c r="C729">
        <v>21</v>
      </c>
      <c r="D729">
        <v>17</v>
      </c>
    </row>
    <row r="730" spans="1:4" x14ac:dyDescent="0.25">
      <c r="A730" s="1">
        <v>44380</v>
      </c>
      <c r="B730" t="s">
        <v>56</v>
      </c>
      <c r="C730">
        <f>26.23+1.43</f>
        <v>27.66</v>
      </c>
      <c r="D730">
        <v>31</v>
      </c>
    </row>
    <row r="731" spans="1:4" x14ac:dyDescent="0.25">
      <c r="A731" s="1">
        <v>44380</v>
      </c>
      <c r="B731" t="s">
        <v>58</v>
      </c>
      <c r="C731">
        <v>45.71</v>
      </c>
      <c r="D731">
        <v>27.68</v>
      </c>
    </row>
    <row r="732" spans="1:4" x14ac:dyDescent="0.25">
      <c r="A732" s="1">
        <v>44380</v>
      </c>
      <c r="B732" t="s">
        <v>60</v>
      </c>
      <c r="C732">
        <v>10.63</v>
      </c>
      <c r="D732">
        <v>22.33</v>
      </c>
    </row>
    <row r="733" spans="1:4" x14ac:dyDescent="0.25">
      <c r="A733" s="1">
        <v>44380</v>
      </c>
      <c r="B733" t="s">
        <v>62</v>
      </c>
      <c r="C733">
        <v>16.079999999999998</v>
      </c>
      <c r="D733">
        <v>17.670000000000002</v>
      </c>
    </row>
    <row r="734" spans="1:4" x14ac:dyDescent="0.25">
      <c r="A734" s="1">
        <v>44382</v>
      </c>
      <c r="B734" t="s">
        <v>62</v>
      </c>
      <c r="C734">
        <v>22.9</v>
      </c>
      <c r="D734">
        <v>20.72</v>
      </c>
    </row>
    <row r="735" spans="1:4" x14ac:dyDescent="0.25">
      <c r="A735" s="1">
        <v>44383</v>
      </c>
      <c r="B735" t="s">
        <v>62</v>
      </c>
      <c r="C735">
        <v>17.899999999999999</v>
      </c>
      <c r="D735">
        <v>28.89</v>
      </c>
    </row>
    <row r="736" spans="1:4" x14ac:dyDescent="0.25">
      <c r="A736" s="1">
        <v>44385</v>
      </c>
      <c r="B736" t="s">
        <v>62</v>
      </c>
      <c r="C736">
        <v>17.63</v>
      </c>
      <c r="D736">
        <v>14.32</v>
      </c>
    </row>
    <row r="737" spans="1:4" x14ac:dyDescent="0.25">
      <c r="A737" s="1">
        <v>44386</v>
      </c>
      <c r="B737" t="s">
        <v>62</v>
      </c>
      <c r="C737">
        <v>15.62</v>
      </c>
      <c r="D737">
        <v>21.24</v>
      </c>
    </row>
    <row r="738" spans="1:4" x14ac:dyDescent="0.25">
      <c r="A738" s="1">
        <v>44386</v>
      </c>
      <c r="B738" t="s">
        <v>60</v>
      </c>
      <c r="C738">
        <v>12.25</v>
      </c>
      <c r="D738">
        <v>16.25</v>
      </c>
    </row>
    <row r="739" spans="1:4" x14ac:dyDescent="0.25">
      <c r="A739" s="1">
        <v>44386</v>
      </c>
      <c r="B739" t="s">
        <v>58</v>
      </c>
      <c r="C739">
        <v>32.380000000000003</v>
      </c>
      <c r="D739">
        <v>27.55</v>
      </c>
    </row>
    <row r="740" spans="1:4" x14ac:dyDescent="0.25">
      <c r="A740" s="1">
        <v>44386</v>
      </c>
      <c r="B740" t="s">
        <v>56</v>
      </c>
      <c r="C740">
        <f>30.52+5.03</f>
        <v>35.549999999999997</v>
      </c>
      <c r="D740">
        <v>18.89</v>
      </c>
    </row>
    <row r="741" spans="1:4" x14ac:dyDescent="0.25">
      <c r="A741" s="1">
        <v>44387</v>
      </c>
      <c r="B741" t="s">
        <v>56</v>
      </c>
      <c r="C741">
        <f>19.18+2.67</f>
        <v>21.85</v>
      </c>
      <c r="D741">
        <v>37.4</v>
      </c>
    </row>
    <row r="742" spans="1:4" x14ac:dyDescent="0.25">
      <c r="A742" s="1">
        <v>44387</v>
      </c>
      <c r="B742" t="s">
        <v>58</v>
      </c>
      <c r="C742">
        <v>29.87</v>
      </c>
      <c r="D742">
        <v>33.619999999999997</v>
      </c>
    </row>
    <row r="743" spans="1:4" x14ac:dyDescent="0.25">
      <c r="A743" s="1">
        <v>44387</v>
      </c>
      <c r="B743" t="s">
        <v>60</v>
      </c>
      <c r="C743">
        <v>16.28</v>
      </c>
      <c r="D743">
        <v>24.26</v>
      </c>
    </row>
    <row r="744" spans="1:4" x14ac:dyDescent="0.25">
      <c r="A744" s="1">
        <v>44387</v>
      </c>
      <c r="B744" t="s">
        <v>62</v>
      </c>
      <c r="C744">
        <v>15.62</v>
      </c>
      <c r="D744">
        <v>21.24</v>
      </c>
    </row>
    <row r="745" spans="1:4" x14ac:dyDescent="0.25">
      <c r="A745" s="1">
        <v>44383</v>
      </c>
      <c r="B745" t="s">
        <v>56</v>
      </c>
      <c r="C745">
        <v>27.45</v>
      </c>
      <c r="D745">
        <v>26.63</v>
      </c>
    </row>
    <row r="746" spans="1:4" x14ac:dyDescent="0.25">
      <c r="A746" s="1">
        <v>44383</v>
      </c>
      <c r="B746" t="s">
        <v>58</v>
      </c>
      <c r="C746">
        <v>31.3</v>
      </c>
      <c r="D746">
        <v>39.479999999999997</v>
      </c>
    </row>
    <row r="747" spans="1:4" x14ac:dyDescent="0.25">
      <c r="A747" s="1">
        <v>44383</v>
      </c>
      <c r="B747" t="s">
        <v>60</v>
      </c>
      <c r="C747">
        <v>18.399999999999999</v>
      </c>
      <c r="D747">
        <v>18.68</v>
      </c>
    </row>
    <row r="748" spans="1:4" x14ac:dyDescent="0.25">
      <c r="A748" s="1">
        <v>44384</v>
      </c>
      <c r="B748" t="s">
        <v>60</v>
      </c>
      <c r="C748">
        <v>17.899999999999999</v>
      </c>
      <c r="D748">
        <v>21.19</v>
      </c>
    </row>
    <row r="749" spans="1:4" x14ac:dyDescent="0.25">
      <c r="A749" s="1">
        <v>44384</v>
      </c>
      <c r="B749" t="s">
        <v>58</v>
      </c>
      <c r="C749">
        <v>29.88</v>
      </c>
      <c r="D749">
        <v>36.9</v>
      </c>
    </row>
    <row r="750" spans="1:4" x14ac:dyDescent="0.25">
      <c r="A750" s="1">
        <v>44384</v>
      </c>
      <c r="B750" t="s">
        <v>56</v>
      </c>
      <c r="C750">
        <v>25.99</v>
      </c>
      <c r="D750">
        <v>36.49</v>
      </c>
    </row>
    <row r="751" spans="1:4" x14ac:dyDescent="0.25">
      <c r="A751" s="1">
        <v>44389</v>
      </c>
      <c r="B751" t="s">
        <v>56</v>
      </c>
      <c r="C751">
        <f>24.9+4.98</f>
        <v>29.88</v>
      </c>
      <c r="D751">
        <v>24.93</v>
      </c>
    </row>
    <row r="752" spans="1:4" x14ac:dyDescent="0.25">
      <c r="A752" s="1">
        <v>44389</v>
      </c>
      <c r="B752" t="s">
        <v>58</v>
      </c>
      <c r="C752">
        <v>27.78</v>
      </c>
      <c r="D752">
        <v>27.23</v>
      </c>
    </row>
    <row r="753" spans="1:4" x14ac:dyDescent="0.25">
      <c r="A753" s="1">
        <v>44389</v>
      </c>
      <c r="B753" t="s">
        <v>60</v>
      </c>
      <c r="C753">
        <v>18.829999999999998</v>
      </c>
      <c r="D753">
        <v>16.079999999999998</v>
      </c>
    </row>
    <row r="754" spans="1:4" x14ac:dyDescent="0.25">
      <c r="A754" s="1">
        <v>44389</v>
      </c>
      <c r="B754" t="s">
        <v>62</v>
      </c>
      <c r="C754">
        <v>18.62</v>
      </c>
      <c r="D754">
        <v>21.27</v>
      </c>
    </row>
    <row r="755" spans="1:4" x14ac:dyDescent="0.25">
      <c r="A755" s="1">
        <v>44390</v>
      </c>
      <c r="B755" t="s">
        <v>56</v>
      </c>
      <c r="C755">
        <f>23.65+2.35</f>
        <v>26</v>
      </c>
      <c r="D755">
        <v>31.98</v>
      </c>
    </row>
    <row r="756" spans="1:4" x14ac:dyDescent="0.25">
      <c r="A756" s="1">
        <v>44390</v>
      </c>
      <c r="B756" t="s">
        <v>58</v>
      </c>
      <c r="C756">
        <v>31.85</v>
      </c>
      <c r="D756">
        <f>8.03+12+8+7.35</f>
        <v>35.380000000000003</v>
      </c>
    </row>
    <row r="757" spans="1:4" x14ac:dyDescent="0.25">
      <c r="A757" s="1">
        <v>44390</v>
      </c>
      <c r="B757" t="s">
        <v>60</v>
      </c>
      <c r="C757">
        <v>18.27</v>
      </c>
      <c r="D757">
        <v>25.85</v>
      </c>
    </row>
    <row r="758" spans="1:4" x14ac:dyDescent="0.25">
      <c r="A758" s="1">
        <v>44390</v>
      </c>
      <c r="B758" t="s">
        <v>62</v>
      </c>
      <c r="C758">
        <v>19.38</v>
      </c>
      <c r="D758">
        <v>19</v>
      </c>
    </row>
    <row r="759" spans="1:4" x14ac:dyDescent="0.25">
      <c r="A759" s="1">
        <v>44392</v>
      </c>
      <c r="B759" t="s">
        <v>60</v>
      </c>
      <c r="C759">
        <v>11.1</v>
      </c>
      <c r="D759">
        <v>17.829999999999998</v>
      </c>
    </row>
    <row r="760" spans="1:4" x14ac:dyDescent="0.25">
      <c r="A760" s="1">
        <v>44392</v>
      </c>
      <c r="B760" t="s">
        <v>62</v>
      </c>
      <c r="C760">
        <v>15.17</v>
      </c>
      <c r="D760">
        <v>22.53</v>
      </c>
    </row>
    <row r="761" spans="1:4" x14ac:dyDescent="0.25">
      <c r="A761" s="1">
        <v>44392</v>
      </c>
      <c r="B761" t="s">
        <v>58</v>
      </c>
      <c r="C761">
        <v>28.77</v>
      </c>
      <c r="D761">
        <v>29.35</v>
      </c>
    </row>
    <row r="762" spans="1:4" x14ac:dyDescent="0.25">
      <c r="A762" s="1">
        <v>44392</v>
      </c>
      <c r="B762" t="s">
        <v>56</v>
      </c>
      <c r="C762">
        <f>18.16+4.72</f>
        <v>22.88</v>
      </c>
      <c r="D762">
        <v>18.72</v>
      </c>
    </row>
    <row r="763" spans="1:4" x14ac:dyDescent="0.25">
      <c r="A763" s="1">
        <v>44393</v>
      </c>
      <c r="B763" t="s">
        <v>56</v>
      </c>
      <c r="C763">
        <f>19.35+2.75</f>
        <v>22.1</v>
      </c>
      <c r="D763">
        <v>16.3</v>
      </c>
    </row>
    <row r="764" spans="1:4" x14ac:dyDescent="0.25">
      <c r="A764" s="1">
        <v>44393</v>
      </c>
      <c r="B764" t="s">
        <v>58</v>
      </c>
      <c r="C764">
        <v>18.61</v>
      </c>
      <c r="D764">
        <v>20.75</v>
      </c>
    </row>
    <row r="765" spans="1:4" x14ac:dyDescent="0.25">
      <c r="A765" s="1">
        <v>44393</v>
      </c>
      <c r="B765" t="s">
        <v>60</v>
      </c>
      <c r="C765">
        <v>14.57</v>
      </c>
      <c r="D765">
        <v>14.5</v>
      </c>
    </row>
    <row r="766" spans="1:4" x14ac:dyDescent="0.25">
      <c r="A766" s="1">
        <v>44393</v>
      </c>
      <c r="B766" t="s">
        <v>62</v>
      </c>
      <c r="C766">
        <v>13.65</v>
      </c>
      <c r="D766">
        <v>12.8</v>
      </c>
    </row>
    <row r="767" spans="1:4" x14ac:dyDescent="0.25">
      <c r="A767" s="1">
        <v>44394</v>
      </c>
      <c r="B767" t="s">
        <v>56</v>
      </c>
      <c r="C767">
        <f>17.83+1.33</f>
        <v>19.159999999999997</v>
      </c>
      <c r="D767">
        <v>26.9</v>
      </c>
    </row>
    <row r="768" spans="1:4" x14ac:dyDescent="0.25">
      <c r="A768" s="1">
        <v>44394</v>
      </c>
      <c r="B768" t="s">
        <v>58</v>
      </c>
      <c r="C768">
        <v>29.15</v>
      </c>
      <c r="D768">
        <v>36</v>
      </c>
    </row>
    <row r="769" spans="1:4" x14ac:dyDescent="0.25">
      <c r="A769" s="1">
        <v>44394</v>
      </c>
      <c r="B769" t="s">
        <v>60</v>
      </c>
      <c r="C769">
        <v>9.5</v>
      </c>
      <c r="D769">
        <v>34.200000000000003</v>
      </c>
    </row>
    <row r="770" spans="1:4" x14ac:dyDescent="0.25">
      <c r="A770" s="1">
        <v>44394</v>
      </c>
      <c r="B770" t="s">
        <v>62</v>
      </c>
      <c r="C770">
        <v>14.63</v>
      </c>
      <c r="D770">
        <v>25.52</v>
      </c>
    </row>
    <row r="771" spans="1:4" x14ac:dyDescent="0.25">
      <c r="A771" s="1">
        <v>44396</v>
      </c>
      <c r="B771" t="s">
        <v>56</v>
      </c>
      <c r="C771">
        <f>21.68+4.32</f>
        <v>26</v>
      </c>
      <c r="D771">
        <v>26.33</v>
      </c>
    </row>
    <row r="772" spans="1:4" x14ac:dyDescent="0.25">
      <c r="A772" s="1">
        <v>44396</v>
      </c>
      <c r="B772" t="s">
        <v>58</v>
      </c>
      <c r="C772">
        <v>26.5</v>
      </c>
      <c r="D772">
        <v>25.43</v>
      </c>
    </row>
    <row r="773" spans="1:4" x14ac:dyDescent="0.25">
      <c r="A773" s="1">
        <v>44396</v>
      </c>
      <c r="B773" t="s">
        <v>60</v>
      </c>
      <c r="C773">
        <v>18.73</v>
      </c>
      <c r="D773">
        <v>18.77</v>
      </c>
    </row>
    <row r="774" spans="1:4" x14ac:dyDescent="0.25">
      <c r="A774" s="1">
        <v>44396</v>
      </c>
      <c r="B774" t="s">
        <v>62</v>
      </c>
      <c r="C774">
        <v>18.68</v>
      </c>
      <c r="D774">
        <v>17.329999999999998</v>
      </c>
    </row>
    <row r="775" spans="1:4" x14ac:dyDescent="0.25">
      <c r="A775" s="1">
        <v>44397</v>
      </c>
      <c r="B775" t="s">
        <v>56</v>
      </c>
      <c r="C775">
        <f>23.73+2.35</f>
        <v>26.080000000000002</v>
      </c>
      <c r="D775">
        <v>32.25</v>
      </c>
    </row>
    <row r="776" spans="1:4" x14ac:dyDescent="0.25">
      <c r="A776" s="1">
        <v>44397</v>
      </c>
      <c r="B776" t="s">
        <v>58</v>
      </c>
      <c r="C776">
        <v>28.83</v>
      </c>
      <c r="D776">
        <v>36.36</v>
      </c>
    </row>
    <row r="777" spans="1:4" x14ac:dyDescent="0.25">
      <c r="A777" s="1">
        <v>44397</v>
      </c>
      <c r="B777" t="s">
        <v>60</v>
      </c>
      <c r="C777">
        <v>12.3</v>
      </c>
      <c r="D777">
        <v>27.15</v>
      </c>
    </row>
    <row r="778" spans="1:4" x14ac:dyDescent="0.25">
      <c r="A778" s="1">
        <v>44397</v>
      </c>
      <c r="B778" t="s">
        <v>62</v>
      </c>
      <c r="C778">
        <v>28.5</v>
      </c>
      <c r="D778">
        <v>24.49</v>
      </c>
    </row>
    <row r="779" spans="1:4" x14ac:dyDescent="0.25">
      <c r="A779" s="1">
        <v>44399</v>
      </c>
      <c r="B779" t="s">
        <v>56</v>
      </c>
      <c r="C779">
        <f>19.05+5.4</f>
        <v>24.450000000000003</v>
      </c>
      <c r="D779">
        <v>22.33</v>
      </c>
    </row>
    <row r="780" spans="1:4" x14ac:dyDescent="0.25">
      <c r="A780" s="1">
        <v>44399</v>
      </c>
      <c r="B780" t="s">
        <v>58</v>
      </c>
      <c r="C780">
        <v>29.33</v>
      </c>
      <c r="D780">
        <v>29.77</v>
      </c>
    </row>
    <row r="781" spans="1:4" x14ac:dyDescent="0.25">
      <c r="A781" s="1">
        <v>44399</v>
      </c>
      <c r="B781" t="s">
        <v>60</v>
      </c>
      <c r="C781">
        <v>15.17</v>
      </c>
      <c r="D781">
        <v>18.010000000000002</v>
      </c>
    </row>
    <row r="782" spans="1:4" x14ac:dyDescent="0.25">
      <c r="A782" s="1">
        <v>44399</v>
      </c>
      <c r="B782" t="s">
        <v>62</v>
      </c>
      <c r="C782">
        <v>14.83</v>
      </c>
      <c r="D782">
        <v>18.670000000000002</v>
      </c>
    </row>
    <row r="783" spans="1:4" x14ac:dyDescent="0.25">
      <c r="A783" s="1">
        <v>44400</v>
      </c>
      <c r="B783" t="s">
        <v>56</v>
      </c>
      <c r="C783">
        <f>20.86+2.96</f>
        <v>23.82</v>
      </c>
      <c r="D783">
        <v>19.420000000000002</v>
      </c>
    </row>
    <row r="784" spans="1:4" x14ac:dyDescent="0.25">
      <c r="A784" s="1">
        <v>44400</v>
      </c>
      <c r="B784" t="s">
        <v>58</v>
      </c>
      <c r="C784">
        <v>19.71</v>
      </c>
      <c r="D784">
        <v>23.73</v>
      </c>
    </row>
    <row r="785" spans="1:4" x14ac:dyDescent="0.25">
      <c r="A785" s="1">
        <v>44400</v>
      </c>
      <c r="B785" t="s">
        <v>60</v>
      </c>
      <c r="C785">
        <v>12.96</v>
      </c>
      <c r="D785">
        <v>19.88</v>
      </c>
    </row>
    <row r="786" spans="1:4" x14ac:dyDescent="0.25">
      <c r="A786" s="1">
        <v>44400</v>
      </c>
      <c r="B786" t="s">
        <v>62</v>
      </c>
      <c r="C786">
        <v>15.8</v>
      </c>
      <c r="D786">
        <v>17.41</v>
      </c>
    </row>
    <row r="787" spans="1:4" x14ac:dyDescent="0.25">
      <c r="A787" s="1">
        <v>44401</v>
      </c>
      <c r="B787" t="s">
        <v>56</v>
      </c>
      <c r="C787">
        <f>18.71+1.7</f>
        <v>20.41</v>
      </c>
      <c r="D787">
        <v>28.49</v>
      </c>
    </row>
    <row r="788" spans="1:4" x14ac:dyDescent="0.25">
      <c r="A788" s="1">
        <v>44401</v>
      </c>
      <c r="B788" t="s">
        <v>58</v>
      </c>
      <c r="C788">
        <v>29.86</v>
      </c>
      <c r="D788">
        <v>29.86</v>
      </c>
    </row>
    <row r="789" spans="1:4" x14ac:dyDescent="0.25">
      <c r="A789" s="1">
        <v>44401</v>
      </c>
      <c r="B789" t="s">
        <v>60</v>
      </c>
      <c r="C789">
        <v>10.15</v>
      </c>
      <c r="D789">
        <v>17.3</v>
      </c>
    </row>
    <row r="790" spans="1:4" x14ac:dyDescent="0.25">
      <c r="A790" s="1">
        <v>44401</v>
      </c>
      <c r="B790" t="s">
        <v>62</v>
      </c>
      <c r="C790">
        <v>14.68</v>
      </c>
      <c r="D790">
        <v>18.559999999999999</v>
      </c>
    </row>
    <row r="791" spans="1:4" x14ac:dyDescent="0.25">
      <c r="A791" s="1">
        <v>44403</v>
      </c>
      <c r="B791" t="s">
        <v>56</v>
      </c>
      <c r="C791">
        <f>24.58+5.23</f>
        <v>29.81</v>
      </c>
      <c r="D791">
        <v>29.48</v>
      </c>
    </row>
    <row r="792" spans="1:4" x14ac:dyDescent="0.25">
      <c r="A792" s="1">
        <v>44403</v>
      </c>
      <c r="B792" t="s">
        <v>58</v>
      </c>
      <c r="C792">
        <v>27.26</v>
      </c>
      <c r="D792">
        <v>28.24</v>
      </c>
    </row>
    <row r="793" spans="1:4" x14ac:dyDescent="0.25">
      <c r="A793" s="1">
        <v>44403</v>
      </c>
      <c r="B793" t="s">
        <v>60</v>
      </c>
      <c r="C793">
        <v>18.73</v>
      </c>
      <c r="D793">
        <v>18.78</v>
      </c>
    </row>
    <row r="794" spans="1:4" x14ac:dyDescent="0.25">
      <c r="A794" s="1">
        <v>44403</v>
      </c>
      <c r="B794" t="s">
        <v>62</v>
      </c>
      <c r="C794">
        <v>19.28</v>
      </c>
      <c r="D794">
        <v>18.32</v>
      </c>
    </row>
    <row r="795" spans="1:4" x14ac:dyDescent="0.25">
      <c r="A795" s="1">
        <v>44404</v>
      </c>
      <c r="B795" t="s">
        <v>56</v>
      </c>
      <c r="C795">
        <f>23.71+2.5</f>
        <v>26.21</v>
      </c>
      <c r="D795">
        <v>28.5</v>
      </c>
    </row>
    <row r="796" spans="1:4" x14ac:dyDescent="0.25">
      <c r="A796" s="1">
        <v>44404</v>
      </c>
      <c r="B796" t="s">
        <v>58</v>
      </c>
      <c r="C796">
        <v>30.1</v>
      </c>
      <c r="D796">
        <v>33.54</v>
      </c>
    </row>
    <row r="797" spans="1:4" x14ac:dyDescent="0.25">
      <c r="A797" s="1">
        <v>44404</v>
      </c>
      <c r="B797" t="s">
        <v>60</v>
      </c>
      <c r="C797">
        <v>12</v>
      </c>
      <c r="D797">
        <v>24.4</v>
      </c>
    </row>
    <row r="798" spans="1:4" x14ac:dyDescent="0.25">
      <c r="A798" s="1">
        <v>44404</v>
      </c>
      <c r="B798" t="s">
        <v>62</v>
      </c>
      <c r="C798">
        <v>20.71</v>
      </c>
      <c r="D798">
        <v>20.51</v>
      </c>
    </row>
    <row r="799" spans="1:4" x14ac:dyDescent="0.25">
      <c r="A799" s="1">
        <v>44406</v>
      </c>
      <c r="B799" t="s">
        <v>56</v>
      </c>
      <c r="C799">
        <v>23.93</v>
      </c>
      <c r="D799">
        <v>25.49</v>
      </c>
    </row>
    <row r="800" spans="1:4" x14ac:dyDescent="0.25">
      <c r="A800" s="1">
        <v>44406</v>
      </c>
      <c r="B800" t="s">
        <v>60</v>
      </c>
      <c r="C800">
        <v>11.88</v>
      </c>
      <c r="D800">
        <v>12.36</v>
      </c>
    </row>
    <row r="801" spans="1:4" x14ac:dyDescent="0.25">
      <c r="A801" s="1">
        <v>44406</v>
      </c>
      <c r="B801" t="s">
        <v>58</v>
      </c>
      <c r="C801">
        <v>29.65</v>
      </c>
      <c r="D801">
        <v>32.909999999999997</v>
      </c>
    </row>
    <row r="802" spans="1:4" x14ac:dyDescent="0.25">
      <c r="A802" s="1">
        <v>44406</v>
      </c>
      <c r="B802" t="s">
        <v>62</v>
      </c>
      <c r="C802">
        <v>15.73</v>
      </c>
      <c r="D802">
        <v>19.21</v>
      </c>
    </row>
    <row r="803" spans="1:4" x14ac:dyDescent="0.25">
      <c r="A803" s="1">
        <v>44407</v>
      </c>
      <c r="B803" t="s">
        <v>56</v>
      </c>
      <c r="C803">
        <v>17.36</v>
      </c>
      <c r="D803">
        <v>21.37</v>
      </c>
    </row>
    <row r="804" spans="1:4" x14ac:dyDescent="0.25">
      <c r="A804" s="1">
        <v>44407</v>
      </c>
      <c r="B804" t="s">
        <v>58</v>
      </c>
      <c r="C804">
        <v>19.850000000000001</v>
      </c>
      <c r="D804">
        <v>22.39</v>
      </c>
    </row>
    <row r="805" spans="1:4" x14ac:dyDescent="0.25">
      <c r="A805" s="1">
        <v>44407</v>
      </c>
      <c r="B805" t="s">
        <v>60</v>
      </c>
      <c r="C805">
        <v>11.66</v>
      </c>
      <c r="D805">
        <v>16.5</v>
      </c>
    </row>
    <row r="806" spans="1:4" x14ac:dyDescent="0.25">
      <c r="A806" s="1">
        <v>44407</v>
      </c>
      <c r="B806" t="s">
        <v>62</v>
      </c>
      <c r="C806">
        <v>18.73</v>
      </c>
      <c r="D806">
        <v>20.83</v>
      </c>
    </row>
    <row r="807" spans="1:4" x14ac:dyDescent="0.25">
      <c r="A807" s="1">
        <v>44408</v>
      </c>
      <c r="B807" t="s">
        <v>56</v>
      </c>
      <c r="C807">
        <f>17.9+1.26</f>
        <v>19.16</v>
      </c>
      <c r="D807">
        <v>29.16</v>
      </c>
    </row>
    <row r="808" spans="1:4" x14ac:dyDescent="0.25">
      <c r="A808" s="1">
        <v>44408</v>
      </c>
      <c r="B808" t="s">
        <v>58</v>
      </c>
      <c r="C808">
        <v>28.25</v>
      </c>
      <c r="D808">
        <v>31.54</v>
      </c>
    </row>
    <row r="809" spans="1:4" x14ac:dyDescent="0.25">
      <c r="A809" s="1">
        <v>44408</v>
      </c>
      <c r="B809" t="s">
        <v>60</v>
      </c>
      <c r="C809">
        <v>9.6300000000000008</v>
      </c>
      <c r="D809">
        <v>13.52</v>
      </c>
    </row>
    <row r="810" spans="1:4" x14ac:dyDescent="0.25">
      <c r="A810" s="1">
        <v>44408</v>
      </c>
      <c r="B810" t="s">
        <v>62</v>
      </c>
      <c r="C810">
        <v>15.08</v>
      </c>
      <c r="D810">
        <v>16.95</v>
      </c>
    </row>
    <row r="811" spans="1:4" x14ac:dyDescent="0.25">
      <c r="A811" s="1">
        <v>44410</v>
      </c>
      <c r="B811" t="s">
        <v>56</v>
      </c>
      <c r="C811">
        <v>33.25</v>
      </c>
      <c r="D811">
        <v>31.32</v>
      </c>
    </row>
    <row r="812" spans="1:4" x14ac:dyDescent="0.25">
      <c r="A812" s="1">
        <v>44410</v>
      </c>
      <c r="B812" t="s">
        <v>58</v>
      </c>
      <c r="C812">
        <v>27.11</v>
      </c>
      <c r="D812">
        <v>32.520000000000003</v>
      </c>
    </row>
    <row r="813" spans="1:4" x14ac:dyDescent="0.25">
      <c r="A813" s="1">
        <v>44410</v>
      </c>
      <c r="B813" t="s">
        <v>60</v>
      </c>
      <c r="C813">
        <v>20.21</v>
      </c>
      <c r="D813">
        <v>17.57</v>
      </c>
    </row>
    <row r="814" spans="1:4" x14ac:dyDescent="0.25">
      <c r="A814" s="1">
        <v>44410</v>
      </c>
      <c r="B814" t="s">
        <v>62</v>
      </c>
      <c r="C814">
        <v>20.6</v>
      </c>
      <c r="D814">
        <v>24.08</v>
      </c>
    </row>
    <row r="815" spans="1:4" x14ac:dyDescent="0.25">
      <c r="A815" s="1">
        <v>44411</v>
      </c>
      <c r="B815" t="s">
        <v>56</v>
      </c>
      <c r="C815">
        <v>25.34</v>
      </c>
      <c r="D815">
        <v>30.65</v>
      </c>
    </row>
    <row r="816" spans="1:4" x14ac:dyDescent="0.25">
      <c r="A816" s="1">
        <v>44411</v>
      </c>
      <c r="B816" t="s">
        <v>58</v>
      </c>
      <c r="C816">
        <v>29.57</v>
      </c>
      <c r="D816">
        <v>31.25</v>
      </c>
    </row>
    <row r="817" spans="1:4" x14ac:dyDescent="0.25">
      <c r="A817" s="1">
        <v>44411</v>
      </c>
      <c r="B817" t="s">
        <v>60</v>
      </c>
      <c r="C817">
        <v>18.37</v>
      </c>
      <c r="D817">
        <v>26.83</v>
      </c>
    </row>
    <row r="818" spans="1:4" x14ac:dyDescent="0.25">
      <c r="A818" s="1">
        <v>44411</v>
      </c>
      <c r="B818" t="s">
        <v>62</v>
      </c>
      <c r="C818">
        <v>34.56</v>
      </c>
      <c r="D818">
        <v>20.170000000000002</v>
      </c>
    </row>
    <row r="819" spans="1:4" x14ac:dyDescent="0.25">
      <c r="A819" s="1">
        <v>44413</v>
      </c>
      <c r="B819" t="s">
        <v>56</v>
      </c>
      <c r="C819">
        <v>23.24</v>
      </c>
      <c r="D819">
        <v>23.5</v>
      </c>
    </row>
    <row r="820" spans="1:4" x14ac:dyDescent="0.25">
      <c r="A820" s="1">
        <v>44413</v>
      </c>
      <c r="B820" t="s">
        <v>58</v>
      </c>
      <c r="C820">
        <v>29.25</v>
      </c>
      <c r="D820">
        <v>31.22</v>
      </c>
    </row>
    <row r="821" spans="1:4" x14ac:dyDescent="0.25">
      <c r="A821" s="1">
        <v>44413</v>
      </c>
      <c r="B821" t="s">
        <v>60</v>
      </c>
      <c r="C821">
        <v>10.93</v>
      </c>
      <c r="D821">
        <v>15.81</v>
      </c>
    </row>
    <row r="822" spans="1:4" x14ac:dyDescent="0.25">
      <c r="A822" s="1">
        <v>44413</v>
      </c>
      <c r="B822" t="s">
        <v>62</v>
      </c>
      <c r="C822">
        <v>15.78</v>
      </c>
      <c r="D822">
        <v>14.67</v>
      </c>
    </row>
    <row r="823" spans="1:4" x14ac:dyDescent="0.25">
      <c r="A823" s="1">
        <v>44414</v>
      </c>
      <c r="B823" t="s">
        <v>56</v>
      </c>
      <c r="C823">
        <v>22.17</v>
      </c>
      <c r="D823">
        <v>17.95</v>
      </c>
    </row>
    <row r="824" spans="1:4" x14ac:dyDescent="0.25">
      <c r="A824" s="1">
        <v>44414</v>
      </c>
      <c r="B824" t="s">
        <v>58</v>
      </c>
      <c r="C824">
        <v>19.43</v>
      </c>
      <c r="D824">
        <v>20.25</v>
      </c>
    </row>
    <row r="825" spans="1:4" x14ac:dyDescent="0.25">
      <c r="A825" s="1">
        <v>44414</v>
      </c>
      <c r="B825" t="s">
        <v>60</v>
      </c>
      <c r="C825">
        <v>12.73</v>
      </c>
      <c r="D825">
        <v>16</v>
      </c>
    </row>
    <row r="826" spans="1:4" x14ac:dyDescent="0.25">
      <c r="A826" s="1">
        <v>44414</v>
      </c>
      <c r="B826" t="s">
        <v>62</v>
      </c>
      <c r="C826">
        <v>21.78</v>
      </c>
      <c r="D826">
        <v>20.079999999999998</v>
      </c>
    </row>
    <row r="827" spans="1:4" x14ac:dyDescent="0.25">
      <c r="A827" s="1">
        <v>44415</v>
      </c>
      <c r="B827" t="s">
        <v>56</v>
      </c>
      <c r="C827">
        <v>19.2</v>
      </c>
      <c r="D827">
        <v>27.67</v>
      </c>
    </row>
    <row r="828" spans="1:4" x14ac:dyDescent="0.25">
      <c r="A828" s="1">
        <v>44415</v>
      </c>
      <c r="B828" t="s">
        <v>58</v>
      </c>
      <c r="C828">
        <v>28.95</v>
      </c>
      <c r="D828">
        <v>33.56</v>
      </c>
    </row>
    <row r="829" spans="1:4" x14ac:dyDescent="0.25">
      <c r="A829" s="1">
        <v>44415</v>
      </c>
      <c r="B829" t="s">
        <v>60</v>
      </c>
      <c r="C829">
        <v>9.5299999999999994</v>
      </c>
      <c r="D829">
        <v>24.28</v>
      </c>
    </row>
    <row r="830" spans="1:4" x14ac:dyDescent="0.25">
      <c r="A830" s="1">
        <v>44415</v>
      </c>
      <c r="B830" t="s">
        <v>62</v>
      </c>
      <c r="C830">
        <v>14.68</v>
      </c>
      <c r="D830">
        <v>14.27</v>
      </c>
    </row>
    <row r="831" spans="1:4" x14ac:dyDescent="0.25">
      <c r="A831" s="1">
        <v>44417</v>
      </c>
      <c r="B831" t="s">
        <v>56</v>
      </c>
      <c r="C831">
        <f>19.42+5.07</f>
        <v>24.490000000000002</v>
      </c>
      <c r="D831">
        <v>25.7</v>
      </c>
    </row>
    <row r="832" spans="1:4" x14ac:dyDescent="0.25">
      <c r="A832" s="1">
        <v>44417</v>
      </c>
      <c r="B832" t="s">
        <v>58</v>
      </c>
      <c r="C832">
        <v>25.93</v>
      </c>
      <c r="D832">
        <v>28.1</v>
      </c>
    </row>
    <row r="833" spans="1:4" x14ac:dyDescent="0.25">
      <c r="A833" s="1">
        <v>44417</v>
      </c>
      <c r="B833" t="s">
        <v>60</v>
      </c>
      <c r="C833">
        <v>17.62</v>
      </c>
      <c r="D833">
        <v>17.7</v>
      </c>
    </row>
    <row r="834" spans="1:4" x14ac:dyDescent="0.25">
      <c r="A834" s="1">
        <v>44417</v>
      </c>
      <c r="B834" t="s">
        <v>62</v>
      </c>
      <c r="C834">
        <v>20</v>
      </c>
      <c r="D834">
        <v>21.58</v>
      </c>
    </row>
    <row r="835" spans="1:4" x14ac:dyDescent="0.25">
      <c r="A835" s="1">
        <v>44418</v>
      </c>
      <c r="B835" t="s">
        <v>56</v>
      </c>
      <c r="C835">
        <f>21.65+2.32</f>
        <v>23.97</v>
      </c>
      <c r="D835">
        <v>32.729999999999997</v>
      </c>
    </row>
    <row r="836" spans="1:4" x14ac:dyDescent="0.25">
      <c r="A836" s="1">
        <v>44418</v>
      </c>
      <c r="B836" t="s">
        <v>58</v>
      </c>
      <c r="C836">
        <v>27.97</v>
      </c>
      <c r="D836">
        <v>34.409999999999997</v>
      </c>
    </row>
    <row r="837" spans="1:4" x14ac:dyDescent="0.25">
      <c r="A837" s="1">
        <v>44418</v>
      </c>
      <c r="B837" t="s">
        <v>60</v>
      </c>
      <c r="C837">
        <v>11.58</v>
      </c>
      <c r="D837">
        <v>23.53</v>
      </c>
    </row>
    <row r="838" spans="1:4" x14ac:dyDescent="0.25">
      <c r="A838" s="1">
        <v>44418</v>
      </c>
      <c r="B838" t="s">
        <v>62</v>
      </c>
      <c r="C838">
        <v>22.55</v>
      </c>
      <c r="D838">
        <v>20.420000000000002</v>
      </c>
    </row>
    <row r="839" spans="1:4" x14ac:dyDescent="0.25">
      <c r="A839" s="1">
        <v>44420</v>
      </c>
      <c r="B839" t="s">
        <v>56</v>
      </c>
      <c r="C839">
        <f>17.22+4.92</f>
        <v>22.14</v>
      </c>
      <c r="D839">
        <v>24.68</v>
      </c>
    </row>
    <row r="840" spans="1:4" x14ac:dyDescent="0.25">
      <c r="A840" s="1">
        <v>44420</v>
      </c>
      <c r="B840" t="s">
        <v>58</v>
      </c>
      <c r="C840">
        <v>27.4</v>
      </c>
      <c r="D840">
        <v>28.53</v>
      </c>
    </row>
    <row r="841" spans="1:4" x14ac:dyDescent="0.25">
      <c r="A841" s="1">
        <v>44420</v>
      </c>
      <c r="B841" t="s">
        <v>60</v>
      </c>
      <c r="C841">
        <v>16</v>
      </c>
      <c r="D841">
        <v>16.43</v>
      </c>
    </row>
    <row r="842" spans="1:4" x14ac:dyDescent="0.25">
      <c r="A842" s="1">
        <v>44420</v>
      </c>
      <c r="B842" t="s">
        <v>62</v>
      </c>
      <c r="C842">
        <v>15.83</v>
      </c>
      <c r="D842">
        <v>28</v>
      </c>
    </row>
    <row r="843" spans="1:4" x14ac:dyDescent="0.25">
      <c r="A843" s="1">
        <v>44421</v>
      </c>
      <c r="B843" t="s">
        <v>56</v>
      </c>
      <c r="C843">
        <f>17.15+2.92</f>
        <v>20.07</v>
      </c>
      <c r="D843">
        <v>14.62</v>
      </c>
    </row>
    <row r="844" spans="1:4" x14ac:dyDescent="0.25">
      <c r="A844" s="1">
        <v>44421</v>
      </c>
      <c r="B844" t="s">
        <v>58</v>
      </c>
      <c r="C844">
        <v>17.45</v>
      </c>
      <c r="D844">
        <v>21.52</v>
      </c>
    </row>
    <row r="845" spans="1:4" x14ac:dyDescent="0.25">
      <c r="A845" s="1">
        <v>44421</v>
      </c>
      <c r="B845" t="s">
        <v>60</v>
      </c>
      <c r="C845">
        <v>12</v>
      </c>
      <c r="D845">
        <v>16.25</v>
      </c>
    </row>
    <row r="846" spans="1:4" x14ac:dyDescent="0.25">
      <c r="A846" s="1">
        <v>44421</v>
      </c>
      <c r="B846" t="s">
        <v>62</v>
      </c>
      <c r="C846">
        <v>16.399999999999999</v>
      </c>
      <c r="D846">
        <v>22.19</v>
      </c>
    </row>
    <row r="847" spans="1:4" x14ac:dyDescent="0.25">
      <c r="A847" s="1">
        <v>44422</v>
      </c>
      <c r="B847" t="s">
        <v>56</v>
      </c>
      <c r="C847">
        <f>17.78+5.66</f>
        <v>23.44</v>
      </c>
      <c r="D847">
        <v>27.03</v>
      </c>
    </row>
    <row r="848" spans="1:4" x14ac:dyDescent="0.25">
      <c r="A848" s="1">
        <v>44422</v>
      </c>
      <c r="B848" t="s">
        <v>58</v>
      </c>
      <c r="C848">
        <v>9.8699999999999992</v>
      </c>
      <c r="D848">
        <v>23.94</v>
      </c>
    </row>
    <row r="849" spans="1:4" x14ac:dyDescent="0.25">
      <c r="A849" s="1">
        <v>44422</v>
      </c>
      <c r="B849" t="s">
        <v>60</v>
      </c>
      <c r="C849">
        <v>28.35</v>
      </c>
      <c r="D849">
        <v>24.63</v>
      </c>
    </row>
    <row r="850" spans="1:4" x14ac:dyDescent="0.25">
      <c r="A850" s="1">
        <v>44422</v>
      </c>
      <c r="B850" t="s">
        <v>62</v>
      </c>
      <c r="C850">
        <v>14.73</v>
      </c>
      <c r="D850">
        <v>13.51</v>
      </c>
    </row>
    <row r="851" spans="1:4" x14ac:dyDescent="0.25">
      <c r="A851" s="1">
        <v>44424</v>
      </c>
      <c r="B851" t="s">
        <v>56</v>
      </c>
      <c r="C851">
        <v>23.15</v>
      </c>
      <c r="D851">
        <v>23.77</v>
      </c>
    </row>
    <row r="852" spans="1:4" x14ac:dyDescent="0.25">
      <c r="A852" s="1">
        <v>44424</v>
      </c>
      <c r="B852" t="s">
        <v>58</v>
      </c>
      <c r="C852">
        <v>25.52</v>
      </c>
      <c r="D852">
        <v>28.82</v>
      </c>
    </row>
    <row r="853" spans="1:4" x14ac:dyDescent="0.25">
      <c r="A853" s="1">
        <v>44424</v>
      </c>
      <c r="B853" t="s">
        <v>60</v>
      </c>
      <c r="C853">
        <v>24.23</v>
      </c>
      <c r="D853">
        <v>20.170000000000002</v>
      </c>
    </row>
    <row r="854" spans="1:4" x14ac:dyDescent="0.25">
      <c r="A854" s="1">
        <v>44424</v>
      </c>
      <c r="B854" t="s">
        <v>62</v>
      </c>
      <c r="C854">
        <v>19.149999999999999</v>
      </c>
      <c r="D854">
        <v>18.329999999999998</v>
      </c>
    </row>
    <row r="855" spans="1:4" x14ac:dyDescent="0.25">
      <c r="A855" s="1">
        <v>44425</v>
      </c>
      <c r="B855" t="s">
        <v>56</v>
      </c>
      <c r="C855">
        <v>24.31</v>
      </c>
      <c r="D855">
        <v>35.79</v>
      </c>
    </row>
    <row r="856" spans="1:4" x14ac:dyDescent="0.25">
      <c r="A856" s="1">
        <v>44425</v>
      </c>
      <c r="B856" t="s">
        <v>58</v>
      </c>
      <c r="C856">
        <v>29.68</v>
      </c>
      <c r="D856">
        <v>33.33</v>
      </c>
    </row>
    <row r="857" spans="1:4" x14ac:dyDescent="0.25">
      <c r="A857" s="1">
        <v>44425</v>
      </c>
      <c r="B857" t="s">
        <v>60</v>
      </c>
      <c r="C857">
        <v>12.71</v>
      </c>
      <c r="D857">
        <v>23.25</v>
      </c>
    </row>
    <row r="858" spans="1:4" x14ac:dyDescent="0.25">
      <c r="A858" s="1">
        <v>44425</v>
      </c>
      <c r="B858" t="s">
        <v>62</v>
      </c>
      <c r="C858">
        <v>20.6</v>
      </c>
      <c r="D858">
        <v>26.82</v>
      </c>
    </row>
    <row r="859" spans="1:4" x14ac:dyDescent="0.25">
      <c r="A859" s="1">
        <v>44427</v>
      </c>
      <c r="B859" t="s">
        <v>56</v>
      </c>
      <c r="C859">
        <v>21.06</v>
      </c>
      <c r="D859">
        <v>27.61</v>
      </c>
    </row>
    <row r="860" spans="1:4" x14ac:dyDescent="0.25">
      <c r="A860" s="1">
        <v>44427</v>
      </c>
      <c r="B860" t="s">
        <v>58</v>
      </c>
      <c r="C860">
        <v>28.3</v>
      </c>
      <c r="D860">
        <v>33.61</v>
      </c>
    </row>
    <row r="861" spans="1:4" x14ac:dyDescent="0.25">
      <c r="A861" s="1">
        <v>44427</v>
      </c>
      <c r="B861" t="s">
        <v>60</v>
      </c>
      <c r="C861">
        <v>13.13</v>
      </c>
      <c r="D861">
        <v>14.8</v>
      </c>
    </row>
    <row r="862" spans="1:4" x14ac:dyDescent="0.25">
      <c r="A862" s="1">
        <v>44427</v>
      </c>
      <c r="B862" t="s">
        <v>62</v>
      </c>
      <c r="C862">
        <v>16.75</v>
      </c>
      <c r="D862">
        <v>15.45</v>
      </c>
    </row>
    <row r="863" spans="1:4" x14ac:dyDescent="0.25">
      <c r="A863" s="1">
        <v>44428</v>
      </c>
      <c r="B863" t="s">
        <v>56</v>
      </c>
      <c r="C863">
        <f>17.5+2.56</f>
        <v>20.059999999999999</v>
      </c>
      <c r="D863">
        <v>16.739999999999998</v>
      </c>
    </row>
    <row r="864" spans="1:4" x14ac:dyDescent="0.25">
      <c r="A864" s="1">
        <v>44428</v>
      </c>
      <c r="B864" t="s">
        <v>58</v>
      </c>
      <c r="C864">
        <v>18.18</v>
      </c>
      <c r="D864">
        <v>21.68</v>
      </c>
    </row>
    <row r="865" spans="1:4" x14ac:dyDescent="0.25">
      <c r="A865" s="1">
        <v>44428</v>
      </c>
      <c r="B865" t="s">
        <v>60</v>
      </c>
      <c r="C865">
        <v>14.41</v>
      </c>
      <c r="D865">
        <v>16</v>
      </c>
    </row>
    <row r="866" spans="1:4" x14ac:dyDescent="0.25">
      <c r="A866" s="1">
        <v>44428</v>
      </c>
      <c r="B866" t="s">
        <v>62</v>
      </c>
      <c r="C866">
        <v>12.23</v>
      </c>
      <c r="D866">
        <v>26.75</v>
      </c>
    </row>
    <row r="867" spans="1:4" x14ac:dyDescent="0.25">
      <c r="A867" s="1">
        <v>44429</v>
      </c>
      <c r="B867" t="s">
        <v>56</v>
      </c>
      <c r="C867">
        <v>17.690000000000001</v>
      </c>
      <c r="D867">
        <v>24.45</v>
      </c>
    </row>
    <row r="868" spans="1:4" x14ac:dyDescent="0.25">
      <c r="A868" s="1">
        <v>44429</v>
      </c>
      <c r="B868" t="s">
        <v>58</v>
      </c>
      <c r="C868">
        <f>27.41</f>
        <v>27.41</v>
      </c>
      <c r="D868">
        <v>30.08</v>
      </c>
    </row>
    <row r="869" spans="1:4" x14ac:dyDescent="0.25">
      <c r="A869" s="1">
        <v>44429</v>
      </c>
      <c r="B869" t="s">
        <v>60</v>
      </c>
      <c r="C869">
        <v>12.25</v>
      </c>
      <c r="D869">
        <v>23.03</v>
      </c>
    </row>
    <row r="870" spans="1:4" x14ac:dyDescent="0.25">
      <c r="A870" s="1">
        <v>44429</v>
      </c>
      <c r="B870" t="s">
        <v>62</v>
      </c>
      <c r="C870">
        <v>14.96</v>
      </c>
      <c r="D870">
        <v>24.46</v>
      </c>
    </row>
    <row r="871" spans="1:4" x14ac:dyDescent="0.25">
      <c r="A871" s="1">
        <v>44431</v>
      </c>
      <c r="B871" t="s">
        <v>56</v>
      </c>
      <c r="C871">
        <v>20.41</v>
      </c>
      <c r="D871">
        <v>15.91</v>
      </c>
    </row>
    <row r="872" spans="1:4" x14ac:dyDescent="0.25">
      <c r="A872" s="1">
        <v>44431</v>
      </c>
      <c r="B872" t="s">
        <v>58</v>
      </c>
      <c r="C872">
        <v>25.8</v>
      </c>
      <c r="D872">
        <v>26.97</v>
      </c>
    </row>
    <row r="873" spans="1:4" x14ac:dyDescent="0.25">
      <c r="A873" s="1">
        <v>44431</v>
      </c>
      <c r="B873" t="s">
        <v>60</v>
      </c>
      <c r="C873">
        <v>21.1</v>
      </c>
      <c r="D873">
        <v>17.13</v>
      </c>
    </row>
    <row r="874" spans="1:4" x14ac:dyDescent="0.25">
      <c r="A874" s="1">
        <v>44431</v>
      </c>
      <c r="B874" t="s">
        <v>62</v>
      </c>
      <c r="C874">
        <v>20.8</v>
      </c>
      <c r="D874">
        <v>21.57</v>
      </c>
    </row>
    <row r="875" spans="1:4" x14ac:dyDescent="0.25">
      <c r="A875" s="1">
        <v>44432</v>
      </c>
      <c r="B875" t="s">
        <v>56</v>
      </c>
      <c r="C875">
        <v>20.48</v>
      </c>
      <c r="D875">
        <v>34.5</v>
      </c>
    </row>
    <row r="876" spans="1:4" x14ac:dyDescent="0.25">
      <c r="A876" s="1">
        <v>44432</v>
      </c>
      <c r="B876" t="s">
        <v>58</v>
      </c>
      <c r="C876">
        <v>26.98</v>
      </c>
      <c r="D876">
        <v>30.75</v>
      </c>
    </row>
    <row r="877" spans="1:4" x14ac:dyDescent="0.25">
      <c r="A877" s="1">
        <v>44432</v>
      </c>
      <c r="B877" t="s">
        <v>60</v>
      </c>
      <c r="C877">
        <v>17.66</v>
      </c>
      <c r="D877">
        <v>23.36</v>
      </c>
    </row>
    <row r="878" spans="1:4" x14ac:dyDescent="0.25">
      <c r="A878" s="1">
        <v>44432</v>
      </c>
      <c r="B878" t="s">
        <v>62</v>
      </c>
      <c r="C878">
        <v>20.63</v>
      </c>
      <c r="D878">
        <v>21.99</v>
      </c>
    </row>
    <row r="879" spans="1:4" x14ac:dyDescent="0.25">
      <c r="A879" s="1">
        <v>44434</v>
      </c>
      <c r="B879" t="s">
        <v>56</v>
      </c>
      <c r="C879">
        <f>16.13+1.13</f>
        <v>17.259999999999998</v>
      </c>
      <c r="D879">
        <v>16.670000000000002</v>
      </c>
    </row>
    <row r="880" spans="1:4" x14ac:dyDescent="0.25">
      <c r="A880" s="1">
        <v>44434</v>
      </c>
      <c r="B880" t="s">
        <v>58</v>
      </c>
      <c r="C880">
        <v>27.03</v>
      </c>
      <c r="D880">
        <v>28.53</v>
      </c>
    </row>
    <row r="881" spans="1:4" x14ac:dyDescent="0.25">
      <c r="A881" s="1">
        <v>44434</v>
      </c>
      <c r="B881" t="s">
        <v>60</v>
      </c>
      <c r="C881">
        <v>17.329999999999998</v>
      </c>
      <c r="D881">
        <v>15.19</v>
      </c>
    </row>
    <row r="882" spans="1:4" x14ac:dyDescent="0.25">
      <c r="A882" s="1">
        <v>44434</v>
      </c>
      <c r="B882" t="s">
        <v>62</v>
      </c>
      <c r="C882">
        <v>16.55</v>
      </c>
      <c r="D882">
        <v>21.7</v>
      </c>
    </row>
    <row r="883" spans="1:4" x14ac:dyDescent="0.25">
      <c r="A883" s="1">
        <v>44435</v>
      </c>
      <c r="B883" t="s">
        <v>56</v>
      </c>
      <c r="C883">
        <v>17.170000000000002</v>
      </c>
      <c r="D883">
        <v>17.420000000000002</v>
      </c>
    </row>
    <row r="884" spans="1:4" x14ac:dyDescent="0.25">
      <c r="A884" s="1">
        <v>44435</v>
      </c>
      <c r="B884" t="s">
        <v>58</v>
      </c>
      <c r="C884">
        <v>19.75</v>
      </c>
      <c r="D884">
        <v>24.72</v>
      </c>
    </row>
    <row r="885" spans="1:4" x14ac:dyDescent="0.25">
      <c r="A885" s="1">
        <v>44435</v>
      </c>
      <c r="B885" t="s">
        <v>60</v>
      </c>
      <c r="C885">
        <v>14.25</v>
      </c>
      <c r="D885">
        <v>17.46</v>
      </c>
    </row>
    <row r="886" spans="1:4" x14ac:dyDescent="0.25">
      <c r="A886" s="1">
        <v>44435</v>
      </c>
      <c r="B886" t="s">
        <v>62</v>
      </c>
      <c r="C886">
        <v>19.55</v>
      </c>
      <c r="D886">
        <v>18.670000000000002</v>
      </c>
    </row>
    <row r="887" spans="1:4" x14ac:dyDescent="0.25">
      <c r="A887" s="1">
        <v>44436</v>
      </c>
      <c r="B887" t="s">
        <v>56</v>
      </c>
      <c r="C887">
        <f>16.75+1.11</f>
        <v>17.86</v>
      </c>
      <c r="D887">
        <v>27</v>
      </c>
    </row>
    <row r="888" spans="1:4" x14ac:dyDescent="0.25">
      <c r="A888" s="1">
        <v>44436</v>
      </c>
      <c r="B888" t="s">
        <v>58</v>
      </c>
      <c r="C888">
        <v>27.53</v>
      </c>
      <c r="D888">
        <v>33.18</v>
      </c>
    </row>
    <row r="889" spans="1:4" x14ac:dyDescent="0.25">
      <c r="A889" s="1">
        <v>44436</v>
      </c>
      <c r="B889" t="s">
        <v>60</v>
      </c>
      <c r="C889">
        <v>9.76</v>
      </c>
      <c r="D889">
        <v>27.23</v>
      </c>
    </row>
    <row r="890" spans="1:4" x14ac:dyDescent="0.25">
      <c r="A890" s="1">
        <v>44436</v>
      </c>
      <c r="B890" t="s">
        <v>62</v>
      </c>
      <c r="C890">
        <v>16.41</v>
      </c>
      <c r="D890">
        <v>19.71</v>
      </c>
    </row>
    <row r="891" spans="1:4" x14ac:dyDescent="0.25">
      <c r="A891" s="1">
        <v>44438</v>
      </c>
      <c r="B891" t="s">
        <v>56</v>
      </c>
      <c r="C891">
        <f>20.65+1.73</f>
        <v>22.38</v>
      </c>
      <c r="D891">
        <v>18.100000000000001</v>
      </c>
    </row>
    <row r="892" spans="1:4" x14ac:dyDescent="0.25">
      <c r="A892" s="1">
        <v>44438</v>
      </c>
      <c r="B892" t="s">
        <v>58</v>
      </c>
      <c r="C892">
        <v>26.56</v>
      </c>
      <c r="D892">
        <v>30.21</v>
      </c>
    </row>
    <row r="893" spans="1:4" x14ac:dyDescent="0.25">
      <c r="A893" s="1">
        <v>44438</v>
      </c>
      <c r="B893" t="s">
        <v>60</v>
      </c>
      <c r="C893">
        <v>21.1</v>
      </c>
      <c r="D893">
        <v>19.63</v>
      </c>
    </row>
    <row r="894" spans="1:4" x14ac:dyDescent="0.25">
      <c r="A894" s="1">
        <v>44438</v>
      </c>
      <c r="B894" t="s">
        <v>62</v>
      </c>
      <c r="C894">
        <v>22.9</v>
      </c>
      <c r="D894">
        <v>23.75</v>
      </c>
    </row>
    <row r="895" spans="1:4" x14ac:dyDescent="0.25">
      <c r="A895" s="1">
        <v>44439</v>
      </c>
      <c r="B895" t="s">
        <v>56</v>
      </c>
      <c r="C895">
        <v>21.2</v>
      </c>
      <c r="D895">
        <v>34.94</v>
      </c>
    </row>
    <row r="896" spans="1:4" x14ac:dyDescent="0.25">
      <c r="A896" s="1">
        <v>44439</v>
      </c>
      <c r="B896" t="s">
        <v>58</v>
      </c>
      <c r="C896">
        <v>30.38</v>
      </c>
      <c r="D896">
        <v>39.979999999999997</v>
      </c>
    </row>
    <row r="897" spans="1:4" x14ac:dyDescent="0.25">
      <c r="A897" s="1">
        <v>44439</v>
      </c>
      <c r="B897" t="s">
        <v>60</v>
      </c>
      <c r="C897">
        <v>12.28</v>
      </c>
      <c r="D897">
        <v>23.83</v>
      </c>
    </row>
    <row r="898" spans="1:4" x14ac:dyDescent="0.25">
      <c r="A898" s="1">
        <v>44439</v>
      </c>
      <c r="B898" t="s">
        <v>62</v>
      </c>
      <c r="C898">
        <v>29.22</v>
      </c>
      <c r="D898">
        <v>27.12</v>
      </c>
    </row>
    <row r="899" spans="1:4" x14ac:dyDescent="0.25">
      <c r="A899" s="1">
        <v>44441</v>
      </c>
      <c r="B899" t="s">
        <v>56</v>
      </c>
      <c r="C899">
        <f>19.35+1.45</f>
        <v>20.8</v>
      </c>
      <c r="D899">
        <v>15.66</v>
      </c>
    </row>
    <row r="900" spans="1:4" x14ac:dyDescent="0.25">
      <c r="A900" s="1">
        <v>44441</v>
      </c>
      <c r="B900" t="s">
        <v>58</v>
      </c>
      <c r="C900">
        <v>31.48</v>
      </c>
      <c r="D900">
        <v>25.73</v>
      </c>
    </row>
    <row r="901" spans="1:4" x14ac:dyDescent="0.25">
      <c r="A901" s="1">
        <v>44441</v>
      </c>
      <c r="B901" t="s">
        <v>60</v>
      </c>
      <c r="C901">
        <v>13.18</v>
      </c>
      <c r="D901">
        <v>17.170000000000002</v>
      </c>
    </row>
    <row r="902" spans="1:4" x14ac:dyDescent="0.25">
      <c r="A902" s="1">
        <v>44441</v>
      </c>
      <c r="B902" t="s">
        <v>62</v>
      </c>
      <c r="C902">
        <v>20.21</v>
      </c>
      <c r="D902">
        <v>22.42</v>
      </c>
    </row>
    <row r="903" spans="1:4" x14ac:dyDescent="0.25">
      <c r="A903" s="1">
        <v>44442</v>
      </c>
      <c r="B903" t="s">
        <v>56</v>
      </c>
      <c r="C903">
        <v>19.84</v>
      </c>
      <c r="D903">
        <v>16.239999999999998</v>
      </c>
    </row>
    <row r="904" spans="1:4" x14ac:dyDescent="0.25">
      <c r="A904" s="1">
        <v>44442</v>
      </c>
      <c r="B904" t="s">
        <v>58</v>
      </c>
      <c r="C904">
        <v>23.22</v>
      </c>
      <c r="D904">
        <v>26.02</v>
      </c>
    </row>
    <row r="905" spans="1:4" x14ac:dyDescent="0.25">
      <c r="A905" s="1">
        <v>44442</v>
      </c>
      <c r="B905" t="s">
        <v>60</v>
      </c>
      <c r="C905">
        <v>14.85</v>
      </c>
      <c r="D905">
        <v>14.9</v>
      </c>
    </row>
    <row r="906" spans="1:4" x14ac:dyDescent="0.25">
      <c r="A906" s="1">
        <v>44442</v>
      </c>
      <c r="B906" t="s">
        <v>62</v>
      </c>
      <c r="C906">
        <v>29.77</v>
      </c>
      <c r="D906">
        <v>28.91</v>
      </c>
    </row>
    <row r="907" spans="1:4" x14ac:dyDescent="0.25">
      <c r="A907" s="1">
        <v>44443</v>
      </c>
      <c r="B907" t="s">
        <v>56</v>
      </c>
      <c r="C907">
        <v>19.23</v>
      </c>
      <c r="D907">
        <v>23.89</v>
      </c>
    </row>
    <row r="908" spans="1:4" x14ac:dyDescent="0.25">
      <c r="A908" s="1">
        <v>44443</v>
      </c>
      <c r="B908" t="s">
        <v>58</v>
      </c>
      <c r="C908">
        <v>35.549999999999997</v>
      </c>
      <c r="D908">
        <v>35.909999999999997</v>
      </c>
    </row>
    <row r="909" spans="1:4" x14ac:dyDescent="0.25">
      <c r="A909" s="1">
        <v>44443</v>
      </c>
      <c r="B909" t="s">
        <v>60</v>
      </c>
      <c r="C909">
        <v>10.08</v>
      </c>
      <c r="D909">
        <v>21</v>
      </c>
    </row>
    <row r="910" spans="1:4" x14ac:dyDescent="0.25">
      <c r="A910" s="1">
        <v>44443</v>
      </c>
      <c r="B910" t="s">
        <v>62</v>
      </c>
      <c r="C910">
        <v>20.100000000000001</v>
      </c>
      <c r="D910">
        <v>18.29</v>
      </c>
    </row>
    <row r="911" spans="1:4" x14ac:dyDescent="0.25">
      <c r="A911" s="1">
        <v>44446</v>
      </c>
      <c r="B911" t="s">
        <v>56</v>
      </c>
      <c r="C911">
        <v>21.02</v>
      </c>
      <c r="D911">
        <v>19.010000000000002</v>
      </c>
    </row>
    <row r="912" spans="1:4" x14ac:dyDescent="0.25">
      <c r="A912" s="1">
        <v>44446</v>
      </c>
      <c r="B912" t="s">
        <v>58</v>
      </c>
      <c r="C912">
        <v>27.22</v>
      </c>
      <c r="D912">
        <v>28.41</v>
      </c>
    </row>
    <row r="913" spans="1:4" x14ac:dyDescent="0.25">
      <c r="A913" s="1">
        <v>44446</v>
      </c>
      <c r="B913" t="s">
        <v>60</v>
      </c>
      <c r="C913">
        <v>23.68</v>
      </c>
      <c r="D913">
        <v>22.26</v>
      </c>
    </row>
    <row r="914" spans="1:4" x14ac:dyDescent="0.25">
      <c r="A914" s="1">
        <v>44446</v>
      </c>
      <c r="B914" t="s">
        <v>62</v>
      </c>
      <c r="C914">
        <v>24.77</v>
      </c>
      <c r="D914">
        <v>30.91</v>
      </c>
    </row>
    <row r="915" spans="1:4" x14ac:dyDescent="0.25">
      <c r="A915" s="1">
        <v>44447</v>
      </c>
      <c r="B915" t="s">
        <v>56</v>
      </c>
      <c r="C915">
        <v>20.97</v>
      </c>
      <c r="D915">
        <v>23.13</v>
      </c>
    </row>
    <row r="916" spans="1:4" x14ac:dyDescent="0.25">
      <c r="A916" s="1">
        <v>44447</v>
      </c>
      <c r="B916" t="s">
        <v>58</v>
      </c>
      <c r="C916">
        <v>26.32</v>
      </c>
      <c r="D916">
        <v>33.17</v>
      </c>
    </row>
    <row r="917" spans="1:4" x14ac:dyDescent="0.25">
      <c r="A917" s="1">
        <v>44447</v>
      </c>
      <c r="B917" t="s">
        <v>60</v>
      </c>
      <c r="C917">
        <v>11.48</v>
      </c>
      <c r="D917">
        <v>15.22</v>
      </c>
    </row>
    <row r="918" spans="1:4" x14ac:dyDescent="0.25">
      <c r="A918" s="1">
        <v>44447</v>
      </c>
      <c r="B918" t="s">
        <v>62</v>
      </c>
      <c r="C918">
        <v>19.899999999999999</v>
      </c>
      <c r="D918">
        <v>27.79</v>
      </c>
    </row>
    <row r="919" spans="1:4" x14ac:dyDescent="0.25">
      <c r="A919" s="1">
        <v>44449</v>
      </c>
      <c r="B919" t="s">
        <v>56</v>
      </c>
      <c r="C919">
        <v>18.850000000000001</v>
      </c>
      <c r="D919">
        <v>16.22</v>
      </c>
    </row>
    <row r="920" spans="1:4" x14ac:dyDescent="0.25">
      <c r="A920" s="1">
        <v>44449</v>
      </c>
      <c r="B920" t="s">
        <v>58</v>
      </c>
      <c r="C920">
        <v>29.33</v>
      </c>
      <c r="D920">
        <v>23</v>
      </c>
    </row>
    <row r="921" spans="1:4" x14ac:dyDescent="0.25">
      <c r="A921" s="1">
        <v>44449</v>
      </c>
      <c r="B921" t="s">
        <v>60</v>
      </c>
      <c r="C921">
        <v>16.28</v>
      </c>
      <c r="D921">
        <v>16.760000000000002</v>
      </c>
    </row>
    <row r="922" spans="1:4" x14ac:dyDescent="0.25">
      <c r="A922" s="1">
        <v>44449</v>
      </c>
      <c r="B922" t="s">
        <v>62</v>
      </c>
      <c r="C922">
        <v>22.53</v>
      </c>
      <c r="D922">
        <v>22.25</v>
      </c>
    </row>
    <row r="923" spans="1:4" x14ac:dyDescent="0.25">
      <c r="A923" s="1">
        <v>44450</v>
      </c>
      <c r="B923" t="s">
        <v>56</v>
      </c>
      <c r="C923">
        <v>16.78</v>
      </c>
      <c r="D923">
        <v>16.739999999999998</v>
      </c>
    </row>
    <row r="924" spans="1:4" x14ac:dyDescent="0.25">
      <c r="A924" s="1">
        <v>44450</v>
      </c>
      <c r="B924" t="s">
        <v>58</v>
      </c>
      <c r="C924">
        <v>24.18</v>
      </c>
      <c r="D924">
        <v>23.19</v>
      </c>
    </row>
    <row r="925" spans="1:4" x14ac:dyDescent="0.25">
      <c r="A925" s="1">
        <v>44450</v>
      </c>
      <c r="B925" t="s">
        <v>60</v>
      </c>
      <c r="C925">
        <v>16.2</v>
      </c>
      <c r="D925">
        <v>25.27</v>
      </c>
    </row>
    <row r="926" spans="1:4" x14ac:dyDescent="0.25">
      <c r="A926" s="1">
        <v>44450</v>
      </c>
      <c r="B926" t="s">
        <v>62</v>
      </c>
      <c r="C926">
        <v>18.98</v>
      </c>
      <c r="D926">
        <v>24.5</v>
      </c>
    </row>
    <row r="927" spans="1:4" x14ac:dyDescent="0.25">
      <c r="A927" s="1">
        <v>44452</v>
      </c>
      <c r="B927" t="s">
        <v>56</v>
      </c>
      <c r="C927">
        <v>23.99</v>
      </c>
      <c r="D927">
        <v>17.55</v>
      </c>
    </row>
    <row r="928" spans="1:4" x14ac:dyDescent="0.25">
      <c r="A928" s="1">
        <v>44452</v>
      </c>
      <c r="B928" t="s">
        <v>58</v>
      </c>
      <c r="C928">
        <v>25.77</v>
      </c>
      <c r="D928">
        <v>27.34</v>
      </c>
    </row>
    <row r="929" spans="1:4" x14ac:dyDescent="0.25">
      <c r="A929" s="1">
        <v>44452</v>
      </c>
      <c r="B929" t="s">
        <v>60</v>
      </c>
      <c r="C929">
        <v>20.93</v>
      </c>
      <c r="D929">
        <v>17.760000000000002</v>
      </c>
    </row>
    <row r="930" spans="1:4" x14ac:dyDescent="0.25">
      <c r="A930" s="1">
        <v>44452</v>
      </c>
      <c r="B930" t="s">
        <v>62</v>
      </c>
      <c r="C930">
        <v>23.87</v>
      </c>
      <c r="D930">
        <v>22.96</v>
      </c>
    </row>
    <row r="931" spans="1:4" x14ac:dyDescent="0.25">
      <c r="A931" s="1">
        <v>44453</v>
      </c>
      <c r="B931" t="s">
        <v>56</v>
      </c>
      <c r="C931">
        <v>20.83</v>
      </c>
      <c r="D931">
        <v>16.829999999999998</v>
      </c>
    </row>
    <row r="932" spans="1:4" x14ac:dyDescent="0.25">
      <c r="A932" s="1">
        <v>44453</v>
      </c>
      <c r="B932" t="s">
        <v>58</v>
      </c>
      <c r="C932">
        <v>29.18</v>
      </c>
      <c r="D932">
        <v>33.18</v>
      </c>
    </row>
    <row r="933" spans="1:4" x14ac:dyDescent="0.25">
      <c r="A933" s="1">
        <v>44453</v>
      </c>
      <c r="B933" t="s">
        <v>60</v>
      </c>
      <c r="C933">
        <v>11.61</v>
      </c>
      <c r="D933">
        <v>33.090000000000003</v>
      </c>
    </row>
    <row r="934" spans="1:4" x14ac:dyDescent="0.25">
      <c r="A934" s="1">
        <v>44453</v>
      </c>
      <c r="B934" t="s">
        <v>62</v>
      </c>
      <c r="C934">
        <v>23.63</v>
      </c>
      <c r="D934">
        <v>23.69</v>
      </c>
    </row>
    <row r="935" spans="1:4" x14ac:dyDescent="0.25">
      <c r="A935" s="1">
        <v>44455</v>
      </c>
      <c r="B935" t="s">
        <v>56</v>
      </c>
      <c r="C935">
        <f>20.2+1.27</f>
        <v>21.47</v>
      </c>
      <c r="D935">
        <v>29.54</v>
      </c>
    </row>
    <row r="936" spans="1:4" x14ac:dyDescent="0.25">
      <c r="A936" s="1">
        <v>44455</v>
      </c>
      <c r="B936" t="s">
        <v>58</v>
      </c>
      <c r="C936">
        <f>26.02</f>
        <v>26.02</v>
      </c>
      <c r="D936">
        <v>25.09</v>
      </c>
    </row>
    <row r="937" spans="1:4" x14ac:dyDescent="0.25">
      <c r="A937" s="1">
        <v>44455</v>
      </c>
      <c r="B937" t="s">
        <v>60</v>
      </c>
      <c r="C937">
        <f>12.32</f>
        <v>12.32</v>
      </c>
      <c r="D937">
        <v>16.53</v>
      </c>
    </row>
    <row r="938" spans="1:4" x14ac:dyDescent="0.25">
      <c r="A938" s="1">
        <v>44455</v>
      </c>
      <c r="B938" t="s">
        <v>62</v>
      </c>
      <c r="C938">
        <v>17.38</v>
      </c>
      <c r="D938">
        <v>19.02</v>
      </c>
    </row>
    <row r="939" spans="1:4" x14ac:dyDescent="0.25">
      <c r="A939" s="1">
        <v>44456</v>
      </c>
      <c r="B939" t="s">
        <v>56</v>
      </c>
      <c r="C939">
        <v>13.73</v>
      </c>
      <c r="D939">
        <v>18</v>
      </c>
    </row>
    <row r="940" spans="1:4" x14ac:dyDescent="0.25">
      <c r="A940" s="1">
        <v>44456</v>
      </c>
      <c r="B940" t="s">
        <v>58</v>
      </c>
      <c r="C940">
        <v>14.7</v>
      </c>
      <c r="D940">
        <v>14.03</v>
      </c>
    </row>
    <row r="941" spans="1:4" x14ac:dyDescent="0.25">
      <c r="A941" s="1">
        <v>44456</v>
      </c>
      <c r="B941" t="s">
        <v>60</v>
      </c>
      <c r="C941">
        <v>14.3</v>
      </c>
      <c r="D941">
        <v>16.75</v>
      </c>
    </row>
    <row r="942" spans="1:4" x14ac:dyDescent="0.25">
      <c r="A942" s="1">
        <v>44456</v>
      </c>
      <c r="B942" t="s">
        <v>62</v>
      </c>
      <c r="C942">
        <v>17.600000000000001</v>
      </c>
      <c r="D942">
        <v>16.04</v>
      </c>
    </row>
    <row r="943" spans="1:4" x14ac:dyDescent="0.25">
      <c r="A943" s="1">
        <v>44457</v>
      </c>
      <c r="B943" t="s">
        <v>56</v>
      </c>
      <c r="C943">
        <f>13.6+1.03</f>
        <v>14.629999999999999</v>
      </c>
      <c r="D943">
        <v>25.56</v>
      </c>
    </row>
    <row r="944" spans="1:4" x14ac:dyDescent="0.25">
      <c r="A944" s="1">
        <v>44457</v>
      </c>
      <c r="B944" t="s">
        <v>58</v>
      </c>
      <c r="C944">
        <v>25.33</v>
      </c>
      <c r="D944">
        <v>24.5</v>
      </c>
    </row>
    <row r="945" spans="1:4" x14ac:dyDescent="0.25">
      <c r="A945" s="1">
        <v>44457</v>
      </c>
      <c r="B945" t="s">
        <v>60</v>
      </c>
      <c r="C945">
        <v>8.82</v>
      </c>
      <c r="D945">
        <v>19.36</v>
      </c>
    </row>
    <row r="946" spans="1:4" x14ac:dyDescent="0.25">
      <c r="A946" s="1">
        <v>44457</v>
      </c>
      <c r="B946" t="s">
        <v>62</v>
      </c>
      <c r="C946">
        <v>15.32</v>
      </c>
      <c r="D946">
        <v>29.4</v>
      </c>
    </row>
    <row r="947" spans="1:4" x14ac:dyDescent="0.25">
      <c r="A947" s="1">
        <v>44459</v>
      </c>
      <c r="B947" t="s">
        <v>56</v>
      </c>
      <c r="C947">
        <v>20.63</v>
      </c>
      <c r="D947">
        <v>17.79</v>
      </c>
    </row>
    <row r="948" spans="1:4" x14ac:dyDescent="0.25">
      <c r="A948" s="1">
        <v>44459</v>
      </c>
      <c r="B948" t="s">
        <v>58</v>
      </c>
      <c r="C948">
        <v>23.8</v>
      </c>
      <c r="D948">
        <v>27.23</v>
      </c>
    </row>
    <row r="949" spans="1:4" x14ac:dyDescent="0.25">
      <c r="A949" s="1">
        <v>44459</v>
      </c>
      <c r="B949" t="s">
        <v>60</v>
      </c>
      <c r="C949">
        <v>17.7</v>
      </c>
      <c r="D949">
        <v>17.670000000000002</v>
      </c>
    </row>
    <row r="950" spans="1:4" x14ac:dyDescent="0.25">
      <c r="A950" s="1">
        <v>44459</v>
      </c>
      <c r="B950" t="s">
        <v>62</v>
      </c>
      <c r="C950">
        <v>20.68</v>
      </c>
      <c r="D950">
        <v>22.75</v>
      </c>
    </row>
    <row r="951" spans="1:4" x14ac:dyDescent="0.25">
      <c r="A951" s="1">
        <v>44460</v>
      </c>
      <c r="B951" t="s">
        <v>56</v>
      </c>
      <c r="C951">
        <v>17.84</v>
      </c>
      <c r="D951">
        <v>34.89</v>
      </c>
    </row>
    <row r="952" spans="1:4" x14ac:dyDescent="0.25">
      <c r="A952" s="1">
        <v>44460</v>
      </c>
      <c r="B952" t="s">
        <v>58</v>
      </c>
      <c r="C952">
        <v>25.43</v>
      </c>
      <c r="D952">
        <v>27.85</v>
      </c>
    </row>
    <row r="953" spans="1:4" x14ac:dyDescent="0.25">
      <c r="A953" s="1">
        <v>44460</v>
      </c>
      <c r="B953" t="s">
        <v>60</v>
      </c>
      <c r="C953">
        <v>18.579999999999998</v>
      </c>
      <c r="D953">
        <v>31.42</v>
      </c>
    </row>
    <row r="954" spans="1:4" x14ac:dyDescent="0.25">
      <c r="A954" s="1">
        <v>44460</v>
      </c>
      <c r="B954" t="s">
        <v>62</v>
      </c>
      <c r="C954">
        <v>23.57</v>
      </c>
      <c r="D954">
        <v>22.98</v>
      </c>
    </row>
    <row r="955" spans="1:4" x14ac:dyDescent="0.25">
      <c r="A955" s="1">
        <v>44462</v>
      </c>
      <c r="B955" t="s">
        <v>56</v>
      </c>
      <c r="C955">
        <f>14.83+4.15</f>
        <v>18.98</v>
      </c>
      <c r="D955">
        <v>13.95</v>
      </c>
    </row>
    <row r="956" spans="1:4" x14ac:dyDescent="0.25">
      <c r="A956" s="1">
        <v>44462</v>
      </c>
      <c r="B956" t="s">
        <v>58</v>
      </c>
      <c r="C956">
        <v>26.52</v>
      </c>
      <c r="D956">
        <v>28.66</v>
      </c>
    </row>
    <row r="957" spans="1:4" x14ac:dyDescent="0.25">
      <c r="A957" s="1">
        <v>44462</v>
      </c>
      <c r="B957" t="s">
        <v>60</v>
      </c>
      <c r="C957">
        <v>12.47</v>
      </c>
      <c r="D957">
        <v>13.59</v>
      </c>
    </row>
    <row r="958" spans="1:4" x14ac:dyDescent="0.25">
      <c r="A958" s="1">
        <v>44462</v>
      </c>
      <c r="B958" t="s">
        <v>62</v>
      </c>
      <c r="C958">
        <v>17.93</v>
      </c>
      <c r="D958">
        <v>18.649999999999999</v>
      </c>
    </row>
    <row r="959" spans="1:4" x14ac:dyDescent="0.25">
      <c r="A959" s="1">
        <v>44463</v>
      </c>
      <c r="B959" t="s">
        <v>56</v>
      </c>
      <c r="C959">
        <f>12.22+2.05</f>
        <v>14.27</v>
      </c>
      <c r="D959">
        <v>17.399999999999999</v>
      </c>
    </row>
    <row r="960" spans="1:4" x14ac:dyDescent="0.25">
      <c r="A960" s="1">
        <v>44463</v>
      </c>
      <c r="B960" t="s">
        <v>58</v>
      </c>
      <c r="C960">
        <v>14.8</v>
      </c>
      <c r="D960">
        <v>15.71</v>
      </c>
    </row>
    <row r="961" spans="1:4" x14ac:dyDescent="0.25">
      <c r="A961" s="1">
        <v>44463</v>
      </c>
      <c r="B961" t="s">
        <v>60</v>
      </c>
      <c r="C961">
        <v>16.28</v>
      </c>
      <c r="D961">
        <v>16.899999999999999</v>
      </c>
    </row>
    <row r="962" spans="1:4" x14ac:dyDescent="0.25">
      <c r="A962" s="1">
        <v>44463</v>
      </c>
      <c r="B962" t="s">
        <v>62</v>
      </c>
      <c r="C962">
        <v>16.55</v>
      </c>
      <c r="D962">
        <v>24.58</v>
      </c>
    </row>
    <row r="963" spans="1:4" x14ac:dyDescent="0.25">
      <c r="A963" s="1">
        <v>44464</v>
      </c>
      <c r="B963" t="s">
        <v>56</v>
      </c>
      <c r="C963">
        <f>12.77+1.03</f>
        <v>13.799999999999999</v>
      </c>
      <c r="D963">
        <v>16.260000000000002</v>
      </c>
    </row>
    <row r="964" spans="1:4" x14ac:dyDescent="0.25">
      <c r="A964" s="1">
        <v>44464</v>
      </c>
      <c r="B964" t="s">
        <v>58</v>
      </c>
      <c r="C964">
        <v>24.95</v>
      </c>
      <c r="D964">
        <v>30.19</v>
      </c>
    </row>
    <row r="965" spans="1:4" x14ac:dyDescent="0.25">
      <c r="A965" s="1">
        <v>44464</v>
      </c>
      <c r="B965" t="s">
        <v>60</v>
      </c>
      <c r="C965">
        <v>9.3800000000000008</v>
      </c>
      <c r="D965">
        <v>29.83</v>
      </c>
    </row>
    <row r="966" spans="1:4" x14ac:dyDescent="0.25">
      <c r="A966" s="1">
        <v>44464</v>
      </c>
      <c r="B966" t="s">
        <v>62</v>
      </c>
      <c r="C966">
        <v>15.51</v>
      </c>
      <c r="D966">
        <v>21.41</v>
      </c>
    </row>
    <row r="967" spans="1:4" x14ac:dyDescent="0.25">
      <c r="A967" s="1">
        <v>44466</v>
      </c>
      <c r="B967" t="s">
        <v>56</v>
      </c>
      <c r="C967">
        <v>21.86</v>
      </c>
      <c r="D967">
        <v>18.16</v>
      </c>
    </row>
    <row r="968" spans="1:4" x14ac:dyDescent="0.25">
      <c r="A968" s="1">
        <v>44466</v>
      </c>
      <c r="B968" t="s">
        <v>58</v>
      </c>
      <c r="C968">
        <v>25.48</v>
      </c>
      <c r="D968">
        <v>26.85</v>
      </c>
    </row>
    <row r="969" spans="1:4" x14ac:dyDescent="0.25">
      <c r="A969" s="1">
        <v>44466</v>
      </c>
      <c r="B969" t="s">
        <v>60</v>
      </c>
      <c r="C969">
        <v>17.350000000000001</v>
      </c>
      <c r="D969">
        <v>17.46</v>
      </c>
    </row>
    <row r="970" spans="1:4" x14ac:dyDescent="0.25">
      <c r="A970" s="1">
        <v>44466</v>
      </c>
      <c r="B970" t="s">
        <v>62</v>
      </c>
      <c r="C970">
        <v>23.47</v>
      </c>
      <c r="D970">
        <v>23.4</v>
      </c>
    </row>
    <row r="971" spans="1:4" x14ac:dyDescent="0.25">
      <c r="A971" s="1">
        <v>44467</v>
      </c>
      <c r="B971" t="s">
        <v>56</v>
      </c>
      <c r="C971">
        <v>22.6</v>
      </c>
      <c r="D971">
        <v>35.72</v>
      </c>
    </row>
    <row r="972" spans="1:4" x14ac:dyDescent="0.25">
      <c r="A972" s="1">
        <v>44467</v>
      </c>
      <c r="B972" t="s">
        <v>58</v>
      </c>
      <c r="C972">
        <v>26.18</v>
      </c>
      <c r="D972">
        <v>28.25</v>
      </c>
    </row>
    <row r="973" spans="1:4" x14ac:dyDescent="0.25">
      <c r="A973" s="1">
        <v>44467</v>
      </c>
      <c r="B973" t="s">
        <v>60</v>
      </c>
      <c r="C973">
        <v>11.26</v>
      </c>
      <c r="D973">
        <v>31.95</v>
      </c>
    </row>
    <row r="974" spans="1:4" x14ac:dyDescent="0.25">
      <c r="A974" s="1">
        <v>44467</v>
      </c>
      <c r="B974" t="s">
        <v>62</v>
      </c>
      <c r="C974">
        <v>28.68</v>
      </c>
      <c r="D974">
        <v>20.079999999999998</v>
      </c>
    </row>
    <row r="975" spans="1:4" x14ac:dyDescent="0.25">
      <c r="A975" s="1">
        <v>44469</v>
      </c>
      <c r="B975" t="s">
        <v>56</v>
      </c>
      <c r="C975">
        <v>20.41</v>
      </c>
      <c r="D975">
        <v>19.420000000000002</v>
      </c>
    </row>
    <row r="976" spans="1:4" x14ac:dyDescent="0.25">
      <c r="A976" s="1">
        <v>44469</v>
      </c>
      <c r="B976" t="s">
        <v>58</v>
      </c>
      <c r="C976">
        <v>28.18</v>
      </c>
      <c r="D976">
        <v>32.44</v>
      </c>
    </row>
    <row r="977" spans="1:4" x14ac:dyDescent="0.25">
      <c r="A977" s="1">
        <v>44469</v>
      </c>
      <c r="B977" t="s">
        <v>60</v>
      </c>
      <c r="C977">
        <v>13.23</v>
      </c>
      <c r="D977">
        <v>13.73</v>
      </c>
    </row>
    <row r="978" spans="1:4" x14ac:dyDescent="0.25">
      <c r="A978" s="1">
        <v>44469</v>
      </c>
      <c r="B978" t="s">
        <v>62</v>
      </c>
      <c r="C978">
        <v>18.25</v>
      </c>
      <c r="D978">
        <v>19.420000000000002</v>
      </c>
    </row>
    <row r="979" spans="1:4" x14ac:dyDescent="0.25">
      <c r="A979" s="1">
        <v>44470</v>
      </c>
      <c r="B979" t="s">
        <v>56</v>
      </c>
      <c r="C979">
        <v>18.36</v>
      </c>
      <c r="D979">
        <v>19.43</v>
      </c>
    </row>
    <row r="980" spans="1:4" x14ac:dyDescent="0.25">
      <c r="A980" s="1">
        <v>44470</v>
      </c>
      <c r="B980" t="s">
        <v>58</v>
      </c>
      <c r="C980">
        <v>16</v>
      </c>
      <c r="D980">
        <v>22.2</v>
      </c>
    </row>
    <row r="981" spans="1:4" x14ac:dyDescent="0.25">
      <c r="A981" s="1">
        <v>44470</v>
      </c>
      <c r="B981" t="s">
        <v>60</v>
      </c>
      <c r="C981">
        <v>14.2</v>
      </c>
      <c r="D981">
        <v>14.15</v>
      </c>
    </row>
    <row r="982" spans="1:4" x14ac:dyDescent="0.25">
      <c r="A982" s="1">
        <v>44470</v>
      </c>
      <c r="B982" t="s">
        <v>62</v>
      </c>
      <c r="C982">
        <v>28.08</v>
      </c>
      <c r="D982">
        <v>24.66</v>
      </c>
    </row>
    <row r="983" spans="1:4" x14ac:dyDescent="0.25">
      <c r="A983" s="1">
        <v>44471</v>
      </c>
      <c r="B983" t="s">
        <v>56</v>
      </c>
      <c r="C983">
        <v>14.48</v>
      </c>
      <c r="D983">
        <v>26.98</v>
      </c>
    </row>
    <row r="984" spans="1:4" x14ac:dyDescent="0.25">
      <c r="A984" s="1">
        <v>44471</v>
      </c>
      <c r="B984" t="s">
        <v>58</v>
      </c>
      <c r="C984">
        <v>25.51</v>
      </c>
      <c r="D984">
        <v>22.19</v>
      </c>
    </row>
    <row r="985" spans="1:4" x14ac:dyDescent="0.25">
      <c r="A985" s="1">
        <v>44471</v>
      </c>
      <c r="B985" t="s">
        <v>60</v>
      </c>
      <c r="C985">
        <v>9.41</v>
      </c>
      <c r="D985">
        <v>24.82</v>
      </c>
    </row>
    <row r="986" spans="1:4" x14ac:dyDescent="0.25">
      <c r="A986" s="1">
        <v>44471</v>
      </c>
      <c r="B986" t="s">
        <v>62</v>
      </c>
      <c r="C986">
        <v>15.72</v>
      </c>
      <c r="D986">
        <v>21.08</v>
      </c>
    </row>
    <row r="987" spans="1:4" x14ac:dyDescent="0.25">
      <c r="A987" s="1">
        <v>44473</v>
      </c>
      <c r="B987" t="s">
        <v>56</v>
      </c>
      <c r="C987">
        <v>20.8</v>
      </c>
      <c r="D987">
        <v>19.170000000000002</v>
      </c>
    </row>
    <row r="988" spans="1:4" x14ac:dyDescent="0.25">
      <c r="A988" s="1">
        <v>44473</v>
      </c>
      <c r="B988" t="s">
        <v>58</v>
      </c>
      <c r="C988">
        <v>25.45</v>
      </c>
      <c r="D988">
        <v>25.71</v>
      </c>
    </row>
    <row r="989" spans="1:4" x14ac:dyDescent="0.25">
      <c r="A989" s="1">
        <v>44473</v>
      </c>
      <c r="B989" t="s">
        <v>60</v>
      </c>
      <c r="C989">
        <v>18.399999999999999</v>
      </c>
      <c r="D989">
        <v>17</v>
      </c>
    </row>
    <row r="990" spans="1:4" x14ac:dyDescent="0.25">
      <c r="A990" s="1">
        <v>44473</v>
      </c>
      <c r="B990" t="s">
        <v>62</v>
      </c>
      <c r="C990">
        <v>24.12</v>
      </c>
      <c r="D990">
        <v>24.75</v>
      </c>
    </row>
    <row r="991" spans="1:4" x14ac:dyDescent="0.25">
      <c r="A991" s="1">
        <v>44474</v>
      </c>
      <c r="B991" t="s">
        <v>56</v>
      </c>
      <c r="C991">
        <v>18.399999999999999</v>
      </c>
      <c r="D991">
        <v>35.61</v>
      </c>
    </row>
    <row r="992" spans="1:4" x14ac:dyDescent="0.25">
      <c r="A992" s="1">
        <v>44474</v>
      </c>
      <c r="B992" t="s">
        <v>58</v>
      </c>
      <c r="C992">
        <v>26.38</v>
      </c>
      <c r="D992">
        <v>25.47</v>
      </c>
    </row>
    <row r="993" spans="1:4" x14ac:dyDescent="0.25">
      <c r="A993" s="1">
        <v>44474</v>
      </c>
      <c r="B993" t="s">
        <v>60</v>
      </c>
      <c r="C993">
        <v>11.55</v>
      </c>
      <c r="D993">
        <v>28.24</v>
      </c>
    </row>
    <row r="994" spans="1:4" x14ac:dyDescent="0.25">
      <c r="A994" s="1">
        <v>44474</v>
      </c>
      <c r="B994" t="s">
        <v>62</v>
      </c>
      <c r="C994">
        <v>23.95</v>
      </c>
      <c r="D994">
        <v>22.33</v>
      </c>
    </row>
    <row r="995" spans="1:4" x14ac:dyDescent="0.25">
      <c r="A995" s="1">
        <v>44476</v>
      </c>
      <c r="B995" t="s">
        <v>56</v>
      </c>
      <c r="C995">
        <v>19.28</v>
      </c>
      <c r="D995">
        <v>18.52</v>
      </c>
    </row>
    <row r="996" spans="1:4" x14ac:dyDescent="0.25">
      <c r="A996" s="1">
        <v>44476</v>
      </c>
      <c r="B996" t="s">
        <v>58</v>
      </c>
      <c r="C996">
        <v>28.2</v>
      </c>
      <c r="D996">
        <v>30.8</v>
      </c>
    </row>
    <row r="997" spans="1:4" x14ac:dyDescent="0.25">
      <c r="A997" s="1">
        <v>44476</v>
      </c>
      <c r="B997" t="s">
        <v>60</v>
      </c>
      <c r="C997">
        <v>17.23</v>
      </c>
      <c r="D997">
        <v>17</v>
      </c>
    </row>
    <row r="998" spans="1:4" x14ac:dyDescent="0.25">
      <c r="A998" s="1">
        <v>44476</v>
      </c>
      <c r="B998" t="s">
        <v>62</v>
      </c>
      <c r="C998">
        <v>18.350000000000001</v>
      </c>
      <c r="D998">
        <v>34.1</v>
      </c>
    </row>
    <row r="999" spans="1:4" x14ac:dyDescent="0.25">
      <c r="A999" s="1">
        <v>44477</v>
      </c>
      <c r="B999" t="s">
        <v>56</v>
      </c>
      <c r="C999">
        <v>17.03</v>
      </c>
      <c r="D999">
        <v>19.03</v>
      </c>
    </row>
    <row r="1000" spans="1:4" x14ac:dyDescent="0.25">
      <c r="A1000" s="1">
        <v>44477</v>
      </c>
      <c r="B1000" t="s">
        <v>58</v>
      </c>
      <c r="C1000">
        <v>16.18</v>
      </c>
      <c r="D1000">
        <v>17.43</v>
      </c>
    </row>
    <row r="1001" spans="1:4" x14ac:dyDescent="0.25">
      <c r="A1001" s="1">
        <v>44477</v>
      </c>
      <c r="B1001" t="s">
        <v>60</v>
      </c>
      <c r="C1001">
        <v>14.53</v>
      </c>
      <c r="D1001">
        <v>13</v>
      </c>
    </row>
    <row r="1002" spans="1:4" x14ac:dyDescent="0.25">
      <c r="A1002" s="1">
        <v>44477</v>
      </c>
      <c r="B1002" t="s">
        <v>62</v>
      </c>
      <c r="C1002">
        <v>25.96</v>
      </c>
      <c r="D1002">
        <v>19.91</v>
      </c>
    </row>
    <row r="1003" spans="1:4" x14ac:dyDescent="0.25">
      <c r="A1003" s="1">
        <v>44478</v>
      </c>
      <c r="B1003" t="s">
        <v>56</v>
      </c>
      <c r="C1003">
        <v>13.7</v>
      </c>
      <c r="D1003">
        <v>21.5</v>
      </c>
    </row>
    <row r="1004" spans="1:4" x14ac:dyDescent="0.25">
      <c r="A1004" s="1">
        <v>44478</v>
      </c>
      <c r="B1004" t="s">
        <v>58</v>
      </c>
      <c r="C1004">
        <v>25</v>
      </c>
      <c r="D1004">
        <v>29.91</v>
      </c>
    </row>
    <row r="1005" spans="1:4" x14ac:dyDescent="0.25">
      <c r="A1005" s="1">
        <v>44478</v>
      </c>
      <c r="B1005" t="s">
        <v>60</v>
      </c>
      <c r="C1005">
        <v>9.2100000000000009</v>
      </c>
      <c r="D1005">
        <v>23.73</v>
      </c>
    </row>
    <row r="1006" spans="1:4" x14ac:dyDescent="0.25">
      <c r="A1006" s="1">
        <v>44478</v>
      </c>
      <c r="B1006" t="s">
        <v>62</v>
      </c>
      <c r="C1006">
        <v>15.7</v>
      </c>
      <c r="D1006">
        <v>23.5</v>
      </c>
    </row>
    <row r="1007" spans="1:4" x14ac:dyDescent="0.25">
      <c r="A1007" s="1">
        <v>44480</v>
      </c>
      <c r="B1007" t="s">
        <v>56</v>
      </c>
      <c r="C1007">
        <v>23.38</v>
      </c>
      <c r="D1007">
        <v>16.37</v>
      </c>
    </row>
    <row r="1008" spans="1:4" x14ac:dyDescent="0.25">
      <c r="A1008" s="1">
        <v>44480</v>
      </c>
      <c r="B1008" t="s">
        <v>58</v>
      </c>
      <c r="C1008">
        <v>24.96</v>
      </c>
      <c r="D1008">
        <v>30.67</v>
      </c>
    </row>
    <row r="1009" spans="1:4" x14ac:dyDescent="0.25">
      <c r="A1009" s="1">
        <v>44480</v>
      </c>
      <c r="B1009" t="s">
        <v>60</v>
      </c>
      <c r="C1009">
        <v>23.58</v>
      </c>
      <c r="D1009">
        <v>18.5</v>
      </c>
    </row>
    <row r="1010" spans="1:4" x14ac:dyDescent="0.25">
      <c r="A1010" s="1">
        <v>44480</v>
      </c>
      <c r="B1010" t="s">
        <v>62</v>
      </c>
      <c r="C1010">
        <v>22.6</v>
      </c>
      <c r="D1010">
        <v>16.37</v>
      </c>
    </row>
    <row r="1011" spans="1:4" x14ac:dyDescent="0.25">
      <c r="A1011" s="1">
        <v>44481</v>
      </c>
      <c r="B1011" t="s">
        <v>56</v>
      </c>
      <c r="C1011">
        <v>14.7</v>
      </c>
      <c r="D1011">
        <v>32.340000000000003</v>
      </c>
    </row>
    <row r="1012" spans="1:4" x14ac:dyDescent="0.25">
      <c r="A1012" s="1">
        <v>44481</v>
      </c>
      <c r="B1012" t="s">
        <v>58</v>
      </c>
      <c r="C1012">
        <v>26</v>
      </c>
      <c r="D1012">
        <v>27.87</v>
      </c>
    </row>
    <row r="1013" spans="1:4" x14ac:dyDescent="0.25">
      <c r="A1013" s="1">
        <v>44481</v>
      </c>
      <c r="B1013" t="s">
        <v>60</v>
      </c>
      <c r="C1013">
        <v>15.23</v>
      </c>
      <c r="D1013">
        <v>32.020000000000003</v>
      </c>
    </row>
    <row r="1014" spans="1:4" x14ac:dyDescent="0.25">
      <c r="A1014" s="1">
        <v>44481</v>
      </c>
      <c r="B1014" t="s">
        <v>62</v>
      </c>
      <c r="C1014">
        <v>31.82</v>
      </c>
      <c r="D1014">
        <v>46.72</v>
      </c>
    </row>
    <row r="1015" spans="1:4" x14ac:dyDescent="0.25">
      <c r="A1015" s="1">
        <v>44483</v>
      </c>
      <c r="B1015" t="s">
        <v>56</v>
      </c>
      <c r="C1015">
        <v>20.27</v>
      </c>
      <c r="D1015">
        <v>16.91</v>
      </c>
    </row>
    <row r="1016" spans="1:4" x14ac:dyDescent="0.25">
      <c r="A1016" s="1">
        <v>44483</v>
      </c>
      <c r="B1016" t="s">
        <v>58</v>
      </c>
      <c r="C1016">
        <v>28.18</v>
      </c>
      <c r="D1016">
        <v>32.450000000000003</v>
      </c>
    </row>
    <row r="1017" spans="1:4" x14ac:dyDescent="0.25">
      <c r="A1017" s="1">
        <v>44483</v>
      </c>
      <c r="B1017" t="s">
        <v>60</v>
      </c>
      <c r="C1017">
        <v>13.93</v>
      </c>
      <c r="D1017">
        <v>17.91</v>
      </c>
    </row>
    <row r="1018" spans="1:4" x14ac:dyDescent="0.25">
      <c r="A1018" s="1">
        <v>44483</v>
      </c>
      <c r="B1018" t="s">
        <v>62</v>
      </c>
      <c r="C1018">
        <v>19.03</v>
      </c>
      <c r="D1018">
        <v>19.5</v>
      </c>
    </row>
    <row r="1019" spans="1:4" x14ac:dyDescent="0.25">
      <c r="A1019" s="1">
        <v>44484</v>
      </c>
      <c r="B1019" t="s">
        <v>56</v>
      </c>
      <c r="C1019">
        <v>16.3</v>
      </c>
      <c r="D1019">
        <v>15.59</v>
      </c>
    </row>
    <row r="1020" spans="1:4" x14ac:dyDescent="0.25">
      <c r="A1020" s="1">
        <v>44484</v>
      </c>
      <c r="B1020" t="s">
        <v>58</v>
      </c>
      <c r="C1020">
        <v>15.37</v>
      </c>
      <c r="D1020">
        <v>20.11</v>
      </c>
    </row>
    <row r="1021" spans="1:4" x14ac:dyDescent="0.25">
      <c r="A1021" s="1">
        <v>44484</v>
      </c>
      <c r="B1021" t="s">
        <v>60</v>
      </c>
      <c r="C1021">
        <v>20.45</v>
      </c>
      <c r="D1021">
        <v>14.14</v>
      </c>
    </row>
    <row r="1022" spans="1:4" x14ac:dyDescent="0.25">
      <c r="A1022" s="1">
        <v>44484</v>
      </c>
      <c r="B1022" t="s">
        <v>62</v>
      </c>
      <c r="C1022">
        <v>19.5</v>
      </c>
      <c r="D1022">
        <v>28.65</v>
      </c>
    </row>
    <row r="1023" spans="1:4" x14ac:dyDescent="0.25">
      <c r="A1023" s="1">
        <v>44485</v>
      </c>
      <c r="B1023" t="s">
        <v>56</v>
      </c>
      <c r="C1023">
        <f>12.8+1.07</f>
        <v>13.870000000000001</v>
      </c>
      <c r="D1023">
        <v>19.03</v>
      </c>
    </row>
    <row r="1024" spans="1:4" x14ac:dyDescent="0.25">
      <c r="A1024" s="1">
        <v>44485</v>
      </c>
      <c r="B1024" t="s">
        <v>58</v>
      </c>
      <c r="C1024">
        <v>24.43</v>
      </c>
      <c r="D1024">
        <v>22.55</v>
      </c>
    </row>
    <row r="1025" spans="1:4" x14ac:dyDescent="0.25">
      <c r="A1025" s="1">
        <v>44485</v>
      </c>
      <c r="B1025" t="s">
        <v>60</v>
      </c>
      <c r="C1025">
        <v>10.75</v>
      </c>
      <c r="D1025">
        <v>34.21</v>
      </c>
    </row>
    <row r="1026" spans="1:4" x14ac:dyDescent="0.25">
      <c r="A1026" s="1">
        <v>44485</v>
      </c>
      <c r="B1026" t="s">
        <v>62</v>
      </c>
      <c r="C1026">
        <v>17.57</v>
      </c>
      <c r="D1026">
        <v>22.3</v>
      </c>
    </row>
    <row r="1027" spans="1:4" x14ac:dyDescent="0.25">
      <c r="A1027" s="1">
        <v>44487</v>
      </c>
      <c r="B1027" t="s">
        <v>56</v>
      </c>
      <c r="C1027">
        <v>20.21</v>
      </c>
      <c r="D1027">
        <v>16.43</v>
      </c>
    </row>
    <row r="1028" spans="1:4" x14ac:dyDescent="0.25">
      <c r="A1028" s="1">
        <v>44487</v>
      </c>
      <c r="B1028" t="s">
        <v>58</v>
      </c>
      <c r="C1028">
        <v>25.42</v>
      </c>
      <c r="D1028">
        <v>27.38</v>
      </c>
    </row>
    <row r="1029" spans="1:4" x14ac:dyDescent="0.25">
      <c r="A1029" s="1">
        <v>44487</v>
      </c>
      <c r="B1029" t="s">
        <v>60</v>
      </c>
      <c r="C1029">
        <v>20.38</v>
      </c>
      <c r="D1029">
        <v>18.73</v>
      </c>
    </row>
    <row r="1030" spans="1:4" x14ac:dyDescent="0.25">
      <c r="A1030" s="1">
        <v>44487</v>
      </c>
      <c r="B1030" t="s">
        <v>62</v>
      </c>
      <c r="C1030">
        <v>26.73</v>
      </c>
      <c r="D1030">
        <v>32.25</v>
      </c>
    </row>
    <row r="1031" spans="1:4" x14ac:dyDescent="0.25">
      <c r="A1031" s="1">
        <v>44488</v>
      </c>
      <c r="B1031" t="s">
        <v>56</v>
      </c>
      <c r="C1031">
        <v>17.3</v>
      </c>
      <c r="D1031">
        <v>14.54</v>
      </c>
    </row>
    <row r="1032" spans="1:4" x14ac:dyDescent="0.25">
      <c r="A1032" s="1">
        <v>44488</v>
      </c>
      <c r="B1032" t="s">
        <v>58</v>
      </c>
      <c r="C1032">
        <v>25.12</v>
      </c>
      <c r="D1032">
        <v>25.43</v>
      </c>
    </row>
    <row r="1033" spans="1:4" x14ac:dyDescent="0.25">
      <c r="A1033" s="1">
        <v>44488</v>
      </c>
      <c r="B1033" t="s">
        <v>60</v>
      </c>
      <c r="C1033">
        <v>9.42</v>
      </c>
      <c r="D1033">
        <v>8.2100000000000009</v>
      </c>
    </row>
    <row r="1034" spans="1:4" x14ac:dyDescent="0.25">
      <c r="A1034" s="1">
        <v>44488</v>
      </c>
      <c r="B1034" t="s">
        <v>62</v>
      </c>
      <c r="C1034">
        <v>21.6</v>
      </c>
      <c r="D1034">
        <v>25.09</v>
      </c>
    </row>
    <row r="1035" spans="1:4" x14ac:dyDescent="0.25">
      <c r="A1035" s="1">
        <v>44490</v>
      </c>
      <c r="B1035" t="s">
        <v>58</v>
      </c>
      <c r="C1035">
        <v>27.6</v>
      </c>
      <c r="D1035">
        <v>32.31</v>
      </c>
    </row>
    <row r="1036" spans="1:4" x14ac:dyDescent="0.25">
      <c r="A1036" s="1">
        <v>44490</v>
      </c>
      <c r="B1036" t="s">
        <v>62</v>
      </c>
      <c r="C1036">
        <v>19.53</v>
      </c>
      <c r="D1036">
        <v>30.21</v>
      </c>
    </row>
    <row r="1037" spans="1:4" x14ac:dyDescent="0.25">
      <c r="A1037" s="1">
        <v>44491</v>
      </c>
      <c r="B1037" t="s">
        <v>58</v>
      </c>
      <c r="C1037">
        <v>18.03</v>
      </c>
      <c r="D1037">
        <v>20.25</v>
      </c>
    </row>
    <row r="1038" spans="1:4" x14ac:dyDescent="0.25">
      <c r="A1038" s="1">
        <v>44491</v>
      </c>
      <c r="B1038" t="s">
        <v>62</v>
      </c>
      <c r="C1038">
        <v>28.03</v>
      </c>
      <c r="D1038">
        <v>18.329999999999998</v>
      </c>
    </row>
    <row r="1039" spans="1:4" x14ac:dyDescent="0.25">
      <c r="A1039" s="1">
        <v>44492</v>
      </c>
      <c r="B1039" t="s">
        <v>58</v>
      </c>
      <c r="C1039">
        <v>24.65</v>
      </c>
      <c r="D1039">
        <v>24.48</v>
      </c>
    </row>
    <row r="1040" spans="1:4" x14ac:dyDescent="0.25">
      <c r="A1040" s="1">
        <v>44492</v>
      </c>
      <c r="B1040" t="s">
        <v>62</v>
      </c>
      <c r="C1040">
        <v>16.68</v>
      </c>
      <c r="D1040">
        <v>23.75</v>
      </c>
    </row>
    <row r="1041" spans="1:4" x14ac:dyDescent="0.25">
      <c r="A1041" s="1">
        <v>44494</v>
      </c>
      <c r="B1041" t="s">
        <v>58</v>
      </c>
      <c r="C1041">
        <v>25.97</v>
      </c>
      <c r="D1041">
        <v>29.83</v>
      </c>
    </row>
    <row r="1042" spans="1:4" x14ac:dyDescent="0.25">
      <c r="A1042" s="1">
        <v>44494</v>
      </c>
      <c r="B1042" t="s">
        <v>62</v>
      </c>
      <c r="C1042">
        <v>29.32</v>
      </c>
      <c r="D1042">
        <v>29.25</v>
      </c>
    </row>
    <row r="1043" spans="1:4" x14ac:dyDescent="0.25">
      <c r="A1043" s="1">
        <v>44495</v>
      </c>
      <c r="B1043" t="s">
        <v>58</v>
      </c>
      <c r="C1043">
        <v>24.82</v>
      </c>
      <c r="D1043">
        <v>25.66</v>
      </c>
    </row>
    <row r="1044" spans="1:4" x14ac:dyDescent="0.25">
      <c r="A1044" s="1">
        <v>44495</v>
      </c>
      <c r="B1044" t="s">
        <v>62</v>
      </c>
      <c r="C1044">
        <v>26</v>
      </c>
      <c r="D1044">
        <v>31.74</v>
      </c>
    </row>
    <row r="1045" spans="1:4" x14ac:dyDescent="0.25">
      <c r="A1045" s="1">
        <v>44497</v>
      </c>
      <c r="B1045" t="s">
        <v>56</v>
      </c>
      <c r="C1045">
        <v>18.190000000000001</v>
      </c>
      <c r="D1045">
        <v>20.52</v>
      </c>
    </row>
    <row r="1046" spans="1:4" x14ac:dyDescent="0.25">
      <c r="A1046" s="1">
        <v>44497</v>
      </c>
      <c r="B1046" t="s">
        <v>58</v>
      </c>
      <c r="C1046">
        <v>27.45</v>
      </c>
      <c r="D1046">
        <v>29.42</v>
      </c>
    </row>
    <row r="1047" spans="1:4" x14ac:dyDescent="0.25">
      <c r="A1047" s="1">
        <v>44497</v>
      </c>
      <c r="B1047" t="s">
        <v>60</v>
      </c>
      <c r="C1047">
        <v>13.95</v>
      </c>
      <c r="D1047">
        <v>41.86</v>
      </c>
    </row>
    <row r="1048" spans="1:4" x14ac:dyDescent="0.25">
      <c r="A1048" s="1">
        <v>44497</v>
      </c>
      <c r="B1048" t="s">
        <v>62</v>
      </c>
      <c r="C1048">
        <v>19.21</v>
      </c>
      <c r="D1048">
        <v>20.350000000000001</v>
      </c>
    </row>
    <row r="1049" spans="1:4" x14ac:dyDescent="0.25">
      <c r="A1049" s="1">
        <v>44498</v>
      </c>
      <c r="B1049" t="s">
        <v>56</v>
      </c>
      <c r="C1049">
        <v>14.8</v>
      </c>
      <c r="D1049">
        <v>15.35</v>
      </c>
    </row>
    <row r="1050" spans="1:4" x14ac:dyDescent="0.25">
      <c r="A1050" s="1">
        <v>44498</v>
      </c>
      <c r="B1050" t="s">
        <v>58</v>
      </c>
      <c r="C1050">
        <v>15.82</v>
      </c>
      <c r="D1050">
        <v>17.95</v>
      </c>
    </row>
    <row r="1051" spans="1:4" x14ac:dyDescent="0.25">
      <c r="A1051" s="1">
        <v>44498</v>
      </c>
      <c r="B1051" t="s">
        <v>60</v>
      </c>
      <c r="C1051">
        <v>14.29</v>
      </c>
      <c r="D1051">
        <v>15.37</v>
      </c>
    </row>
    <row r="1052" spans="1:4" x14ac:dyDescent="0.25">
      <c r="A1052" s="1">
        <v>44498</v>
      </c>
      <c r="B1052" t="s">
        <v>62</v>
      </c>
      <c r="C1052">
        <v>19.350000000000001</v>
      </c>
      <c r="D1052">
        <v>22.05</v>
      </c>
    </row>
    <row r="1053" spans="1:4" x14ac:dyDescent="0.25">
      <c r="A1053" s="1">
        <v>44499</v>
      </c>
      <c r="B1053" t="s">
        <v>56</v>
      </c>
      <c r="C1053">
        <v>12.75</v>
      </c>
      <c r="D1053">
        <v>21.41</v>
      </c>
    </row>
    <row r="1054" spans="1:4" x14ac:dyDescent="0.25">
      <c r="A1054" s="1">
        <v>44499</v>
      </c>
      <c r="B1054" t="s">
        <v>58</v>
      </c>
      <c r="C1054">
        <v>25.17</v>
      </c>
      <c r="D1054">
        <v>19.25</v>
      </c>
    </row>
    <row r="1055" spans="1:4" x14ac:dyDescent="0.25">
      <c r="A1055" s="1">
        <v>44499</v>
      </c>
      <c r="B1055" t="s">
        <v>60</v>
      </c>
      <c r="C1055">
        <v>9.8699999999999992</v>
      </c>
      <c r="D1055">
        <v>21.47</v>
      </c>
    </row>
    <row r="1056" spans="1:4" x14ac:dyDescent="0.25">
      <c r="A1056" s="1">
        <v>44499</v>
      </c>
      <c r="B1056" t="s">
        <v>62</v>
      </c>
      <c r="C1056">
        <v>16.579999999999998</v>
      </c>
      <c r="D1056">
        <v>26.18</v>
      </c>
    </row>
    <row r="1057" spans="1:4" x14ac:dyDescent="0.25">
      <c r="A1057" s="1">
        <v>44501</v>
      </c>
      <c r="B1057" t="s">
        <v>56</v>
      </c>
      <c r="C1057">
        <f>16.95+3.47</f>
        <v>20.419999999999998</v>
      </c>
      <c r="D1057">
        <v>16.489999999999998</v>
      </c>
    </row>
    <row r="1058" spans="1:4" x14ac:dyDescent="0.25">
      <c r="A1058" s="1">
        <v>44501</v>
      </c>
      <c r="B1058" t="s">
        <v>58</v>
      </c>
      <c r="C1058">
        <v>26.58</v>
      </c>
      <c r="D1058">
        <v>30.52</v>
      </c>
    </row>
    <row r="1059" spans="1:4" x14ac:dyDescent="0.25">
      <c r="A1059" s="1">
        <v>44501</v>
      </c>
      <c r="B1059" t="s">
        <v>60</v>
      </c>
      <c r="C1059">
        <v>18.63</v>
      </c>
      <c r="D1059">
        <v>18.84</v>
      </c>
    </row>
    <row r="1060" spans="1:4" x14ac:dyDescent="0.25">
      <c r="A1060" s="1">
        <v>44501</v>
      </c>
      <c r="B1060" t="s">
        <v>62</v>
      </c>
      <c r="C1060">
        <v>25.57</v>
      </c>
      <c r="D1060">
        <v>24.43</v>
      </c>
    </row>
    <row r="1061" spans="1:4" x14ac:dyDescent="0.25">
      <c r="A1061" s="1">
        <v>44502</v>
      </c>
      <c r="B1061" t="s">
        <v>56</v>
      </c>
      <c r="C1061">
        <f>15.02+1.57</f>
        <v>16.59</v>
      </c>
      <c r="D1061">
        <v>23.6</v>
      </c>
    </row>
    <row r="1062" spans="1:4" x14ac:dyDescent="0.25">
      <c r="A1062" s="1">
        <v>44502</v>
      </c>
      <c r="B1062" t="s">
        <v>58</v>
      </c>
      <c r="C1062">
        <v>25.08</v>
      </c>
      <c r="D1062">
        <v>26.77</v>
      </c>
    </row>
    <row r="1063" spans="1:4" x14ac:dyDescent="0.25">
      <c r="A1063" s="1">
        <v>44502</v>
      </c>
      <c r="B1063" t="s">
        <v>60</v>
      </c>
      <c r="C1063">
        <v>12.4</v>
      </c>
      <c r="D1063">
        <v>35.35</v>
      </c>
    </row>
    <row r="1064" spans="1:4" x14ac:dyDescent="0.25">
      <c r="A1064" s="1">
        <v>44502</v>
      </c>
      <c r="B1064" t="s">
        <v>62</v>
      </c>
      <c r="C1064">
        <v>25.33</v>
      </c>
      <c r="D1064">
        <v>21.5</v>
      </c>
    </row>
    <row r="1065" spans="1:4" x14ac:dyDescent="0.25">
      <c r="A1065" s="1">
        <v>44504</v>
      </c>
      <c r="B1065" t="s">
        <v>56</v>
      </c>
      <c r="C1065">
        <v>20.23</v>
      </c>
      <c r="D1065">
        <v>16.03</v>
      </c>
    </row>
    <row r="1066" spans="1:4" x14ac:dyDescent="0.25">
      <c r="A1066" s="1">
        <v>44504</v>
      </c>
      <c r="B1066" t="s">
        <v>58</v>
      </c>
      <c r="C1066">
        <v>29.55</v>
      </c>
      <c r="D1066">
        <v>30.1</v>
      </c>
    </row>
    <row r="1067" spans="1:4" x14ac:dyDescent="0.25">
      <c r="A1067" s="1">
        <v>44504</v>
      </c>
      <c r="B1067" t="s">
        <v>60</v>
      </c>
      <c r="C1067">
        <v>11.96</v>
      </c>
      <c r="D1067">
        <v>15.16</v>
      </c>
    </row>
    <row r="1068" spans="1:4" x14ac:dyDescent="0.25">
      <c r="A1068" s="1">
        <v>44504</v>
      </c>
      <c r="B1068" t="s">
        <v>62</v>
      </c>
      <c r="C1068">
        <v>18.93</v>
      </c>
      <c r="D1068">
        <v>25.49</v>
      </c>
    </row>
    <row r="1069" spans="1:4" x14ac:dyDescent="0.25">
      <c r="A1069" s="1">
        <v>44505</v>
      </c>
      <c r="B1069" t="s">
        <v>56</v>
      </c>
      <c r="C1069">
        <v>15.6</v>
      </c>
      <c r="D1069">
        <v>14.08</v>
      </c>
    </row>
    <row r="1070" spans="1:4" x14ac:dyDescent="0.25">
      <c r="A1070" s="1">
        <v>44505</v>
      </c>
      <c r="B1070" t="s">
        <v>58</v>
      </c>
      <c r="C1070">
        <v>17.059999999999999</v>
      </c>
      <c r="D1070">
        <v>21.87</v>
      </c>
    </row>
    <row r="1071" spans="1:4" x14ac:dyDescent="0.25">
      <c r="A1071" s="1">
        <v>44505</v>
      </c>
      <c r="B1071" t="s">
        <v>60</v>
      </c>
      <c r="C1071">
        <v>12.8</v>
      </c>
      <c r="D1071">
        <v>15.8</v>
      </c>
    </row>
    <row r="1072" spans="1:4" x14ac:dyDescent="0.25">
      <c r="A1072" s="1">
        <v>44505</v>
      </c>
      <c r="B1072" t="s">
        <v>62</v>
      </c>
      <c r="C1072">
        <v>16.100000000000001</v>
      </c>
      <c r="D1072">
        <v>21.41</v>
      </c>
    </row>
    <row r="1073" spans="1:4" x14ac:dyDescent="0.25">
      <c r="A1073" s="1">
        <v>44506</v>
      </c>
      <c r="B1073" t="s">
        <v>56</v>
      </c>
      <c r="C1073">
        <v>12.66</v>
      </c>
      <c r="D1073">
        <v>18.690000000000001</v>
      </c>
    </row>
    <row r="1074" spans="1:4" x14ac:dyDescent="0.25">
      <c r="A1074" s="1">
        <v>44506</v>
      </c>
      <c r="B1074" t="s">
        <v>58</v>
      </c>
      <c r="C1074">
        <v>26.2</v>
      </c>
      <c r="D1074">
        <v>25.72</v>
      </c>
    </row>
    <row r="1075" spans="1:4" x14ac:dyDescent="0.25">
      <c r="A1075" s="1">
        <v>44506</v>
      </c>
      <c r="B1075" t="s">
        <v>60</v>
      </c>
      <c r="C1075">
        <v>8.27</v>
      </c>
      <c r="D1075">
        <v>22.38</v>
      </c>
    </row>
    <row r="1076" spans="1:4" x14ac:dyDescent="0.25">
      <c r="A1076" s="1">
        <v>44506</v>
      </c>
      <c r="B1076" t="s">
        <v>62</v>
      </c>
      <c r="C1076">
        <v>16.82</v>
      </c>
      <c r="D1076">
        <v>19.579999999999998</v>
      </c>
    </row>
    <row r="1077" spans="1:4" x14ac:dyDescent="0.25">
      <c r="A1077" s="1">
        <v>44508</v>
      </c>
      <c r="B1077" t="s">
        <v>56</v>
      </c>
      <c r="C1077">
        <v>19.329999999999998</v>
      </c>
      <c r="D1077">
        <v>16.989999999999998</v>
      </c>
    </row>
    <row r="1078" spans="1:4" x14ac:dyDescent="0.25">
      <c r="A1078" s="1">
        <v>44508</v>
      </c>
      <c r="B1078" t="s">
        <v>58</v>
      </c>
      <c r="C1078">
        <v>27.33</v>
      </c>
      <c r="D1078">
        <v>28.42</v>
      </c>
    </row>
    <row r="1079" spans="1:4" x14ac:dyDescent="0.25">
      <c r="A1079" s="1">
        <v>44508</v>
      </c>
      <c r="B1079" t="s">
        <v>60</v>
      </c>
      <c r="C1079">
        <v>17.72</v>
      </c>
      <c r="D1079">
        <v>16.25</v>
      </c>
    </row>
    <row r="1080" spans="1:4" x14ac:dyDescent="0.25">
      <c r="A1080" s="1">
        <v>44508</v>
      </c>
      <c r="B1080" t="s">
        <v>62</v>
      </c>
      <c r="C1080">
        <v>23.68</v>
      </c>
      <c r="D1080">
        <v>20.440000000000001</v>
      </c>
    </row>
    <row r="1081" spans="1:4" x14ac:dyDescent="0.25">
      <c r="A1081" s="1">
        <v>44509</v>
      </c>
      <c r="B1081" t="s">
        <v>56</v>
      </c>
      <c r="C1081">
        <f>17.7+1.5</f>
        <v>19.2</v>
      </c>
      <c r="D1081">
        <v>24.08</v>
      </c>
    </row>
    <row r="1082" spans="1:4" x14ac:dyDescent="0.25">
      <c r="A1082" s="1">
        <v>44509</v>
      </c>
      <c r="B1082" t="s">
        <v>58</v>
      </c>
      <c r="C1082">
        <v>26.96</v>
      </c>
      <c r="D1082">
        <v>25.97</v>
      </c>
    </row>
    <row r="1083" spans="1:4" x14ac:dyDescent="0.25">
      <c r="A1083" s="1">
        <v>44509</v>
      </c>
      <c r="B1083" t="s">
        <v>60</v>
      </c>
      <c r="C1083">
        <v>10.07</v>
      </c>
      <c r="D1083">
        <v>31.12</v>
      </c>
    </row>
    <row r="1084" spans="1:4" x14ac:dyDescent="0.25">
      <c r="A1084" s="1">
        <v>44509</v>
      </c>
      <c r="B1084" t="s">
        <v>62</v>
      </c>
      <c r="C1084">
        <v>32.47</v>
      </c>
      <c r="D1084">
        <v>37.549999999999997</v>
      </c>
    </row>
    <row r="1085" spans="1:4" x14ac:dyDescent="0.25">
      <c r="A1085" s="1">
        <v>44511</v>
      </c>
      <c r="B1085" t="s">
        <v>56</v>
      </c>
      <c r="C1085">
        <v>18.91</v>
      </c>
      <c r="D1085">
        <v>16.82</v>
      </c>
    </row>
    <row r="1086" spans="1:4" x14ac:dyDescent="0.25">
      <c r="A1086" s="1">
        <v>44511</v>
      </c>
      <c r="B1086" t="s">
        <v>58</v>
      </c>
      <c r="C1086">
        <v>29.06</v>
      </c>
      <c r="D1086">
        <v>32.99</v>
      </c>
    </row>
    <row r="1087" spans="1:4" x14ac:dyDescent="0.25">
      <c r="A1087" s="1">
        <v>44511</v>
      </c>
      <c r="B1087" t="s">
        <v>60</v>
      </c>
      <c r="C1087">
        <v>15.95</v>
      </c>
      <c r="D1087">
        <v>17.829999999999998</v>
      </c>
    </row>
    <row r="1088" spans="1:4" x14ac:dyDescent="0.25">
      <c r="A1088" s="1">
        <v>44511</v>
      </c>
      <c r="B1088" t="s">
        <v>62</v>
      </c>
      <c r="C1088">
        <v>20.71</v>
      </c>
      <c r="D1088">
        <v>13</v>
      </c>
    </row>
    <row r="1089" spans="1:4" x14ac:dyDescent="0.25">
      <c r="A1089" s="1">
        <v>44512</v>
      </c>
      <c r="B1089" t="s">
        <v>56</v>
      </c>
      <c r="C1089">
        <v>14.15</v>
      </c>
      <c r="D1089">
        <v>16.510000000000002</v>
      </c>
    </row>
    <row r="1090" spans="1:4" x14ac:dyDescent="0.25">
      <c r="A1090" s="1">
        <v>44512</v>
      </c>
      <c r="B1090" t="s">
        <v>58</v>
      </c>
      <c r="C1090">
        <v>17.68</v>
      </c>
      <c r="D1090">
        <v>20.12</v>
      </c>
    </row>
    <row r="1091" spans="1:4" x14ac:dyDescent="0.25">
      <c r="A1091" s="1">
        <v>44512</v>
      </c>
      <c r="B1091" t="s">
        <v>60</v>
      </c>
      <c r="C1091">
        <v>12.35</v>
      </c>
      <c r="D1091">
        <v>15.91</v>
      </c>
    </row>
    <row r="1092" spans="1:4" x14ac:dyDescent="0.25">
      <c r="A1092" s="1">
        <v>44512</v>
      </c>
      <c r="B1092" t="s">
        <v>62</v>
      </c>
      <c r="C1092">
        <v>20.95</v>
      </c>
      <c r="D1092">
        <v>24.79</v>
      </c>
    </row>
    <row r="1093" spans="1:4" x14ac:dyDescent="0.25">
      <c r="A1093" s="1">
        <v>44513</v>
      </c>
      <c r="B1093" t="s">
        <v>56</v>
      </c>
      <c r="C1093">
        <v>12.4</v>
      </c>
      <c r="D1093">
        <v>16.66</v>
      </c>
    </row>
    <row r="1094" spans="1:4" x14ac:dyDescent="0.25">
      <c r="A1094" s="1">
        <v>44513</v>
      </c>
      <c r="B1094" t="s">
        <v>58</v>
      </c>
      <c r="C1094">
        <v>26.27</v>
      </c>
      <c r="D1094">
        <v>25.73</v>
      </c>
    </row>
    <row r="1095" spans="1:4" x14ac:dyDescent="0.25">
      <c r="A1095" s="1">
        <v>44513</v>
      </c>
      <c r="B1095" t="s">
        <v>60</v>
      </c>
      <c r="C1095">
        <v>7.93</v>
      </c>
      <c r="D1095">
        <v>23.65</v>
      </c>
    </row>
    <row r="1096" spans="1:4" x14ac:dyDescent="0.25">
      <c r="A1096" s="1">
        <v>44513</v>
      </c>
      <c r="B1096" t="s">
        <v>62</v>
      </c>
      <c r="C1096">
        <v>17.3</v>
      </c>
      <c r="D1096">
        <v>21.96</v>
      </c>
    </row>
    <row r="1097" spans="1:4" x14ac:dyDescent="0.25">
      <c r="A1097" s="1">
        <v>44515</v>
      </c>
      <c r="B1097" t="s">
        <v>56</v>
      </c>
      <c r="C1097">
        <v>18.11</v>
      </c>
      <c r="D1097">
        <v>17.73</v>
      </c>
    </row>
    <row r="1098" spans="1:4" x14ac:dyDescent="0.25">
      <c r="A1098" s="1">
        <v>44515</v>
      </c>
      <c r="B1098" t="s">
        <v>58</v>
      </c>
      <c r="C1098">
        <v>25.83</v>
      </c>
      <c r="D1098">
        <v>27.17</v>
      </c>
    </row>
    <row r="1099" spans="1:4" x14ac:dyDescent="0.25">
      <c r="A1099" s="1">
        <v>44515</v>
      </c>
      <c r="B1099" t="s">
        <v>60</v>
      </c>
      <c r="C1099">
        <v>15.47</v>
      </c>
      <c r="D1099">
        <v>16.53</v>
      </c>
    </row>
    <row r="1100" spans="1:4" x14ac:dyDescent="0.25">
      <c r="A1100" s="1">
        <v>44515</v>
      </c>
      <c r="B1100" t="s">
        <v>62</v>
      </c>
      <c r="C1100">
        <v>23.83</v>
      </c>
      <c r="D1100">
        <v>29.75</v>
      </c>
    </row>
    <row r="1101" spans="1:4" x14ac:dyDescent="0.25">
      <c r="A1101" s="1">
        <v>44516</v>
      </c>
      <c r="B1101" t="s">
        <v>56</v>
      </c>
      <c r="C1101">
        <v>15.26</v>
      </c>
      <c r="D1101">
        <v>23.42</v>
      </c>
    </row>
    <row r="1102" spans="1:4" x14ac:dyDescent="0.25">
      <c r="A1102" s="1">
        <v>44516</v>
      </c>
      <c r="B1102" t="s">
        <v>58</v>
      </c>
      <c r="C1102">
        <v>24.66</v>
      </c>
      <c r="D1102">
        <v>26.39</v>
      </c>
    </row>
    <row r="1103" spans="1:4" x14ac:dyDescent="0.25">
      <c r="A1103" s="1">
        <v>44516</v>
      </c>
      <c r="B1103" t="s">
        <v>60</v>
      </c>
      <c r="C1103">
        <v>15.91</v>
      </c>
      <c r="D1103">
        <v>31.32</v>
      </c>
    </row>
    <row r="1104" spans="1:4" x14ac:dyDescent="0.25">
      <c r="A1104" s="1">
        <v>44516</v>
      </c>
      <c r="B1104" t="s">
        <v>62</v>
      </c>
      <c r="C1104">
        <v>21.1</v>
      </c>
      <c r="D1104">
        <v>24.42</v>
      </c>
    </row>
    <row r="1105" spans="1:4" x14ac:dyDescent="0.25">
      <c r="A1105" s="1">
        <v>44518</v>
      </c>
      <c r="B1105" t="s">
        <v>56</v>
      </c>
      <c r="C1105">
        <v>17.100000000000001</v>
      </c>
      <c r="D1105">
        <v>14.97</v>
      </c>
    </row>
    <row r="1106" spans="1:4" x14ac:dyDescent="0.25">
      <c r="A1106" s="1">
        <v>44518</v>
      </c>
      <c r="B1106" t="s">
        <v>58</v>
      </c>
      <c r="C1106">
        <v>27.25</v>
      </c>
      <c r="D1106">
        <v>29.45</v>
      </c>
    </row>
    <row r="1107" spans="1:4" x14ac:dyDescent="0.25">
      <c r="A1107" s="1">
        <v>44518</v>
      </c>
      <c r="B1107" t="s">
        <v>60</v>
      </c>
      <c r="C1107">
        <v>13.38</v>
      </c>
      <c r="D1107">
        <v>17.62</v>
      </c>
    </row>
    <row r="1108" spans="1:4" x14ac:dyDescent="0.25">
      <c r="A1108" s="1">
        <v>44518</v>
      </c>
      <c r="B1108" t="s">
        <v>62</v>
      </c>
      <c r="C1108">
        <v>19.350000000000001</v>
      </c>
      <c r="D1108">
        <v>20.32</v>
      </c>
    </row>
    <row r="1109" spans="1:4" x14ac:dyDescent="0.25">
      <c r="A1109" s="1">
        <v>44519</v>
      </c>
      <c r="B1109" t="s">
        <v>56</v>
      </c>
      <c r="C1109">
        <v>14.49</v>
      </c>
      <c r="D1109">
        <v>14.32</v>
      </c>
    </row>
    <row r="1110" spans="1:4" x14ac:dyDescent="0.25">
      <c r="A1110" s="1">
        <v>44519</v>
      </c>
      <c r="B1110" t="s">
        <v>58</v>
      </c>
      <c r="C1110">
        <v>16.43</v>
      </c>
      <c r="D1110">
        <v>19.75</v>
      </c>
    </row>
    <row r="1111" spans="1:4" x14ac:dyDescent="0.25">
      <c r="A1111" s="1">
        <v>44519</v>
      </c>
      <c r="B1111" t="s">
        <v>60</v>
      </c>
      <c r="C1111">
        <v>11.83</v>
      </c>
      <c r="D1111">
        <v>15.76</v>
      </c>
    </row>
    <row r="1112" spans="1:4" x14ac:dyDescent="0.25">
      <c r="A1112" s="1">
        <v>44519</v>
      </c>
      <c r="B1112" t="s">
        <v>62</v>
      </c>
      <c r="C1112">
        <v>25.95</v>
      </c>
      <c r="D1112">
        <v>26.47</v>
      </c>
    </row>
    <row r="1113" spans="1:4" x14ac:dyDescent="0.25">
      <c r="A1113" s="1">
        <v>44520</v>
      </c>
      <c r="B1113" t="s">
        <v>56</v>
      </c>
      <c r="C1113">
        <v>12.27</v>
      </c>
      <c r="D1113">
        <v>16</v>
      </c>
    </row>
    <row r="1114" spans="1:4" x14ac:dyDescent="0.25">
      <c r="A1114" s="1">
        <v>44520</v>
      </c>
      <c r="B1114" t="s">
        <v>58</v>
      </c>
      <c r="C1114">
        <v>25.06</v>
      </c>
      <c r="D1114">
        <v>18.190000000000001</v>
      </c>
    </row>
    <row r="1115" spans="1:4" x14ac:dyDescent="0.25">
      <c r="A1115" s="1">
        <v>44520</v>
      </c>
      <c r="B1115" t="s">
        <v>60</v>
      </c>
      <c r="C1115">
        <v>7.98</v>
      </c>
      <c r="D1115">
        <v>23.61</v>
      </c>
    </row>
    <row r="1116" spans="1:4" x14ac:dyDescent="0.25">
      <c r="A1116" s="1">
        <v>44520</v>
      </c>
      <c r="B1116" t="s">
        <v>62</v>
      </c>
      <c r="C1116">
        <v>17.100000000000001</v>
      </c>
      <c r="D1116">
        <v>14.25</v>
      </c>
    </row>
    <row r="1117" spans="1:4" x14ac:dyDescent="0.25">
      <c r="A1117" s="1">
        <v>44522</v>
      </c>
      <c r="B1117" t="s">
        <v>56</v>
      </c>
      <c r="C1117">
        <v>22.49</v>
      </c>
      <c r="D1117">
        <v>16.36</v>
      </c>
    </row>
    <row r="1118" spans="1:4" x14ac:dyDescent="0.25">
      <c r="A1118" s="1">
        <v>44522</v>
      </c>
      <c r="B1118" t="s">
        <v>58</v>
      </c>
      <c r="C1118">
        <v>27.73</v>
      </c>
      <c r="D1118">
        <v>26.29</v>
      </c>
    </row>
    <row r="1119" spans="1:4" x14ac:dyDescent="0.25">
      <c r="A1119" s="1">
        <v>44522</v>
      </c>
      <c r="B1119" t="s">
        <v>60</v>
      </c>
      <c r="C1119">
        <v>17.8</v>
      </c>
      <c r="D1119">
        <v>21.15</v>
      </c>
    </row>
    <row r="1120" spans="1:4" x14ac:dyDescent="0.25">
      <c r="A1120" s="1">
        <v>44522</v>
      </c>
      <c r="B1120" t="s">
        <v>62</v>
      </c>
      <c r="C1120">
        <v>23.96</v>
      </c>
      <c r="D1120">
        <v>24.82</v>
      </c>
    </row>
    <row r="1121" spans="1:4" x14ac:dyDescent="0.25">
      <c r="A1121" s="1">
        <v>44523</v>
      </c>
      <c r="B1121" t="s">
        <v>56</v>
      </c>
      <c r="C1121">
        <v>16.079999999999998</v>
      </c>
      <c r="D1121">
        <v>16.420000000000002</v>
      </c>
    </row>
    <row r="1122" spans="1:4" x14ac:dyDescent="0.25">
      <c r="A1122" s="1">
        <v>44523</v>
      </c>
      <c r="B1122" t="s">
        <v>58</v>
      </c>
      <c r="C1122">
        <v>21.2</v>
      </c>
      <c r="D1122">
        <v>20.76</v>
      </c>
    </row>
    <row r="1123" spans="1:4" x14ac:dyDescent="0.25">
      <c r="A1123" s="1">
        <v>44523</v>
      </c>
      <c r="B1123" t="s">
        <v>60</v>
      </c>
      <c r="C1123">
        <v>10.51</v>
      </c>
      <c r="D1123">
        <v>15.09</v>
      </c>
    </row>
    <row r="1124" spans="1:4" x14ac:dyDescent="0.25">
      <c r="A1124" s="1">
        <v>44523</v>
      </c>
      <c r="B1124" t="s">
        <v>62</v>
      </c>
      <c r="C1124">
        <v>33</v>
      </c>
      <c r="D1124">
        <v>21.5</v>
      </c>
    </row>
    <row r="1125" spans="1:4" x14ac:dyDescent="0.25">
      <c r="A1125" s="1">
        <v>44524</v>
      </c>
      <c r="B1125" t="s">
        <v>56</v>
      </c>
      <c r="C1125">
        <v>14.86</v>
      </c>
      <c r="D1125">
        <v>28.08</v>
      </c>
    </row>
    <row r="1126" spans="1:4" x14ac:dyDescent="0.25">
      <c r="A1126" s="1">
        <v>44524</v>
      </c>
      <c r="B1126" t="s">
        <v>58</v>
      </c>
      <c r="C1126">
        <v>33.31</v>
      </c>
      <c r="D1126">
        <v>48.38</v>
      </c>
    </row>
    <row r="1127" spans="1:4" x14ac:dyDescent="0.25">
      <c r="A1127" s="1">
        <v>44524</v>
      </c>
      <c r="B1127" t="s">
        <v>60</v>
      </c>
      <c r="C1127">
        <v>8.76</v>
      </c>
      <c r="D1127">
        <v>31.11</v>
      </c>
    </row>
    <row r="1128" spans="1:4" x14ac:dyDescent="0.25">
      <c r="A1128" s="1">
        <v>44524</v>
      </c>
      <c r="B1128" t="s">
        <v>62</v>
      </c>
      <c r="C1128">
        <v>18.5</v>
      </c>
      <c r="D1128">
        <v>24.88</v>
      </c>
    </row>
    <row r="1129" spans="1:4" x14ac:dyDescent="0.25">
      <c r="A1129" s="1">
        <v>44527</v>
      </c>
      <c r="B1129" t="s">
        <v>56</v>
      </c>
      <c r="C1129">
        <v>15.84</v>
      </c>
      <c r="D1129">
        <v>7.53</v>
      </c>
    </row>
    <row r="1130" spans="1:4" x14ac:dyDescent="0.25">
      <c r="A1130" s="1">
        <v>44527</v>
      </c>
      <c r="B1130" t="s">
        <v>58</v>
      </c>
      <c r="C1130">
        <v>29.4</v>
      </c>
      <c r="D1130">
        <v>18.5</v>
      </c>
    </row>
    <row r="1131" spans="1:4" x14ac:dyDescent="0.25">
      <c r="A1131" s="1">
        <v>44527</v>
      </c>
      <c r="B1131" t="s">
        <v>60</v>
      </c>
      <c r="C1131">
        <v>14.3</v>
      </c>
      <c r="D1131">
        <v>11.5</v>
      </c>
    </row>
    <row r="1132" spans="1:4" x14ac:dyDescent="0.25">
      <c r="A1132" s="1">
        <v>44527</v>
      </c>
      <c r="B1132" t="s">
        <v>62</v>
      </c>
      <c r="C1132">
        <v>19.2</v>
      </c>
      <c r="D1132">
        <v>14.15</v>
      </c>
    </row>
    <row r="1133" spans="1:4" x14ac:dyDescent="0.25">
      <c r="A1133" s="1">
        <v>44529</v>
      </c>
      <c r="B1133" t="s">
        <v>56</v>
      </c>
      <c r="C1133">
        <v>18.75</v>
      </c>
      <c r="D1133">
        <v>18.350000000000001</v>
      </c>
    </row>
    <row r="1134" spans="1:4" x14ac:dyDescent="0.25">
      <c r="A1134" s="1">
        <v>44529</v>
      </c>
      <c r="B1134" t="s">
        <v>58</v>
      </c>
      <c r="C1134">
        <v>25.98</v>
      </c>
      <c r="D1134">
        <v>30.25</v>
      </c>
    </row>
    <row r="1135" spans="1:4" x14ac:dyDescent="0.25">
      <c r="A1135" s="1">
        <v>44529</v>
      </c>
      <c r="B1135" t="s">
        <v>60</v>
      </c>
      <c r="C1135">
        <v>15.03</v>
      </c>
      <c r="D1135">
        <v>17.899999999999999</v>
      </c>
    </row>
    <row r="1136" spans="1:4" x14ac:dyDescent="0.25">
      <c r="A1136" s="1">
        <v>44529</v>
      </c>
      <c r="B1136" t="s">
        <v>62</v>
      </c>
      <c r="C1136">
        <v>22.38</v>
      </c>
      <c r="D1136">
        <v>24.83</v>
      </c>
    </row>
    <row r="1137" spans="1:4" x14ac:dyDescent="0.25">
      <c r="A1137" s="1">
        <v>44530</v>
      </c>
      <c r="B1137" t="s">
        <v>56</v>
      </c>
      <c r="C1137">
        <v>16.829999999999998</v>
      </c>
      <c r="D1137">
        <v>23.66</v>
      </c>
    </row>
    <row r="1138" spans="1:4" x14ac:dyDescent="0.25">
      <c r="A1138" s="1">
        <v>44530</v>
      </c>
      <c r="B1138" t="s">
        <v>58</v>
      </c>
      <c r="C1138">
        <v>25.48</v>
      </c>
      <c r="D1138">
        <v>24.06</v>
      </c>
    </row>
    <row r="1139" spans="1:4" x14ac:dyDescent="0.25">
      <c r="A1139" s="1">
        <v>44530</v>
      </c>
      <c r="B1139" t="s">
        <v>60</v>
      </c>
      <c r="C1139">
        <v>8.98</v>
      </c>
      <c r="D1139">
        <v>22.78</v>
      </c>
    </row>
    <row r="1140" spans="1:4" x14ac:dyDescent="0.25">
      <c r="A1140" s="1">
        <v>44530</v>
      </c>
      <c r="B1140" t="s">
        <v>62</v>
      </c>
      <c r="C1140">
        <v>25.18</v>
      </c>
      <c r="D1140">
        <v>26.92</v>
      </c>
    </row>
    <row r="1141" spans="1:4" x14ac:dyDescent="0.25">
      <c r="A1141" s="1">
        <v>44532</v>
      </c>
      <c r="B1141" t="s">
        <v>56</v>
      </c>
      <c r="C1141">
        <v>16.84</v>
      </c>
      <c r="D1141">
        <v>17.86</v>
      </c>
    </row>
    <row r="1142" spans="1:4" x14ac:dyDescent="0.25">
      <c r="A1142" s="1">
        <v>44532</v>
      </c>
      <c r="B1142" t="s">
        <v>58</v>
      </c>
      <c r="C1142">
        <v>25.7</v>
      </c>
      <c r="D1142">
        <v>27.08</v>
      </c>
    </row>
    <row r="1143" spans="1:4" x14ac:dyDescent="0.25">
      <c r="A1143" s="1">
        <v>44532</v>
      </c>
      <c r="B1143" t="s">
        <v>60</v>
      </c>
      <c r="C1143">
        <v>14.88</v>
      </c>
      <c r="D1143">
        <v>16.16</v>
      </c>
    </row>
    <row r="1144" spans="1:4" x14ac:dyDescent="0.25">
      <c r="A1144" s="1">
        <v>44532</v>
      </c>
      <c r="B1144" t="s">
        <v>62</v>
      </c>
      <c r="C1144">
        <v>17.510000000000002</v>
      </c>
      <c r="D1144">
        <v>30.79</v>
      </c>
    </row>
    <row r="1145" spans="1:4" x14ac:dyDescent="0.25">
      <c r="A1145" s="1">
        <v>44533</v>
      </c>
      <c r="B1145" t="s">
        <v>56</v>
      </c>
      <c r="C1145">
        <v>16.170000000000002</v>
      </c>
      <c r="D1145">
        <v>18.25</v>
      </c>
    </row>
    <row r="1146" spans="1:4" x14ac:dyDescent="0.25">
      <c r="A1146" s="1">
        <v>44533</v>
      </c>
      <c r="B1146" t="s">
        <v>58</v>
      </c>
      <c r="C1146">
        <v>13.95</v>
      </c>
      <c r="D1146">
        <v>18.77</v>
      </c>
    </row>
    <row r="1147" spans="1:4" x14ac:dyDescent="0.25">
      <c r="A1147" s="1">
        <v>44533</v>
      </c>
      <c r="B1147" t="s">
        <v>60</v>
      </c>
      <c r="C1147">
        <v>13.72</v>
      </c>
      <c r="D1147">
        <v>16.7</v>
      </c>
    </row>
    <row r="1148" spans="1:4" x14ac:dyDescent="0.25">
      <c r="A1148" s="1">
        <v>44533</v>
      </c>
      <c r="B1148" t="s">
        <v>62</v>
      </c>
      <c r="C1148">
        <v>24.43</v>
      </c>
      <c r="D1148">
        <v>22.94</v>
      </c>
    </row>
    <row r="1149" spans="1:4" x14ac:dyDescent="0.25">
      <c r="A1149" s="1">
        <v>44534</v>
      </c>
      <c r="B1149" t="s">
        <v>56</v>
      </c>
      <c r="C1149">
        <v>12.74</v>
      </c>
      <c r="D1149">
        <v>15.52</v>
      </c>
    </row>
    <row r="1150" spans="1:4" x14ac:dyDescent="0.25">
      <c r="A1150" s="1">
        <v>44534</v>
      </c>
      <c r="B1150" t="s">
        <v>58</v>
      </c>
      <c r="C1150">
        <v>25.9</v>
      </c>
      <c r="D1150">
        <v>22.6</v>
      </c>
    </row>
    <row r="1151" spans="1:4" x14ac:dyDescent="0.25">
      <c r="A1151" s="1">
        <v>44534</v>
      </c>
      <c r="B1151" t="s">
        <v>60</v>
      </c>
      <c r="C1151">
        <v>7.68</v>
      </c>
      <c r="D1151">
        <v>24.64</v>
      </c>
    </row>
    <row r="1152" spans="1:4" x14ac:dyDescent="0.25">
      <c r="A1152" s="1">
        <v>44534</v>
      </c>
      <c r="B1152" t="s">
        <v>62</v>
      </c>
      <c r="C1152">
        <v>15.93</v>
      </c>
      <c r="D1152">
        <v>17.100000000000001</v>
      </c>
    </row>
    <row r="1153" spans="1:4" x14ac:dyDescent="0.25">
      <c r="A1153" s="1">
        <v>44536</v>
      </c>
      <c r="B1153" t="s">
        <v>56</v>
      </c>
      <c r="C1153">
        <v>20.96</v>
      </c>
      <c r="D1153">
        <v>17.489999999999998</v>
      </c>
    </row>
    <row r="1154" spans="1:4" x14ac:dyDescent="0.25">
      <c r="A1154" s="1">
        <v>44536</v>
      </c>
      <c r="B1154" t="s">
        <v>58</v>
      </c>
      <c r="C1154">
        <v>26.87</v>
      </c>
      <c r="D1154">
        <v>29.39</v>
      </c>
    </row>
    <row r="1155" spans="1:4" x14ac:dyDescent="0.25">
      <c r="A1155" s="1">
        <v>44536</v>
      </c>
      <c r="B1155" t="s">
        <v>60</v>
      </c>
      <c r="C1155">
        <v>15.93</v>
      </c>
      <c r="D1155">
        <v>16.75</v>
      </c>
    </row>
    <row r="1156" spans="1:4" x14ac:dyDescent="0.25">
      <c r="A1156" s="1">
        <v>44536</v>
      </c>
      <c r="B1156" t="s">
        <v>62</v>
      </c>
      <c r="C1156">
        <v>22.55</v>
      </c>
      <c r="D1156">
        <v>26.08</v>
      </c>
    </row>
    <row r="1157" spans="1:4" x14ac:dyDescent="0.25">
      <c r="A1157" s="1">
        <v>44537</v>
      </c>
      <c r="B1157" t="s">
        <v>56</v>
      </c>
      <c r="C1157">
        <v>14.53</v>
      </c>
      <c r="D1157">
        <v>25.5</v>
      </c>
    </row>
    <row r="1158" spans="1:4" x14ac:dyDescent="0.25">
      <c r="A1158" s="1">
        <v>44537</v>
      </c>
      <c r="B1158" t="s">
        <v>58</v>
      </c>
      <c r="C1158">
        <v>25.53</v>
      </c>
      <c r="D1158">
        <v>25.01</v>
      </c>
    </row>
    <row r="1159" spans="1:4" x14ac:dyDescent="0.25">
      <c r="A1159" s="1">
        <v>44537</v>
      </c>
      <c r="B1159" t="s">
        <v>60</v>
      </c>
      <c r="C1159">
        <v>9.9700000000000006</v>
      </c>
      <c r="D1159">
        <v>24.68</v>
      </c>
    </row>
    <row r="1160" spans="1:4" x14ac:dyDescent="0.25">
      <c r="A1160" s="1">
        <v>44537</v>
      </c>
      <c r="B1160" t="s">
        <v>62</v>
      </c>
      <c r="C1160">
        <v>23.52</v>
      </c>
      <c r="D1160">
        <v>34.03</v>
      </c>
    </row>
    <row r="1161" spans="1:4" x14ac:dyDescent="0.25">
      <c r="A1161" s="1">
        <v>44539</v>
      </c>
      <c r="B1161" t="s">
        <v>56</v>
      </c>
      <c r="C1161">
        <v>16.239999999999998</v>
      </c>
      <c r="D1161">
        <v>15.21</v>
      </c>
    </row>
    <row r="1162" spans="1:4" x14ac:dyDescent="0.25">
      <c r="A1162" s="1">
        <v>44539</v>
      </c>
      <c r="B1162" t="s">
        <v>58</v>
      </c>
      <c r="C1162">
        <v>29.5</v>
      </c>
      <c r="D1162">
        <v>32.200000000000003</v>
      </c>
    </row>
    <row r="1163" spans="1:4" x14ac:dyDescent="0.25">
      <c r="A1163" s="1">
        <v>44539</v>
      </c>
      <c r="B1163" t="s">
        <v>60</v>
      </c>
      <c r="C1163">
        <v>11.71</v>
      </c>
      <c r="D1163">
        <v>15.75</v>
      </c>
    </row>
    <row r="1164" spans="1:4" x14ac:dyDescent="0.25">
      <c r="A1164" s="1">
        <v>44539</v>
      </c>
      <c r="B1164" t="s">
        <v>62</v>
      </c>
      <c r="C1164">
        <v>20.83</v>
      </c>
      <c r="D1164">
        <v>27.87</v>
      </c>
    </row>
    <row r="1165" spans="1:4" x14ac:dyDescent="0.25">
      <c r="A1165" s="1">
        <v>44540</v>
      </c>
      <c r="B1165" t="s">
        <v>56</v>
      </c>
      <c r="C1165">
        <v>15.5</v>
      </c>
      <c r="D1165">
        <v>17.510000000000002</v>
      </c>
    </row>
    <row r="1166" spans="1:4" x14ac:dyDescent="0.25">
      <c r="A1166" s="1">
        <v>44540</v>
      </c>
      <c r="B1166" t="s">
        <v>58</v>
      </c>
      <c r="C1166">
        <v>15.78</v>
      </c>
      <c r="D1166">
        <v>16.22</v>
      </c>
    </row>
    <row r="1167" spans="1:4" x14ac:dyDescent="0.25">
      <c r="A1167" s="1">
        <v>44540</v>
      </c>
      <c r="B1167" t="s">
        <v>60</v>
      </c>
      <c r="C1167">
        <v>12.67</v>
      </c>
      <c r="D1167">
        <v>16.399999999999999</v>
      </c>
    </row>
    <row r="1168" spans="1:4" x14ac:dyDescent="0.25">
      <c r="A1168" s="1">
        <v>44540</v>
      </c>
      <c r="B1168" t="s">
        <v>62</v>
      </c>
      <c r="C1168">
        <v>21.25</v>
      </c>
      <c r="D1168">
        <v>17.989999999999998</v>
      </c>
    </row>
    <row r="1169" spans="1:4" x14ac:dyDescent="0.25">
      <c r="A1169" s="1">
        <v>44541</v>
      </c>
      <c r="B1169" t="s">
        <v>56</v>
      </c>
      <c r="C1169">
        <v>12.23</v>
      </c>
      <c r="D1169">
        <v>13.08</v>
      </c>
    </row>
    <row r="1170" spans="1:4" x14ac:dyDescent="0.25">
      <c r="A1170" s="1">
        <v>44541</v>
      </c>
      <c r="B1170" t="s">
        <v>58</v>
      </c>
      <c r="C1170">
        <v>26.25</v>
      </c>
      <c r="D1170">
        <v>26.33</v>
      </c>
    </row>
    <row r="1171" spans="1:4" x14ac:dyDescent="0.25">
      <c r="A1171" s="1">
        <v>44541</v>
      </c>
      <c r="B1171" t="s">
        <v>60</v>
      </c>
      <c r="C1171">
        <v>8.0299999999999994</v>
      </c>
      <c r="D1171">
        <v>25.19</v>
      </c>
    </row>
    <row r="1172" spans="1:4" x14ac:dyDescent="0.25">
      <c r="A1172" s="1">
        <v>44541</v>
      </c>
      <c r="B1172" t="s">
        <v>62</v>
      </c>
      <c r="C1172">
        <v>15.95</v>
      </c>
      <c r="D1172">
        <v>18.329999999999998</v>
      </c>
    </row>
    <row r="1173" spans="1:4" x14ac:dyDescent="0.25">
      <c r="A1173" s="1">
        <v>44543</v>
      </c>
      <c r="B1173" t="s">
        <v>56</v>
      </c>
      <c r="C1173">
        <v>22.63</v>
      </c>
      <c r="D1173">
        <v>17.96</v>
      </c>
    </row>
    <row r="1174" spans="1:4" x14ac:dyDescent="0.25">
      <c r="A1174" s="1">
        <v>44543</v>
      </c>
      <c r="B1174" t="s">
        <v>58</v>
      </c>
      <c r="C1174">
        <v>27.1</v>
      </c>
      <c r="D1174">
        <v>30.7</v>
      </c>
    </row>
    <row r="1175" spans="1:4" x14ac:dyDescent="0.25">
      <c r="A1175" s="1">
        <v>44543</v>
      </c>
      <c r="B1175" t="s">
        <v>60</v>
      </c>
      <c r="C1175">
        <v>16.47</v>
      </c>
      <c r="D1175">
        <v>14.84</v>
      </c>
    </row>
    <row r="1176" spans="1:4" x14ac:dyDescent="0.25">
      <c r="A1176" s="1">
        <v>44543</v>
      </c>
      <c r="B1176" t="s">
        <v>62</v>
      </c>
      <c r="C1176">
        <v>23.97</v>
      </c>
      <c r="D1176">
        <v>24.87</v>
      </c>
    </row>
    <row r="1177" spans="1:4" x14ac:dyDescent="0.25">
      <c r="A1177" s="1">
        <v>44544</v>
      </c>
      <c r="B1177" t="s">
        <v>56</v>
      </c>
      <c r="C1177">
        <v>15.57</v>
      </c>
      <c r="D1177">
        <v>22.78</v>
      </c>
    </row>
    <row r="1178" spans="1:4" x14ac:dyDescent="0.25">
      <c r="A1178" s="1">
        <v>44544</v>
      </c>
      <c r="B1178" t="s">
        <v>58</v>
      </c>
      <c r="C1178">
        <v>27.93</v>
      </c>
      <c r="D1178">
        <v>23.98</v>
      </c>
    </row>
    <row r="1179" spans="1:4" x14ac:dyDescent="0.25">
      <c r="A1179" s="1">
        <v>44544</v>
      </c>
      <c r="B1179" t="s">
        <v>60</v>
      </c>
      <c r="C1179">
        <v>8.57</v>
      </c>
      <c r="D1179">
        <v>12.87</v>
      </c>
    </row>
    <row r="1180" spans="1:4" x14ac:dyDescent="0.25">
      <c r="A1180" s="1">
        <v>44544</v>
      </c>
      <c r="B1180" t="s">
        <v>62</v>
      </c>
      <c r="C1180">
        <v>22.92</v>
      </c>
      <c r="D1180">
        <v>20.45</v>
      </c>
    </row>
    <row r="1181" spans="1:4" x14ac:dyDescent="0.25">
      <c r="A1181" s="1">
        <v>44546</v>
      </c>
      <c r="B1181" t="s">
        <v>56</v>
      </c>
      <c r="C1181">
        <v>16.13</v>
      </c>
      <c r="D1181">
        <v>17.16</v>
      </c>
    </row>
    <row r="1182" spans="1:4" x14ac:dyDescent="0.25">
      <c r="A1182" s="1">
        <v>44546</v>
      </c>
      <c r="B1182" t="s">
        <v>58</v>
      </c>
      <c r="C1182">
        <v>28.36</v>
      </c>
      <c r="D1182">
        <v>22.14</v>
      </c>
    </row>
    <row r="1183" spans="1:4" x14ac:dyDescent="0.25">
      <c r="A1183" s="1">
        <v>44546</v>
      </c>
      <c r="B1183" t="s">
        <v>60</v>
      </c>
      <c r="C1183">
        <v>8.6999999999999993</v>
      </c>
      <c r="D1183">
        <v>8.25</v>
      </c>
    </row>
    <row r="1184" spans="1:4" x14ac:dyDescent="0.25">
      <c r="A1184" s="1">
        <v>44546</v>
      </c>
      <c r="B1184" t="s">
        <v>62</v>
      </c>
      <c r="C1184">
        <v>19.5</v>
      </c>
      <c r="D1184">
        <v>25.37</v>
      </c>
    </row>
    <row r="1185" spans="1:4" x14ac:dyDescent="0.25">
      <c r="A1185" s="1">
        <v>44547</v>
      </c>
      <c r="B1185" t="s">
        <v>56</v>
      </c>
      <c r="C1185">
        <v>13.22</v>
      </c>
      <c r="D1185">
        <v>17.690000000000001</v>
      </c>
    </row>
    <row r="1186" spans="1:4" x14ac:dyDescent="0.25">
      <c r="A1186" s="1">
        <v>44547</v>
      </c>
      <c r="B1186" t="s">
        <v>58</v>
      </c>
      <c r="C1186">
        <v>18.7</v>
      </c>
      <c r="D1186">
        <v>18.37</v>
      </c>
    </row>
    <row r="1187" spans="1:4" x14ac:dyDescent="0.25">
      <c r="A1187" s="1">
        <v>44547</v>
      </c>
      <c r="B1187" t="s">
        <v>60</v>
      </c>
      <c r="C1187">
        <v>13.05</v>
      </c>
      <c r="D1187">
        <v>15.66</v>
      </c>
    </row>
    <row r="1188" spans="1:4" x14ac:dyDescent="0.25">
      <c r="A1188" s="1">
        <v>44547</v>
      </c>
      <c r="B1188" t="s">
        <v>62</v>
      </c>
      <c r="C1188">
        <v>21.18</v>
      </c>
      <c r="D1188">
        <v>22</v>
      </c>
    </row>
    <row r="1189" spans="1:4" x14ac:dyDescent="0.25">
      <c r="A1189" s="1">
        <v>44548</v>
      </c>
      <c r="B1189" t="s">
        <v>56</v>
      </c>
      <c r="C1189">
        <v>12.12</v>
      </c>
      <c r="D1189">
        <v>17.66</v>
      </c>
    </row>
    <row r="1190" spans="1:4" x14ac:dyDescent="0.25">
      <c r="A1190" s="1">
        <v>44548</v>
      </c>
      <c r="B1190" t="s">
        <v>58</v>
      </c>
      <c r="C1190">
        <v>25.72</v>
      </c>
      <c r="D1190">
        <v>27.85</v>
      </c>
    </row>
    <row r="1191" spans="1:4" x14ac:dyDescent="0.25">
      <c r="A1191" s="1">
        <v>44548</v>
      </c>
      <c r="B1191" t="s">
        <v>60</v>
      </c>
      <c r="C1191">
        <v>7.42</v>
      </c>
      <c r="D1191">
        <v>17.5</v>
      </c>
    </row>
    <row r="1192" spans="1:4" x14ac:dyDescent="0.25">
      <c r="A1192" s="1">
        <v>44548</v>
      </c>
      <c r="B1192" t="s">
        <v>62</v>
      </c>
      <c r="C1192">
        <v>16.47</v>
      </c>
      <c r="D1192">
        <v>24.5</v>
      </c>
    </row>
    <row r="1193" spans="1:4" x14ac:dyDescent="0.25">
      <c r="A1193" s="1">
        <v>44550</v>
      </c>
      <c r="B1193" t="s">
        <v>56</v>
      </c>
      <c r="C1193">
        <v>22.93</v>
      </c>
      <c r="D1193">
        <v>16.649999999999999</v>
      </c>
    </row>
    <row r="1194" spans="1:4" x14ac:dyDescent="0.25">
      <c r="A1194" s="1">
        <v>44550</v>
      </c>
      <c r="B1194" t="s">
        <v>58</v>
      </c>
      <c r="C1194">
        <v>29.28</v>
      </c>
      <c r="D1194">
        <v>31.25</v>
      </c>
    </row>
    <row r="1195" spans="1:4" x14ac:dyDescent="0.25">
      <c r="A1195" s="1">
        <v>44550</v>
      </c>
      <c r="B1195" t="s">
        <v>60</v>
      </c>
      <c r="C1195">
        <v>19.420000000000002</v>
      </c>
      <c r="D1195">
        <v>17.63</v>
      </c>
    </row>
    <row r="1196" spans="1:4" x14ac:dyDescent="0.25">
      <c r="A1196" s="1">
        <v>44550</v>
      </c>
      <c r="B1196" t="s">
        <v>62</v>
      </c>
      <c r="C1196">
        <v>23.45</v>
      </c>
      <c r="D1196">
        <v>25.35</v>
      </c>
    </row>
    <row r="1197" spans="1:4" x14ac:dyDescent="0.25">
      <c r="A1197" s="1">
        <v>44551</v>
      </c>
      <c r="B1197" t="s">
        <v>56</v>
      </c>
      <c r="C1197">
        <v>21.39</v>
      </c>
      <c r="D1197">
        <v>31</v>
      </c>
    </row>
    <row r="1198" spans="1:4" x14ac:dyDescent="0.25">
      <c r="A1198" s="1">
        <v>44551</v>
      </c>
      <c r="B1198" t="s">
        <v>58</v>
      </c>
      <c r="C1198">
        <v>27.82</v>
      </c>
      <c r="D1198">
        <v>29.73</v>
      </c>
    </row>
    <row r="1199" spans="1:4" x14ac:dyDescent="0.25">
      <c r="A1199" s="1">
        <v>44551</v>
      </c>
      <c r="B1199" t="s">
        <v>60</v>
      </c>
      <c r="C1199">
        <v>12.12</v>
      </c>
      <c r="D1199">
        <v>13.75</v>
      </c>
    </row>
    <row r="1200" spans="1:4" x14ac:dyDescent="0.25">
      <c r="A1200" s="1">
        <v>44551</v>
      </c>
      <c r="B1200" t="s">
        <v>62</v>
      </c>
      <c r="C1200">
        <v>22.27</v>
      </c>
      <c r="D1200">
        <v>43.78</v>
      </c>
    </row>
    <row r="1201" spans="1:4" x14ac:dyDescent="0.25">
      <c r="A1201" s="1">
        <v>44553</v>
      </c>
      <c r="B1201" t="s">
        <v>56</v>
      </c>
      <c r="C1201">
        <v>20.79</v>
      </c>
      <c r="D1201">
        <v>17.350000000000001</v>
      </c>
    </row>
    <row r="1202" spans="1:4" x14ac:dyDescent="0.25">
      <c r="A1202" s="1">
        <v>44553</v>
      </c>
      <c r="B1202" t="s">
        <v>58</v>
      </c>
      <c r="C1202">
        <v>32.479999999999997</v>
      </c>
      <c r="D1202">
        <v>28.02</v>
      </c>
    </row>
    <row r="1203" spans="1:4" x14ac:dyDescent="0.25">
      <c r="A1203" s="1">
        <v>44553</v>
      </c>
      <c r="B1203" t="s">
        <v>60</v>
      </c>
      <c r="C1203">
        <v>11.03</v>
      </c>
      <c r="D1203">
        <v>13.42</v>
      </c>
    </row>
    <row r="1204" spans="1:4" x14ac:dyDescent="0.25">
      <c r="A1204" s="1">
        <v>44553</v>
      </c>
      <c r="B1204" t="s">
        <v>62</v>
      </c>
      <c r="C1204">
        <v>20.86</v>
      </c>
      <c r="D1204">
        <v>21.83</v>
      </c>
    </row>
    <row r="1205" spans="1:4" x14ac:dyDescent="0.25">
      <c r="A1205" s="1">
        <v>44554</v>
      </c>
      <c r="B1205" t="s">
        <v>56</v>
      </c>
      <c r="C1205">
        <v>18.559999999999999</v>
      </c>
      <c r="D1205">
        <v>22.91</v>
      </c>
    </row>
    <row r="1206" spans="1:4" x14ac:dyDescent="0.25">
      <c r="A1206" s="1">
        <v>44554</v>
      </c>
      <c r="B1206" t="s">
        <v>58</v>
      </c>
      <c r="C1206">
        <v>22.38</v>
      </c>
      <c r="D1206">
        <v>18.920000000000002</v>
      </c>
    </row>
    <row r="1207" spans="1:4" x14ac:dyDescent="0.25">
      <c r="A1207" s="1">
        <v>44554</v>
      </c>
      <c r="B1207" t="s">
        <v>60</v>
      </c>
      <c r="C1207">
        <v>13.93</v>
      </c>
      <c r="D1207">
        <v>15.5</v>
      </c>
    </row>
    <row r="1208" spans="1:4" x14ac:dyDescent="0.25">
      <c r="A1208" s="1">
        <v>44554</v>
      </c>
      <c r="B1208" t="s">
        <v>62</v>
      </c>
      <c r="C1208">
        <v>16.23</v>
      </c>
      <c r="D1208">
        <v>19.68</v>
      </c>
    </row>
    <row r="1209" spans="1:4" x14ac:dyDescent="0.25">
      <c r="A1209" s="1">
        <v>44557</v>
      </c>
      <c r="B1209" t="s">
        <v>56</v>
      </c>
      <c r="C1209">
        <v>25.09</v>
      </c>
      <c r="D1209">
        <v>23.08</v>
      </c>
    </row>
    <row r="1210" spans="1:4" x14ac:dyDescent="0.25">
      <c r="A1210" s="1">
        <v>44557</v>
      </c>
      <c r="B1210" t="s">
        <v>58</v>
      </c>
      <c r="C1210">
        <v>31.78</v>
      </c>
      <c r="D1210">
        <v>31.45</v>
      </c>
    </row>
    <row r="1211" spans="1:4" x14ac:dyDescent="0.25">
      <c r="A1211" s="1">
        <v>44557</v>
      </c>
      <c r="B1211" t="s">
        <v>60</v>
      </c>
      <c r="C1211">
        <v>14.2</v>
      </c>
      <c r="D1211">
        <v>9.66</v>
      </c>
    </row>
    <row r="1212" spans="1:4" x14ac:dyDescent="0.25">
      <c r="A1212" s="1">
        <v>44557</v>
      </c>
      <c r="B1212" t="s">
        <v>62</v>
      </c>
      <c r="C1212">
        <v>25.33</v>
      </c>
      <c r="D1212">
        <v>22.16</v>
      </c>
    </row>
    <row r="1213" spans="1:4" x14ac:dyDescent="0.25">
      <c r="A1213" s="1">
        <v>44558</v>
      </c>
      <c r="B1213" t="s">
        <v>56</v>
      </c>
      <c r="C1213">
        <v>24.18</v>
      </c>
      <c r="D1213">
        <v>15.75</v>
      </c>
    </row>
    <row r="1214" spans="1:4" x14ac:dyDescent="0.25">
      <c r="A1214" s="1">
        <v>44558</v>
      </c>
      <c r="B1214" t="s">
        <v>58</v>
      </c>
      <c r="C1214">
        <v>28.93</v>
      </c>
      <c r="D1214">
        <v>40.49</v>
      </c>
    </row>
    <row r="1215" spans="1:4" x14ac:dyDescent="0.25">
      <c r="A1215" s="1">
        <v>44558</v>
      </c>
      <c r="B1215" t="s">
        <v>60</v>
      </c>
      <c r="C1215">
        <v>9.75</v>
      </c>
      <c r="D1215">
        <v>13.08</v>
      </c>
    </row>
    <row r="1216" spans="1:4" x14ac:dyDescent="0.25">
      <c r="A1216" s="1">
        <v>44558</v>
      </c>
      <c r="B1216" t="s">
        <v>62</v>
      </c>
      <c r="C1216">
        <v>38.78</v>
      </c>
      <c r="D1216">
        <v>28.31</v>
      </c>
    </row>
    <row r="1217" spans="1:4" x14ac:dyDescent="0.25">
      <c r="A1217" s="1">
        <v>44560</v>
      </c>
      <c r="B1217" t="s">
        <v>56</v>
      </c>
      <c r="C1217">
        <v>20.100000000000001</v>
      </c>
      <c r="D1217">
        <v>31.15</v>
      </c>
    </row>
    <row r="1218" spans="1:4" x14ac:dyDescent="0.25">
      <c r="A1218" s="1">
        <v>44560</v>
      </c>
      <c r="B1218" t="s">
        <v>58</v>
      </c>
      <c r="C1218">
        <v>28.88</v>
      </c>
      <c r="D1218">
        <v>22.25</v>
      </c>
    </row>
    <row r="1219" spans="1:4" x14ac:dyDescent="0.25">
      <c r="A1219" s="1">
        <v>44560</v>
      </c>
      <c r="B1219" t="s">
        <v>60</v>
      </c>
      <c r="C1219">
        <v>10.050000000000001</v>
      </c>
      <c r="D1219">
        <v>9.9499999999999993</v>
      </c>
    </row>
    <row r="1220" spans="1:4" x14ac:dyDescent="0.25">
      <c r="A1220" s="1">
        <v>44560</v>
      </c>
      <c r="B1220" t="s">
        <v>62</v>
      </c>
      <c r="C1220">
        <v>22.5</v>
      </c>
      <c r="D1220">
        <v>22.38</v>
      </c>
    </row>
    <row r="1221" spans="1:4" x14ac:dyDescent="0.25">
      <c r="A1221" s="1">
        <v>44561</v>
      </c>
      <c r="B1221" t="s">
        <v>56</v>
      </c>
      <c r="C1221">
        <v>16.79</v>
      </c>
      <c r="D1221">
        <v>18</v>
      </c>
    </row>
    <row r="1222" spans="1:4" x14ac:dyDescent="0.25">
      <c r="A1222" s="1">
        <v>44561</v>
      </c>
      <c r="B1222" t="s">
        <v>58</v>
      </c>
      <c r="C1222">
        <v>23.2</v>
      </c>
      <c r="D1222">
        <v>30.29</v>
      </c>
    </row>
    <row r="1223" spans="1:4" x14ac:dyDescent="0.25">
      <c r="A1223" s="1">
        <v>44561</v>
      </c>
      <c r="B1223" t="s">
        <v>60</v>
      </c>
      <c r="C1223">
        <v>10.61</v>
      </c>
      <c r="D1223">
        <v>11.7</v>
      </c>
    </row>
    <row r="1224" spans="1:4" x14ac:dyDescent="0.25">
      <c r="A1224" s="1">
        <v>44561</v>
      </c>
      <c r="B1224" t="s">
        <v>62</v>
      </c>
      <c r="C1224">
        <v>19.260000000000002</v>
      </c>
      <c r="D1224">
        <v>17.5</v>
      </c>
    </row>
    <row r="1225" spans="1:4" x14ac:dyDescent="0.25">
      <c r="A1225" s="1">
        <v>44564</v>
      </c>
      <c r="B1225" t="s">
        <v>56</v>
      </c>
      <c r="C1225">
        <v>20.25</v>
      </c>
      <c r="D1225">
        <v>15.33</v>
      </c>
    </row>
    <row r="1226" spans="1:4" x14ac:dyDescent="0.25">
      <c r="A1226" s="1">
        <v>44564</v>
      </c>
      <c r="B1226" t="s">
        <v>58</v>
      </c>
      <c r="C1226">
        <v>26.16</v>
      </c>
      <c r="D1226">
        <v>22.53</v>
      </c>
    </row>
    <row r="1227" spans="1:4" x14ac:dyDescent="0.25">
      <c r="A1227" s="1">
        <v>44564</v>
      </c>
      <c r="B1227" t="s">
        <v>60</v>
      </c>
      <c r="C1227">
        <v>17.36</v>
      </c>
      <c r="D1227">
        <v>17.059999999999999</v>
      </c>
    </row>
    <row r="1228" spans="1:4" x14ac:dyDescent="0.25">
      <c r="A1228" s="1">
        <v>44564</v>
      </c>
      <c r="B1228" t="s">
        <v>62</v>
      </c>
      <c r="C1228">
        <v>25.56</v>
      </c>
      <c r="D1228">
        <v>22.67</v>
      </c>
    </row>
    <row r="1229" spans="1:4" x14ac:dyDescent="0.25">
      <c r="A1229" s="1">
        <v>44565</v>
      </c>
      <c r="B1229" t="s">
        <v>56</v>
      </c>
      <c r="C1229">
        <v>18.59</v>
      </c>
      <c r="D1229">
        <v>25.4</v>
      </c>
    </row>
    <row r="1230" spans="1:4" x14ac:dyDescent="0.25">
      <c r="A1230" s="1">
        <v>44565</v>
      </c>
      <c r="B1230" t="s">
        <v>58</v>
      </c>
      <c r="C1230">
        <v>24.67</v>
      </c>
      <c r="D1230">
        <v>29.95</v>
      </c>
    </row>
    <row r="1231" spans="1:4" x14ac:dyDescent="0.25">
      <c r="A1231" s="1">
        <v>44565</v>
      </c>
      <c r="B1231" t="s">
        <v>60</v>
      </c>
      <c r="C1231">
        <v>11.28</v>
      </c>
      <c r="D1231">
        <v>17.11</v>
      </c>
    </row>
    <row r="1232" spans="1:4" x14ac:dyDescent="0.25">
      <c r="A1232" s="1">
        <v>44565</v>
      </c>
      <c r="B1232" t="s">
        <v>62</v>
      </c>
      <c r="C1232">
        <v>28.62</v>
      </c>
      <c r="D1232">
        <v>31.92</v>
      </c>
    </row>
    <row r="1233" spans="1:4" x14ac:dyDescent="0.25">
      <c r="A1233" s="1">
        <v>44567</v>
      </c>
      <c r="B1233" t="s">
        <v>56</v>
      </c>
      <c r="C1233">
        <v>21.79</v>
      </c>
      <c r="D1233">
        <v>16.13</v>
      </c>
    </row>
    <row r="1234" spans="1:4" x14ac:dyDescent="0.25">
      <c r="A1234" s="1">
        <v>44567</v>
      </c>
      <c r="B1234" t="s">
        <v>58</v>
      </c>
      <c r="C1234">
        <v>27.08</v>
      </c>
      <c r="D1234">
        <v>27.4</v>
      </c>
    </row>
    <row r="1235" spans="1:4" x14ac:dyDescent="0.25">
      <c r="A1235" s="1">
        <v>44567</v>
      </c>
      <c r="B1235" t="s">
        <v>60</v>
      </c>
      <c r="C1235">
        <v>13.33</v>
      </c>
      <c r="D1235">
        <v>10.54</v>
      </c>
    </row>
    <row r="1236" spans="1:4" x14ac:dyDescent="0.25">
      <c r="A1236" s="1">
        <v>44567</v>
      </c>
      <c r="B1236" t="s">
        <v>62</v>
      </c>
      <c r="C1236">
        <v>24.45</v>
      </c>
      <c r="D1236">
        <v>25.89</v>
      </c>
    </row>
    <row r="1237" spans="1:4" x14ac:dyDescent="0.25">
      <c r="A1237" s="1">
        <v>44568</v>
      </c>
      <c r="B1237" t="s">
        <v>56</v>
      </c>
      <c r="C1237">
        <v>16.38</v>
      </c>
      <c r="D1237">
        <v>15.91</v>
      </c>
    </row>
    <row r="1238" spans="1:4" x14ac:dyDescent="0.25">
      <c r="A1238" s="1">
        <v>44568</v>
      </c>
      <c r="B1238" t="s">
        <v>58</v>
      </c>
      <c r="C1238">
        <v>14.13</v>
      </c>
      <c r="D1238">
        <v>20.71</v>
      </c>
    </row>
    <row r="1239" spans="1:4" x14ac:dyDescent="0.25">
      <c r="A1239" s="1">
        <v>44568</v>
      </c>
      <c r="B1239" t="s">
        <v>60</v>
      </c>
      <c r="C1239">
        <v>17.3</v>
      </c>
      <c r="D1239">
        <v>15.91</v>
      </c>
    </row>
    <row r="1240" spans="1:4" x14ac:dyDescent="0.25">
      <c r="A1240" s="1">
        <v>44568</v>
      </c>
      <c r="B1240" t="s">
        <v>62</v>
      </c>
      <c r="C1240">
        <v>19</v>
      </c>
      <c r="D1240">
        <v>19.329999999999998</v>
      </c>
    </row>
    <row r="1241" spans="1:4" x14ac:dyDescent="0.25">
      <c r="A1241" s="1">
        <v>44569</v>
      </c>
      <c r="B1241" t="s">
        <v>56</v>
      </c>
      <c r="C1241">
        <v>12.91</v>
      </c>
      <c r="D1241">
        <v>12.7</v>
      </c>
    </row>
    <row r="1242" spans="1:4" x14ac:dyDescent="0.25">
      <c r="A1242" s="1">
        <v>44569</v>
      </c>
      <c r="B1242" t="s">
        <v>58</v>
      </c>
      <c r="C1242">
        <v>25.45</v>
      </c>
      <c r="D1242">
        <v>20.78</v>
      </c>
    </row>
    <row r="1243" spans="1:4" x14ac:dyDescent="0.25">
      <c r="A1243" s="1">
        <v>44569</v>
      </c>
      <c r="B1243" t="s">
        <v>60</v>
      </c>
      <c r="C1243">
        <v>10.87</v>
      </c>
      <c r="D1243">
        <v>18.41</v>
      </c>
    </row>
    <row r="1244" spans="1:4" x14ac:dyDescent="0.25">
      <c r="A1244" s="1">
        <v>44569</v>
      </c>
      <c r="B1244" t="s">
        <v>62</v>
      </c>
      <c r="C1244">
        <v>17.05</v>
      </c>
      <c r="D1244">
        <v>18.989999999999998</v>
      </c>
    </row>
    <row r="1245" spans="1:4" x14ac:dyDescent="0.25">
      <c r="A1245" s="1">
        <v>44571</v>
      </c>
      <c r="B1245" t="s">
        <v>56</v>
      </c>
      <c r="C1245">
        <v>20.43</v>
      </c>
      <c r="D1245">
        <v>18.14</v>
      </c>
    </row>
    <row r="1246" spans="1:4" x14ac:dyDescent="0.25">
      <c r="A1246" s="1">
        <v>44571</v>
      </c>
      <c r="B1246" t="s">
        <v>58</v>
      </c>
      <c r="C1246">
        <v>25.78</v>
      </c>
      <c r="D1246">
        <v>25.03</v>
      </c>
    </row>
    <row r="1247" spans="1:4" x14ac:dyDescent="0.25">
      <c r="A1247" s="1">
        <v>44571</v>
      </c>
      <c r="B1247" t="s">
        <v>60</v>
      </c>
      <c r="C1247">
        <v>17.45</v>
      </c>
      <c r="D1247">
        <v>18.920000000000002</v>
      </c>
    </row>
    <row r="1248" spans="1:4" x14ac:dyDescent="0.25">
      <c r="A1248" s="1">
        <v>44571</v>
      </c>
      <c r="B1248" t="s">
        <v>62</v>
      </c>
      <c r="C1248">
        <v>26.15</v>
      </c>
      <c r="D1248">
        <v>28.08</v>
      </c>
    </row>
    <row r="1249" spans="1:4" x14ac:dyDescent="0.25">
      <c r="A1249" s="1">
        <v>44572</v>
      </c>
      <c r="B1249" t="s">
        <v>56</v>
      </c>
      <c r="C1249">
        <v>17.579999999999998</v>
      </c>
      <c r="D1249">
        <v>28.58</v>
      </c>
    </row>
    <row r="1250" spans="1:4" x14ac:dyDescent="0.25">
      <c r="A1250" s="1">
        <v>44572</v>
      </c>
      <c r="B1250" t="s">
        <v>58</v>
      </c>
      <c r="C1250">
        <v>26.22</v>
      </c>
      <c r="D1250">
        <v>25.67</v>
      </c>
    </row>
    <row r="1251" spans="1:4" x14ac:dyDescent="0.25">
      <c r="A1251" s="1">
        <v>44572</v>
      </c>
      <c r="B1251" t="s">
        <v>60</v>
      </c>
      <c r="C1251">
        <v>13.42</v>
      </c>
      <c r="D1251">
        <v>25.92</v>
      </c>
    </row>
    <row r="1252" spans="1:4" x14ac:dyDescent="0.25">
      <c r="A1252" s="1">
        <v>44572</v>
      </c>
      <c r="B1252" t="s">
        <v>62</v>
      </c>
      <c r="C1252">
        <v>27.65</v>
      </c>
      <c r="D1252">
        <v>44.08</v>
      </c>
    </row>
    <row r="1253" spans="1:4" x14ac:dyDescent="0.25">
      <c r="A1253" s="1">
        <v>44574</v>
      </c>
      <c r="B1253" t="s">
        <v>56</v>
      </c>
      <c r="C1253">
        <v>18.190000000000001</v>
      </c>
      <c r="D1253">
        <v>18.32</v>
      </c>
    </row>
    <row r="1254" spans="1:4" x14ac:dyDescent="0.25">
      <c r="A1254" s="1">
        <v>44574</v>
      </c>
      <c r="B1254" t="s">
        <v>58</v>
      </c>
      <c r="C1254">
        <v>26.86</v>
      </c>
      <c r="D1254">
        <v>26.22</v>
      </c>
    </row>
    <row r="1255" spans="1:4" x14ac:dyDescent="0.25">
      <c r="A1255" s="1">
        <v>44574</v>
      </c>
      <c r="B1255" t="s">
        <v>60</v>
      </c>
      <c r="C1255">
        <v>17.13</v>
      </c>
      <c r="D1255">
        <v>12.5</v>
      </c>
    </row>
    <row r="1256" spans="1:4" x14ac:dyDescent="0.25">
      <c r="A1256" s="1">
        <v>44574</v>
      </c>
      <c r="B1256" t="s">
        <v>62</v>
      </c>
      <c r="C1256">
        <v>21.43</v>
      </c>
      <c r="D1256">
        <v>30.61</v>
      </c>
    </row>
    <row r="1257" spans="1:4" x14ac:dyDescent="0.25">
      <c r="A1257" s="1">
        <v>44575</v>
      </c>
      <c r="B1257" t="s">
        <v>56</v>
      </c>
      <c r="C1257">
        <v>16.850000000000001</v>
      </c>
      <c r="D1257">
        <v>18.5</v>
      </c>
    </row>
    <row r="1258" spans="1:4" x14ac:dyDescent="0.25">
      <c r="A1258" s="1">
        <v>44575</v>
      </c>
      <c r="B1258" t="s">
        <v>58</v>
      </c>
      <c r="C1258">
        <v>15.72</v>
      </c>
      <c r="D1258">
        <v>22.86</v>
      </c>
    </row>
    <row r="1259" spans="1:4" x14ac:dyDescent="0.25">
      <c r="A1259" s="1">
        <v>44575</v>
      </c>
      <c r="B1259" t="s">
        <v>60</v>
      </c>
      <c r="C1259">
        <v>12.02</v>
      </c>
      <c r="D1259">
        <v>18.72</v>
      </c>
    </row>
    <row r="1260" spans="1:4" x14ac:dyDescent="0.25">
      <c r="A1260" s="1">
        <v>44575</v>
      </c>
      <c r="B1260" t="s">
        <v>62</v>
      </c>
      <c r="C1260">
        <v>18.649999999999999</v>
      </c>
      <c r="D1260">
        <v>18.440000000000001</v>
      </c>
    </row>
    <row r="1261" spans="1:4" x14ac:dyDescent="0.25">
      <c r="A1261" s="1">
        <v>44576</v>
      </c>
      <c r="B1261" t="s">
        <v>56</v>
      </c>
      <c r="C1261">
        <v>12.16</v>
      </c>
      <c r="D1261">
        <v>18.5</v>
      </c>
    </row>
    <row r="1262" spans="1:4" x14ac:dyDescent="0.25">
      <c r="A1262" s="1">
        <v>44576</v>
      </c>
      <c r="B1262" t="s">
        <v>58</v>
      </c>
      <c r="C1262">
        <v>25.07</v>
      </c>
      <c r="D1262">
        <v>15.53</v>
      </c>
    </row>
    <row r="1263" spans="1:4" x14ac:dyDescent="0.25">
      <c r="A1263" s="1">
        <v>44576</v>
      </c>
      <c r="B1263" t="s">
        <v>60</v>
      </c>
      <c r="C1263">
        <v>7.62</v>
      </c>
      <c r="D1263">
        <v>18.329999999999998</v>
      </c>
    </row>
    <row r="1264" spans="1:4" x14ac:dyDescent="0.25">
      <c r="A1264" s="1">
        <v>44576</v>
      </c>
      <c r="B1264" t="s">
        <v>62</v>
      </c>
      <c r="C1264">
        <v>18.02</v>
      </c>
      <c r="D1264">
        <v>21.25</v>
      </c>
    </row>
    <row r="1265" spans="1:4" x14ac:dyDescent="0.25">
      <c r="A1265" s="1">
        <v>44578</v>
      </c>
      <c r="B1265" t="s">
        <v>56</v>
      </c>
      <c r="C1265">
        <v>22.75</v>
      </c>
      <c r="D1265">
        <v>18.45</v>
      </c>
    </row>
    <row r="1266" spans="1:4" x14ac:dyDescent="0.25">
      <c r="A1266" s="1">
        <v>44578</v>
      </c>
      <c r="B1266" t="s">
        <v>58</v>
      </c>
      <c r="C1266">
        <v>26.17</v>
      </c>
      <c r="D1266">
        <v>28.76</v>
      </c>
    </row>
    <row r="1267" spans="1:4" x14ac:dyDescent="0.25">
      <c r="A1267" s="1">
        <v>44578</v>
      </c>
      <c r="B1267" t="s">
        <v>60</v>
      </c>
      <c r="C1267">
        <v>16.899999999999999</v>
      </c>
      <c r="D1267">
        <v>16.37</v>
      </c>
    </row>
    <row r="1268" spans="1:4" x14ac:dyDescent="0.25">
      <c r="A1268" s="1">
        <v>44578</v>
      </c>
      <c r="B1268" t="s">
        <v>62</v>
      </c>
      <c r="C1268">
        <v>24.92</v>
      </c>
      <c r="D1268">
        <v>25.62</v>
      </c>
    </row>
    <row r="1269" spans="1:4" x14ac:dyDescent="0.25">
      <c r="A1269" s="1">
        <v>44579</v>
      </c>
      <c r="B1269" t="s">
        <v>56</v>
      </c>
      <c r="C1269">
        <v>16.149999999999999</v>
      </c>
      <c r="D1269">
        <v>22.07</v>
      </c>
    </row>
    <row r="1270" spans="1:4" x14ac:dyDescent="0.25">
      <c r="A1270" s="1">
        <v>44579</v>
      </c>
      <c r="B1270" t="s">
        <v>58</v>
      </c>
      <c r="C1270">
        <v>23.8</v>
      </c>
      <c r="D1270">
        <v>26</v>
      </c>
    </row>
    <row r="1271" spans="1:4" x14ac:dyDescent="0.25">
      <c r="A1271" s="1">
        <v>44579</v>
      </c>
      <c r="B1271" t="s">
        <v>60</v>
      </c>
      <c r="C1271">
        <v>9.23</v>
      </c>
      <c r="D1271">
        <v>26.14</v>
      </c>
    </row>
    <row r="1272" spans="1:4" x14ac:dyDescent="0.25">
      <c r="A1272" s="1">
        <v>44579</v>
      </c>
      <c r="B1272" t="s">
        <v>62</v>
      </c>
      <c r="C1272">
        <v>36.46</v>
      </c>
      <c r="D1272">
        <v>42.83</v>
      </c>
    </row>
    <row r="1273" spans="1:4" x14ac:dyDescent="0.25">
      <c r="A1273" s="1">
        <v>44581</v>
      </c>
      <c r="B1273" t="s">
        <v>56</v>
      </c>
      <c r="C1273">
        <v>19.86</v>
      </c>
      <c r="D1273">
        <v>17.79</v>
      </c>
    </row>
    <row r="1274" spans="1:4" x14ac:dyDescent="0.25">
      <c r="A1274" s="1">
        <v>44581</v>
      </c>
      <c r="B1274" t="s">
        <v>58</v>
      </c>
      <c r="C1274">
        <v>27.32</v>
      </c>
      <c r="D1274">
        <v>26.12</v>
      </c>
    </row>
    <row r="1275" spans="1:4" x14ac:dyDescent="0.25">
      <c r="A1275" s="1">
        <v>44581</v>
      </c>
      <c r="B1275" t="s">
        <v>60</v>
      </c>
      <c r="C1275">
        <v>10.1</v>
      </c>
      <c r="D1275">
        <v>17.04</v>
      </c>
    </row>
    <row r="1276" spans="1:4" x14ac:dyDescent="0.25">
      <c r="A1276" s="1">
        <v>44581</v>
      </c>
      <c r="B1276" t="s">
        <v>62</v>
      </c>
      <c r="C1276">
        <v>19.97</v>
      </c>
      <c r="D1276">
        <v>19.25</v>
      </c>
    </row>
    <row r="1277" spans="1:4" x14ac:dyDescent="0.25">
      <c r="A1277" s="1">
        <v>44582</v>
      </c>
      <c r="B1277" t="s">
        <v>56</v>
      </c>
      <c r="C1277">
        <v>13.23</v>
      </c>
      <c r="D1277">
        <v>17.489999999999998</v>
      </c>
    </row>
    <row r="1278" spans="1:4" x14ac:dyDescent="0.25">
      <c r="A1278" s="1">
        <v>44582</v>
      </c>
      <c r="B1278" t="s">
        <v>58</v>
      </c>
      <c r="C1278">
        <v>14.27</v>
      </c>
      <c r="D1278">
        <v>16.78</v>
      </c>
    </row>
    <row r="1279" spans="1:4" x14ac:dyDescent="0.25">
      <c r="A1279" s="1">
        <v>44582</v>
      </c>
      <c r="B1279" t="s">
        <v>60</v>
      </c>
      <c r="C1279">
        <v>12.82</v>
      </c>
      <c r="D1279">
        <v>14.75</v>
      </c>
    </row>
    <row r="1280" spans="1:4" x14ac:dyDescent="0.25">
      <c r="A1280" s="1">
        <v>44582</v>
      </c>
      <c r="B1280" t="s">
        <v>62</v>
      </c>
      <c r="C1280">
        <v>24.92</v>
      </c>
      <c r="D1280">
        <v>26.93</v>
      </c>
    </row>
    <row r="1281" spans="1:4" x14ac:dyDescent="0.25">
      <c r="A1281" s="1">
        <v>44583</v>
      </c>
      <c r="B1281" t="s">
        <v>56</v>
      </c>
      <c r="C1281">
        <v>12.12</v>
      </c>
      <c r="D1281">
        <v>17.28</v>
      </c>
    </row>
    <row r="1282" spans="1:4" x14ac:dyDescent="0.25">
      <c r="A1282" s="1">
        <v>44583</v>
      </c>
      <c r="B1282" t="s">
        <v>58</v>
      </c>
      <c r="C1282">
        <v>24.77</v>
      </c>
      <c r="D1282">
        <v>23.12</v>
      </c>
    </row>
    <row r="1283" spans="1:4" x14ac:dyDescent="0.25">
      <c r="A1283" s="1">
        <v>44583</v>
      </c>
      <c r="B1283" t="s">
        <v>60</v>
      </c>
      <c r="C1283">
        <v>7.11</v>
      </c>
      <c r="D1283">
        <v>14.13</v>
      </c>
    </row>
    <row r="1284" spans="1:4" x14ac:dyDescent="0.25">
      <c r="A1284" s="1">
        <v>44583</v>
      </c>
      <c r="B1284" t="s">
        <v>62</v>
      </c>
      <c r="C1284">
        <v>16.670000000000002</v>
      </c>
      <c r="D1284">
        <v>21.01</v>
      </c>
    </row>
    <row r="1285" spans="1:4" x14ac:dyDescent="0.25">
      <c r="A1285" s="1">
        <v>44585</v>
      </c>
      <c r="B1285" t="s">
        <v>56</v>
      </c>
      <c r="C1285">
        <v>22.48</v>
      </c>
      <c r="D1285">
        <v>17.38</v>
      </c>
    </row>
    <row r="1286" spans="1:4" x14ac:dyDescent="0.25">
      <c r="A1286" s="1">
        <v>44585</v>
      </c>
      <c r="B1286" t="s">
        <v>58</v>
      </c>
      <c r="C1286">
        <v>25.88</v>
      </c>
      <c r="D1286">
        <v>27.29</v>
      </c>
    </row>
    <row r="1287" spans="1:4" x14ac:dyDescent="0.25">
      <c r="A1287" s="1">
        <v>44585</v>
      </c>
      <c r="B1287" t="s">
        <v>60</v>
      </c>
      <c r="C1287">
        <v>15.45</v>
      </c>
      <c r="D1287">
        <v>15.49</v>
      </c>
    </row>
    <row r="1288" spans="1:4" x14ac:dyDescent="0.25">
      <c r="A1288" s="1">
        <v>44585</v>
      </c>
      <c r="B1288" t="s">
        <v>62</v>
      </c>
      <c r="C1288">
        <v>24.48</v>
      </c>
      <c r="D1288">
        <v>24.24</v>
      </c>
    </row>
    <row r="1289" spans="1:4" x14ac:dyDescent="0.25">
      <c r="A1289" s="1">
        <v>44586</v>
      </c>
      <c r="B1289" t="s">
        <v>56</v>
      </c>
      <c r="C1289">
        <v>18.84</v>
      </c>
      <c r="D1289">
        <v>26.86</v>
      </c>
    </row>
    <row r="1290" spans="1:4" x14ac:dyDescent="0.25">
      <c r="A1290" s="1">
        <v>44586</v>
      </c>
      <c r="B1290" t="s">
        <v>58</v>
      </c>
      <c r="C1290">
        <v>25.2</v>
      </c>
      <c r="D1290">
        <v>25.6</v>
      </c>
    </row>
    <row r="1291" spans="1:4" x14ac:dyDescent="0.25">
      <c r="A1291" s="1">
        <v>44586</v>
      </c>
      <c r="B1291" t="s">
        <v>60</v>
      </c>
      <c r="C1291">
        <v>11.78</v>
      </c>
      <c r="D1291">
        <v>16.66</v>
      </c>
    </row>
    <row r="1292" spans="1:4" x14ac:dyDescent="0.25">
      <c r="A1292" s="1">
        <v>44586</v>
      </c>
      <c r="B1292" t="s">
        <v>62</v>
      </c>
      <c r="C1292">
        <v>24.98</v>
      </c>
      <c r="D1292">
        <v>33.85</v>
      </c>
    </row>
    <row r="1293" spans="1:4" x14ac:dyDescent="0.25">
      <c r="A1293" s="1">
        <v>44588</v>
      </c>
      <c r="B1293" t="s">
        <v>56</v>
      </c>
      <c r="C1293">
        <v>20.04</v>
      </c>
      <c r="D1293">
        <v>18.09</v>
      </c>
    </row>
    <row r="1294" spans="1:4" x14ac:dyDescent="0.25">
      <c r="A1294" s="1">
        <v>44588</v>
      </c>
      <c r="B1294" t="s">
        <v>58</v>
      </c>
      <c r="C1294">
        <v>27.26</v>
      </c>
      <c r="D1294">
        <v>22.77</v>
      </c>
    </row>
    <row r="1295" spans="1:4" x14ac:dyDescent="0.25">
      <c r="A1295" s="1">
        <v>44588</v>
      </c>
      <c r="B1295" t="s">
        <v>60</v>
      </c>
      <c r="C1295">
        <v>18.5</v>
      </c>
      <c r="D1295">
        <v>12.8</v>
      </c>
    </row>
    <row r="1296" spans="1:4" x14ac:dyDescent="0.25">
      <c r="A1296" s="1">
        <v>44588</v>
      </c>
      <c r="B1296" t="s">
        <v>62</v>
      </c>
      <c r="C1296">
        <v>18.809999999999999</v>
      </c>
      <c r="D1296">
        <v>12.2</v>
      </c>
    </row>
    <row r="1297" spans="1:4" x14ac:dyDescent="0.25">
      <c r="A1297" s="1">
        <v>44589</v>
      </c>
      <c r="B1297" t="s">
        <v>56</v>
      </c>
      <c r="C1297">
        <v>19.43</v>
      </c>
      <c r="D1297">
        <v>17.41</v>
      </c>
    </row>
    <row r="1298" spans="1:4" x14ac:dyDescent="0.25">
      <c r="A1298" s="1">
        <v>44589</v>
      </c>
      <c r="B1298" t="s">
        <v>58</v>
      </c>
      <c r="C1298">
        <v>16.649999999999999</v>
      </c>
      <c r="D1298">
        <v>15.42</v>
      </c>
    </row>
    <row r="1299" spans="1:4" x14ac:dyDescent="0.25">
      <c r="A1299" s="1">
        <v>44589</v>
      </c>
      <c r="B1299" t="s">
        <v>60</v>
      </c>
      <c r="C1299">
        <v>11.78</v>
      </c>
      <c r="D1299">
        <v>17.5</v>
      </c>
    </row>
    <row r="1300" spans="1:4" x14ac:dyDescent="0.25">
      <c r="A1300" s="1">
        <v>44589</v>
      </c>
      <c r="B1300" t="s">
        <v>62</v>
      </c>
      <c r="C1300">
        <v>16.63</v>
      </c>
      <c r="D1300">
        <v>23.98</v>
      </c>
    </row>
    <row r="1301" spans="1:4" x14ac:dyDescent="0.25">
      <c r="A1301" s="1">
        <v>44590</v>
      </c>
      <c r="B1301" t="s">
        <v>56</v>
      </c>
      <c r="C1301">
        <v>13.05</v>
      </c>
      <c r="D1301">
        <v>18.21</v>
      </c>
    </row>
    <row r="1302" spans="1:4" x14ac:dyDescent="0.25">
      <c r="A1302" s="1">
        <v>44590</v>
      </c>
      <c r="B1302" t="s">
        <v>58</v>
      </c>
      <c r="C1302">
        <v>24.83</v>
      </c>
      <c r="D1302">
        <v>23.85</v>
      </c>
    </row>
    <row r="1303" spans="1:4" x14ac:dyDescent="0.25">
      <c r="A1303" s="1">
        <v>44590</v>
      </c>
      <c r="B1303" t="s">
        <v>60</v>
      </c>
      <c r="C1303">
        <v>7.43</v>
      </c>
      <c r="D1303">
        <v>19</v>
      </c>
    </row>
    <row r="1304" spans="1:4" x14ac:dyDescent="0.25">
      <c r="A1304" s="1">
        <v>44590</v>
      </c>
      <c r="B1304" t="s">
        <v>62</v>
      </c>
      <c r="C1304">
        <v>16.52</v>
      </c>
      <c r="D1304">
        <v>19.03</v>
      </c>
    </row>
    <row r="1305" spans="1:4" x14ac:dyDescent="0.25">
      <c r="A1305" s="1">
        <v>44592</v>
      </c>
      <c r="B1305" t="s">
        <v>56</v>
      </c>
      <c r="C1305">
        <v>22.48</v>
      </c>
      <c r="D1305">
        <v>18.54</v>
      </c>
    </row>
    <row r="1306" spans="1:4" x14ac:dyDescent="0.25">
      <c r="A1306" s="1">
        <v>44592</v>
      </c>
      <c r="B1306" t="s">
        <v>58</v>
      </c>
      <c r="C1306">
        <v>26.37</v>
      </c>
      <c r="D1306">
        <v>28.31</v>
      </c>
    </row>
    <row r="1307" spans="1:4" x14ac:dyDescent="0.25">
      <c r="A1307" s="1">
        <v>44592</v>
      </c>
      <c r="B1307" t="s">
        <v>60</v>
      </c>
      <c r="C1307">
        <v>17.22</v>
      </c>
      <c r="D1307">
        <v>17.32</v>
      </c>
    </row>
    <row r="1308" spans="1:4" x14ac:dyDescent="0.25">
      <c r="A1308" s="1">
        <v>44592</v>
      </c>
      <c r="B1308" t="s">
        <v>62</v>
      </c>
      <c r="C1308">
        <v>23.02</v>
      </c>
      <c r="D1308">
        <v>19.170000000000002</v>
      </c>
    </row>
    <row r="1309" spans="1:4" x14ac:dyDescent="0.25">
      <c r="A1309" s="1">
        <v>44593</v>
      </c>
      <c r="B1309" t="s">
        <v>56</v>
      </c>
      <c r="C1309">
        <v>18.45</v>
      </c>
      <c r="D1309">
        <v>18.5</v>
      </c>
    </row>
    <row r="1310" spans="1:4" x14ac:dyDescent="0.25">
      <c r="A1310" s="1">
        <v>44593</v>
      </c>
      <c r="B1310" t="s">
        <v>58</v>
      </c>
      <c r="C1310">
        <v>29.4</v>
      </c>
      <c r="D1310">
        <v>26.41</v>
      </c>
    </row>
    <row r="1311" spans="1:4" x14ac:dyDescent="0.25">
      <c r="A1311" s="1">
        <v>44593</v>
      </c>
      <c r="B1311" t="s">
        <v>60</v>
      </c>
      <c r="C1311">
        <v>8.6300000000000008</v>
      </c>
      <c r="D1311">
        <v>16.2</v>
      </c>
    </row>
    <row r="1312" spans="1:4" x14ac:dyDescent="0.25">
      <c r="A1312" s="1">
        <v>44593</v>
      </c>
      <c r="B1312" t="s">
        <v>62</v>
      </c>
      <c r="C1312">
        <v>22</v>
      </c>
      <c r="D1312">
        <v>51.82</v>
      </c>
    </row>
    <row r="1313" spans="1:4" x14ac:dyDescent="0.25">
      <c r="A1313" s="1">
        <v>44595</v>
      </c>
      <c r="B1313" t="s">
        <v>56</v>
      </c>
      <c r="C1313">
        <v>22.01</v>
      </c>
      <c r="D1313">
        <v>18.62</v>
      </c>
    </row>
    <row r="1314" spans="1:4" x14ac:dyDescent="0.25">
      <c r="A1314" s="1">
        <v>44595</v>
      </c>
      <c r="B1314" t="s">
        <v>58</v>
      </c>
      <c r="C1314">
        <v>28.61</v>
      </c>
      <c r="D1314">
        <v>32.880000000000003</v>
      </c>
    </row>
    <row r="1315" spans="1:4" x14ac:dyDescent="0.25">
      <c r="A1315" s="1">
        <v>44595</v>
      </c>
      <c r="B1315" t="s">
        <v>60</v>
      </c>
      <c r="C1315">
        <v>11.03</v>
      </c>
      <c r="D1315">
        <v>15.3</v>
      </c>
    </row>
    <row r="1316" spans="1:4" x14ac:dyDescent="0.25">
      <c r="A1316" s="1">
        <v>44595</v>
      </c>
      <c r="B1316" t="s">
        <v>62</v>
      </c>
      <c r="C1316">
        <v>19.7</v>
      </c>
      <c r="D1316">
        <v>11.2</v>
      </c>
    </row>
    <row r="1317" spans="1:4" x14ac:dyDescent="0.25">
      <c r="A1317" s="1">
        <v>44596</v>
      </c>
      <c r="B1317" t="s">
        <v>56</v>
      </c>
      <c r="C1317">
        <v>15.28</v>
      </c>
      <c r="D1317">
        <v>16.7</v>
      </c>
    </row>
    <row r="1318" spans="1:4" x14ac:dyDescent="0.25">
      <c r="A1318" s="1">
        <v>44596</v>
      </c>
      <c r="B1318" t="s">
        <v>58</v>
      </c>
      <c r="C1318">
        <v>16.350000000000001</v>
      </c>
      <c r="D1318">
        <v>15.43</v>
      </c>
    </row>
    <row r="1319" spans="1:4" x14ac:dyDescent="0.25">
      <c r="A1319" s="1">
        <v>44596</v>
      </c>
      <c r="B1319" t="s">
        <v>60</v>
      </c>
      <c r="C1319">
        <v>11.33</v>
      </c>
      <c r="D1319">
        <v>16.329999999999998</v>
      </c>
    </row>
    <row r="1320" spans="1:4" x14ac:dyDescent="0.25">
      <c r="A1320" s="1">
        <v>44596</v>
      </c>
      <c r="B1320" t="s">
        <v>62</v>
      </c>
      <c r="C1320">
        <v>21.52</v>
      </c>
      <c r="D1320">
        <v>22.45</v>
      </c>
    </row>
    <row r="1321" spans="1:4" x14ac:dyDescent="0.25">
      <c r="A1321" s="1">
        <v>44597</v>
      </c>
      <c r="B1321" t="s">
        <v>56</v>
      </c>
      <c r="C1321">
        <v>13.5</v>
      </c>
      <c r="D1321">
        <v>17.73</v>
      </c>
    </row>
    <row r="1322" spans="1:4" x14ac:dyDescent="0.25">
      <c r="A1322" s="1">
        <v>44597</v>
      </c>
      <c r="B1322" t="s">
        <v>58</v>
      </c>
      <c r="C1322">
        <v>26.08</v>
      </c>
      <c r="D1322">
        <v>28.9</v>
      </c>
    </row>
    <row r="1323" spans="1:4" x14ac:dyDescent="0.25">
      <c r="A1323" s="1">
        <v>44597</v>
      </c>
      <c r="B1323" t="s">
        <v>60</v>
      </c>
      <c r="C1323">
        <v>7.45</v>
      </c>
      <c r="D1323">
        <v>14.27</v>
      </c>
    </row>
    <row r="1324" spans="1:4" x14ac:dyDescent="0.25">
      <c r="A1324" s="1">
        <v>44597</v>
      </c>
      <c r="B1324" t="s">
        <v>62</v>
      </c>
      <c r="C1324">
        <v>17.170000000000002</v>
      </c>
      <c r="D1324">
        <v>22.75</v>
      </c>
    </row>
    <row r="1325" spans="1:4" x14ac:dyDescent="0.25">
      <c r="A1325" s="1">
        <v>44599</v>
      </c>
      <c r="B1325" t="s">
        <v>56</v>
      </c>
      <c r="C1325">
        <v>20.75</v>
      </c>
      <c r="D1325">
        <v>28.5</v>
      </c>
    </row>
    <row r="1326" spans="1:4" x14ac:dyDescent="0.25">
      <c r="A1326" s="1">
        <v>44599</v>
      </c>
      <c r="B1326" t="s">
        <v>58</v>
      </c>
      <c r="C1326">
        <v>26.88</v>
      </c>
      <c r="D1326">
        <v>27.32</v>
      </c>
    </row>
    <row r="1327" spans="1:4" x14ac:dyDescent="0.25">
      <c r="A1327" s="1">
        <v>44599</v>
      </c>
      <c r="B1327" t="s">
        <v>60</v>
      </c>
      <c r="C1327">
        <v>17.98</v>
      </c>
      <c r="D1327">
        <v>16.170000000000002</v>
      </c>
    </row>
    <row r="1328" spans="1:4" x14ac:dyDescent="0.25">
      <c r="A1328" s="1">
        <v>44599</v>
      </c>
      <c r="B1328" t="s">
        <v>62</v>
      </c>
      <c r="C1328">
        <v>28.82</v>
      </c>
      <c r="D1328">
        <v>32.159999999999997</v>
      </c>
    </row>
    <row r="1329" spans="1:4" x14ac:dyDescent="0.25">
      <c r="A1329" s="1">
        <v>44600</v>
      </c>
      <c r="B1329" t="s">
        <v>56</v>
      </c>
      <c r="C1329">
        <v>18.100000000000001</v>
      </c>
      <c r="D1329">
        <v>19.27</v>
      </c>
    </row>
    <row r="1330" spans="1:4" x14ac:dyDescent="0.25">
      <c r="A1330" s="1">
        <v>44600</v>
      </c>
      <c r="B1330" t="s">
        <v>58</v>
      </c>
      <c r="C1330">
        <v>25.67</v>
      </c>
      <c r="D1330">
        <v>25.57</v>
      </c>
    </row>
    <row r="1331" spans="1:4" x14ac:dyDescent="0.25">
      <c r="A1331" s="1">
        <v>44600</v>
      </c>
      <c r="B1331" t="s">
        <v>60</v>
      </c>
      <c r="C1331">
        <v>8.9</v>
      </c>
      <c r="D1331">
        <v>15.29</v>
      </c>
    </row>
    <row r="1332" spans="1:4" x14ac:dyDescent="0.25">
      <c r="A1332" s="1">
        <v>44600</v>
      </c>
      <c r="B1332" t="s">
        <v>62</v>
      </c>
      <c r="C1332">
        <v>22.61</v>
      </c>
      <c r="D1332">
        <v>21.56</v>
      </c>
    </row>
    <row r="1333" spans="1:4" x14ac:dyDescent="0.25">
      <c r="A1333" s="1">
        <v>44602</v>
      </c>
      <c r="B1333" t="s">
        <v>56</v>
      </c>
      <c r="C1333">
        <v>22.56</v>
      </c>
      <c r="D1333">
        <v>26.07</v>
      </c>
    </row>
    <row r="1334" spans="1:4" x14ac:dyDescent="0.25">
      <c r="A1334" s="1">
        <v>44602</v>
      </c>
      <c r="B1334" t="s">
        <v>58</v>
      </c>
      <c r="C1334">
        <v>30.11</v>
      </c>
      <c r="D1334">
        <v>35.54</v>
      </c>
    </row>
    <row r="1335" spans="1:4" x14ac:dyDescent="0.25">
      <c r="A1335" s="1">
        <v>44602</v>
      </c>
      <c r="B1335" t="s">
        <v>60</v>
      </c>
      <c r="C1335">
        <v>16.2</v>
      </c>
      <c r="D1335">
        <v>18.52</v>
      </c>
    </row>
    <row r="1336" spans="1:4" x14ac:dyDescent="0.25">
      <c r="A1336" s="1">
        <v>44602</v>
      </c>
      <c r="B1336" t="s">
        <v>62</v>
      </c>
      <c r="C1336">
        <v>19.13</v>
      </c>
      <c r="D1336">
        <v>19.22</v>
      </c>
    </row>
    <row r="1337" spans="1:4" x14ac:dyDescent="0.25">
      <c r="A1337" s="1">
        <v>44603</v>
      </c>
      <c r="B1337" t="s">
        <v>56</v>
      </c>
      <c r="C1337">
        <v>21.82</v>
      </c>
      <c r="D1337">
        <v>23</v>
      </c>
    </row>
    <row r="1338" spans="1:4" x14ac:dyDescent="0.25">
      <c r="A1338" s="1">
        <v>44603</v>
      </c>
      <c r="B1338" t="s">
        <v>58</v>
      </c>
      <c r="C1338">
        <v>20.97</v>
      </c>
      <c r="D1338">
        <v>20</v>
      </c>
    </row>
    <row r="1339" spans="1:4" x14ac:dyDescent="0.25">
      <c r="A1339" s="1">
        <v>44603</v>
      </c>
      <c r="B1339" t="s">
        <v>60</v>
      </c>
      <c r="C1339">
        <v>17.27</v>
      </c>
      <c r="D1339">
        <v>17.87</v>
      </c>
    </row>
    <row r="1340" spans="1:4" x14ac:dyDescent="0.25">
      <c r="A1340" s="1">
        <v>44603</v>
      </c>
      <c r="B1340" t="s">
        <v>62</v>
      </c>
      <c r="C1340">
        <v>21.83</v>
      </c>
      <c r="D1340">
        <v>23</v>
      </c>
    </row>
    <row r="1341" spans="1:4" x14ac:dyDescent="0.25">
      <c r="A1341" s="1">
        <v>44604</v>
      </c>
      <c r="B1341" t="s">
        <v>56</v>
      </c>
      <c r="C1341">
        <v>14.48</v>
      </c>
      <c r="D1341">
        <v>21.33</v>
      </c>
    </row>
    <row r="1342" spans="1:4" x14ac:dyDescent="0.25">
      <c r="A1342" s="1">
        <v>44604</v>
      </c>
      <c r="B1342" t="s">
        <v>58</v>
      </c>
      <c r="C1342">
        <v>27.48</v>
      </c>
      <c r="D1342">
        <v>29.71</v>
      </c>
    </row>
    <row r="1343" spans="1:4" x14ac:dyDescent="0.25">
      <c r="A1343" s="1">
        <v>44604</v>
      </c>
      <c r="B1343" t="s">
        <v>60</v>
      </c>
      <c r="C1343">
        <v>7.45</v>
      </c>
      <c r="D1343">
        <v>12.98</v>
      </c>
    </row>
    <row r="1344" spans="1:4" x14ac:dyDescent="0.25">
      <c r="A1344" s="1">
        <v>44604</v>
      </c>
      <c r="B1344" t="s">
        <v>62</v>
      </c>
      <c r="C1344">
        <v>15.96</v>
      </c>
      <c r="D1344">
        <v>27.5</v>
      </c>
    </row>
    <row r="1345" spans="1:4" x14ac:dyDescent="0.25">
      <c r="A1345" s="1">
        <v>44606</v>
      </c>
      <c r="B1345" t="s">
        <v>56</v>
      </c>
      <c r="C1345">
        <v>22.05</v>
      </c>
      <c r="D1345">
        <v>27.59</v>
      </c>
    </row>
    <row r="1346" spans="1:4" x14ac:dyDescent="0.25">
      <c r="A1346" s="1">
        <v>44606</v>
      </c>
      <c r="B1346" t="s">
        <v>58</v>
      </c>
      <c r="C1346">
        <v>24.68</v>
      </c>
      <c r="D1346">
        <v>25.3</v>
      </c>
    </row>
    <row r="1347" spans="1:4" x14ac:dyDescent="0.25">
      <c r="A1347" s="1">
        <v>44606</v>
      </c>
      <c r="B1347" t="s">
        <v>60</v>
      </c>
      <c r="C1347">
        <v>15.98</v>
      </c>
      <c r="D1347">
        <v>15.42</v>
      </c>
    </row>
    <row r="1348" spans="1:4" x14ac:dyDescent="0.25">
      <c r="A1348" s="1">
        <v>44606</v>
      </c>
      <c r="B1348" t="s">
        <v>62</v>
      </c>
      <c r="C1348">
        <v>23.82</v>
      </c>
      <c r="D1348">
        <v>24.28</v>
      </c>
    </row>
    <row r="1349" spans="1:4" x14ac:dyDescent="0.25">
      <c r="A1349" s="1">
        <v>44607</v>
      </c>
      <c r="B1349" t="s">
        <v>56</v>
      </c>
      <c r="C1349">
        <v>20.6</v>
      </c>
      <c r="D1349">
        <v>21.58</v>
      </c>
    </row>
    <row r="1350" spans="1:4" x14ac:dyDescent="0.25">
      <c r="A1350" s="1">
        <v>44607</v>
      </c>
      <c r="B1350" t="s">
        <v>58</v>
      </c>
      <c r="C1350">
        <v>23.53</v>
      </c>
      <c r="D1350">
        <v>23.58</v>
      </c>
    </row>
    <row r="1351" spans="1:4" x14ac:dyDescent="0.25">
      <c r="A1351" s="1">
        <v>44607</v>
      </c>
      <c r="B1351" t="s">
        <v>60</v>
      </c>
      <c r="C1351">
        <v>9.7799999999999994</v>
      </c>
      <c r="D1351">
        <v>15.6</v>
      </c>
    </row>
    <row r="1352" spans="1:4" x14ac:dyDescent="0.25">
      <c r="A1352" s="1">
        <v>44607</v>
      </c>
      <c r="B1352" t="s">
        <v>62</v>
      </c>
      <c r="C1352">
        <v>23</v>
      </c>
      <c r="D1352">
        <v>22.08</v>
      </c>
    </row>
    <row r="1353" spans="1:4" x14ac:dyDescent="0.25">
      <c r="A1353" s="1">
        <v>44609</v>
      </c>
      <c r="B1353" t="s">
        <v>56</v>
      </c>
      <c r="C1353">
        <v>21.61</v>
      </c>
      <c r="D1353">
        <v>24.83</v>
      </c>
    </row>
    <row r="1354" spans="1:4" x14ac:dyDescent="0.25">
      <c r="A1354" s="1">
        <v>44609</v>
      </c>
      <c r="B1354" t="s">
        <v>58</v>
      </c>
      <c r="C1354">
        <v>26.75</v>
      </c>
      <c r="D1354">
        <v>30.24</v>
      </c>
    </row>
    <row r="1355" spans="1:4" x14ac:dyDescent="0.25">
      <c r="A1355" s="1">
        <v>44609</v>
      </c>
      <c r="B1355" t="s">
        <v>60</v>
      </c>
      <c r="C1355">
        <v>10.11</v>
      </c>
      <c r="D1355">
        <v>10.92</v>
      </c>
    </row>
    <row r="1356" spans="1:4" x14ac:dyDescent="0.25">
      <c r="A1356" s="1">
        <v>44609</v>
      </c>
      <c r="B1356" t="s">
        <v>62</v>
      </c>
      <c r="C1356">
        <v>18.3</v>
      </c>
      <c r="D1356">
        <v>18.47</v>
      </c>
    </row>
    <row r="1357" spans="1:4" x14ac:dyDescent="0.25">
      <c r="A1357" s="1">
        <v>44610</v>
      </c>
      <c r="B1357" t="s">
        <v>56</v>
      </c>
      <c r="C1357">
        <v>16.59</v>
      </c>
      <c r="D1357">
        <v>20.100000000000001</v>
      </c>
    </row>
    <row r="1358" spans="1:4" x14ac:dyDescent="0.25">
      <c r="A1358" s="1">
        <v>44610</v>
      </c>
      <c r="B1358" t="s">
        <v>58</v>
      </c>
      <c r="C1358">
        <v>12.82</v>
      </c>
      <c r="D1358">
        <v>17.03</v>
      </c>
    </row>
    <row r="1359" spans="1:4" x14ac:dyDescent="0.25">
      <c r="A1359" s="1">
        <v>44610</v>
      </c>
      <c r="B1359" t="s">
        <v>60</v>
      </c>
      <c r="C1359">
        <v>10.050000000000001</v>
      </c>
      <c r="D1359">
        <v>13.92</v>
      </c>
    </row>
    <row r="1360" spans="1:4" x14ac:dyDescent="0.25">
      <c r="A1360" s="1">
        <v>44610</v>
      </c>
      <c r="B1360" t="s">
        <v>62</v>
      </c>
      <c r="C1360">
        <v>19.8</v>
      </c>
      <c r="D1360">
        <v>21.62</v>
      </c>
    </row>
    <row r="1361" spans="1:4" x14ac:dyDescent="0.25">
      <c r="A1361" s="1">
        <v>44611</v>
      </c>
      <c r="B1361" t="s">
        <v>56</v>
      </c>
      <c r="C1361">
        <v>13.8</v>
      </c>
      <c r="D1361">
        <v>23.49</v>
      </c>
    </row>
    <row r="1362" spans="1:4" x14ac:dyDescent="0.25">
      <c r="A1362" s="1">
        <v>44611</v>
      </c>
      <c r="B1362" t="s">
        <v>58</v>
      </c>
      <c r="C1362">
        <v>22.83</v>
      </c>
      <c r="D1362">
        <v>28.99</v>
      </c>
    </row>
    <row r="1363" spans="1:4" x14ac:dyDescent="0.25">
      <c r="A1363" s="1">
        <v>44611</v>
      </c>
      <c r="B1363" t="s">
        <v>60</v>
      </c>
      <c r="C1363">
        <v>7.12</v>
      </c>
      <c r="D1363">
        <v>10.25</v>
      </c>
    </row>
    <row r="1364" spans="1:4" x14ac:dyDescent="0.25">
      <c r="A1364" s="1">
        <v>44611</v>
      </c>
      <c r="B1364" t="s">
        <v>62</v>
      </c>
      <c r="C1364">
        <v>15.27</v>
      </c>
      <c r="D1364">
        <v>26.34</v>
      </c>
    </row>
    <row r="1365" spans="1:4" x14ac:dyDescent="0.25">
      <c r="A1365" s="1">
        <v>44613</v>
      </c>
      <c r="B1365" t="s">
        <v>56</v>
      </c>
      <c r="C1365">
        <v>22.77</v>
      </c>
      <c r="D1365">
        <v>25.49</v>
      </c>
    </row>
    <row r="1366" spans="1:4" x14ac:dyDescent="0.25">
      <c r="A1366" s="1">
        <v>44613</v>
      </c>
      <c r="B1366" t="s">
        <v>58</v>
      </c>
      <c r="C1366">
        <v>22.28</v>
      </c>
      <c r="D1366">
        <v>26.07</v>
      </c>
    </row>
    <row r="1367" spans="1:4" x14ac:dyDescent="0.25">
      <c r="A1367" s="1">
        <v>44613</v>
      </c>
      <c r="B1367" t="s">
        <v>60</v>
      </c>
      <c r="C1367">
        <v>15.5</v>
      </c>
      <c r="D1367">
        <v>15.53</v>
      </c>
    </row>
    <row r="1368" spans="1:4" x14ac:dyDescent="0.25">
      <c r="A1368" s="1">
        <v>44613</v>
      </c>
      <c r="B1368" t="s">
        <v>62</v>
      </c>
      <c r="C1368">
        <v>22.9</v>
      </c>
      <c r="D1368">
        <v>24.47</v>
      </c>
    </row>
    <row r="1369" spans="1:4" x14ac:dyDescent="0.25">
      <c r="A1369" s="1">
        <v>44614</v>
      </c>
      <c r="B1369" t="s">
        <v>56</v>
      </c>
      <c r="C1369">
        <v>19.059999999999999</v>
      </c>
      <c r="D1369">
        <v>37.08</v>
      </c>
    </row>
    <row r="1370" spans="1:4" x14ac:dyDescent="0.25">
      <c r="A1370" s="1">
        <v>44614</v>
      </c>
      <c r="B1370" t="s">
        <v>58</v>
      </c>
      <c r="C1370">
        <v>22.83</v>
      </c>
      <c r="D1370">
        <v>35.630000000000003</v>
      </c>
    </row>
    <row r="1371" spans="1:4" x14ac:dyDescent="0.25">
      <c r="A1371" s="1">
        <v>44614</v>
      </c>
      <c r="B1371" t="s">
        <v>60</v>
      </c>
      <c r="C1371">
        <v>8.3699999999999992</v>
      </c>
      <c r="D1371">
        <v>21.25</v>
      </c>
    </row>
    <row r="1372" spans="1:4" x14ac:dyDescent="0.25">
      <c r="A1372" s="1">
        <v>44614</v>
      </c>
      <c r="B1372" t="s">
        <v>62</v>
      </c>
      <c r="C1372">
        <v>22.87</v>
      </c>
      <c r="D1372">
        <v>22.8</v>
      </c>
    </row>
    <row r="1373" spans="1:4" x14ac:dyDescent="0.25">
      <c r="A1373" s="1">
        <v>44616</v>
      </c>
      <c r="B1373" t="s">
        <v>56</v>
      </c>
      <c r="C1373">
        <v>21.93</v>
      </c>
      <c r="D1373">
        <v>25.35</v>
      </c>
    </row>
    <row r="1374" spans="1:4" x14ac:dyDescent="0.25">
      <c r="A1374" s="1">
        <v>44616</v>
      </c>
      <c r="B1374" t="s">
        <v>58</v>
      </c>
      <c r="C1374">
        <v>24.51</v>
      </c>
      <c r="D1374">
        <v>25.28</v>
      </c>
    </row>
    <row r="1375" spans="1:4" x14ac:dyDescent="0.25">
      <c r="A1375" s="1">
        <v>44616</v>
      </c>
      <c r="B1375" t="s">
        <v>60</v>
      </c>
      <c r="C1375">
        <v>9.8800000000000008</v>
      </c>
      <c r="D1375">
        <v>11.01</v>
      </c>
    </row>
    <row r="1376" spans="1:4" x14ac:dyDescent="0.25">
      <c r="A1376" s="1">
        <v>44616</v>
      </c>
      <c r="B1376" t="s">
        <v>62</v>
      </c>
      <c r="C1376">
        <v>17.73</v>
      </c>
      <c r="D1376">
        <v>18</v>
      </c>
    </row>
    <row r="1377" spans="1:4" x14ac:dyDescent="0.25">
      <c r="A1377" s="1">
        <v>44617</v>
      </c>
      <c r="B1377" t="s">
        <v>56</v>
      </c>
      <c r="C1377">
        <v>21.35</v>
      </c>
      <c r="D1377">
        <v>29.59</v>
      </c>
    </row>
    <row r="1378" spans="1:4" x14ac:dyDescent="0.25">
      <c r="A1378" s="1">
        <v>44617</v>
      </c>
      <c r="B1378" t="s">
        <v>58</v>
      </c>
      <c r="C1378">
        <v>16.12</v>
      </c>
      <c r="D1378">
        <v>22.92</v>
      </c>
    </row>
    <row r="1379" spans="1:4" x14ac:dyDescent="0.25">
      <c r="A1379" s="1">
        <v>44617</v>
      </c>
      <c r="B1379" t="s">
        <v>60</v>
      </c>
      <c r="C1379">
        <v>9.5</v>
      </c>
      <c r="D1379">
        <v>16.05</v>
      </c>
    </row>
    <row r="1380" spans="1:4" x14ac:dyDescent="0.25">
      <c r="A1380" s="1">
        <v>44617</v>
      </c>
      <c r="B1380" t="s">
        <v>62</v>
      </c>
      <c r="C1380">
        <v>20.55</v>
      </c>
      <c r="D1380">
        <v>22.2</v>
      </c>
    </row>
    <row r="1381" spans="1:4" x14ac:dyDescent="0.25">
      <c r="A1381" s="1">
        <v>44618</v>
      </c>
      <c r="B1381" t="s">
        <v>56</v>
      </c>
      <c r="C1381">
        <v>13.85</v>
      </c>
      <c r="D1381">
        <v>18.239999999999998</v>
      </c>
    </row>
    <row r="1382" spans="1:4" x14ac:dyDescent="0.25">
      <c r="A1382" s="1">
        <v>44618</v>
      </c>
      <c r="B1382" t="s">
        <v>58</v>
      </c>
      <c r="C1382">
        <v>22.16</v>
      </c>
      <c r="D1382">
        <v>28.4</v>
      </c>
    </row>
    <row r="1383" spans="1:4" x14ac:dyDescent="0.25">
      <c r="A1383" s="1">
        <v>44618</v>
      </c>
      <c r="B1383" t="s">
        <v>60</v>
      </c>
      <c r="C1383">
        <v>7.52</v>
      </c>
      <c r="D1383">
        <v>10.92</v>
      </c>
    </row>
    <row r="1384" spans="1:4" x14ac:dyDescent="0.25">
      <c r="A1384" s="1">
        <v>44618</v>
      </c>
      <c r="B1384" t="s">
        <v>62</v>
      </c>
      <c r="C1384">
        <v>16.13</v>
      </c>
      <c r="D1384">
        <v>30.52</v>
      </c>
    </row>
    <row r="1385" spans="1:4" x14ac:dyDescent="0.25">
      <c r="A1385" s="1">
        <v>44620</v>
      </c>
      <c r="B1385" t="s">
        <v>56</v>
      </c>
      <c r="C1385">
        <v>30.28</v>
      </c>
      <c r="D1385">
        <v>34.840000000000003</v>
      </c>
    </row>
    <row r="1386" spans="1:4" x14ac:dyDescent="0.25">
      <c r="A1386" s="1">
        <v>44620</v>
      </c>
      <c r="B1386" t="s">
        <v>58</v>
      </c>
      <c r="C1386">
        <v>23.92</v>
      </c>
      <c r="D1386">
        <v>23.82</v>
      </c>
    </row>
    <row r="1387" spans="1:4" x14ac:dyDescent="0.25">
      <c r="A1387" s="1">
        <v>44620</v>
      </c>
      <c r="B1387" t="s">
        <v>60</v>
      </c>
      <c r="C1387">
        <v>15.7</v>
      </c>
      <c r="D1387">
        <v>16.5</v>
      </c>
    </row>
    <row r="1388" spans="1:4" x14ac:dyDescent="0.25">
      <c r="A1388" s="1">
        <v>44620</v>
      </c>
      <c r="B1388" t="s">
        <v>62</v>
      </c>
      <c r="C1388">
        <v>24.33</v>
      </c>
      <c r="D1388">
        <v>23.92</v>
      </c>
    </row>
    <row r="1389" spans="1:4" x14ac:dyDescent="0.25">
      <c r="A1389" s="1">
        <v>44621</v>
      </c>
      <c r="B1389" t="s">
        <v>56</v>
      </c>
      <c r="C1389">
        <v>20.57</v>
      </c>
      <c r="D1389">
        <v>28.8</v>
      </c>
    </row>
    <row r="1390" spans="1:4" x14ac:dyDescent="0.25">
      <c r="A1390" s="1">
        <v>44621</v>
      </c>
      <c r="B1390" t="s">
        <v>58</v>
      </c>
      <c r="C1390">
        <v>22.03</v>
      </c>
      <c r="D1390">
        <v>38.119999999999997</v>
      </c>
    </row>
    <row r="1391" spans="1:4" x14ac:dyDescent="0.25">
      <c r="A1391" s="1">
        <v>44621</v>
      </c>
      <c r="B1391" t="s">
        <v>60</v>
      </c>
      <c r="C1391">
        <v>9</v>
      </c>
      <c r="D1391">
        <v>24.2</v>
      </c>
    </row>
    <row r="1392" spans="1:4" x14ac:dyDescent="0.25">
      <c r="A1392" s="1">
        <v>44621</v>
      </c>
      <c r="B1392" t="s">
        <v>62</v>
      </c>
      <c r="C1392">
        <v>21.48</v>
      </c>
      <c r="D1392">
        <v>21.38</v>
      </c>
    </row>
    <row r="1393" spans="1:4" x14ac:dyDescent="0.25">
      <c r="A1393" s="1">
        <v>44623</v>
      </c>
      <c r="B1393" t="s">
        <v>56</v>
      </c>
      <c r="C1393">
        <v>23.71</v>
      </c>
      <c r="D1393">
        <v>23.51</v>
      </c>
    </row>
    <row r="1394" spans="1:4" x14ac:dyDescent="0.25">
      <c r="A1394" s="1">
        <v>44623</v>
      </c>
      <c r="B1394" t="s">
        <v>58</v>
      </c>
      <c r="C1394">
        <v>25.61</v>
      </c>
      <c r="D1394">
        <v>21.44</v>
      </c>
    </row>
    <row r="1395" spans="1:4" x14ac:dyDescent="0.25">
      <c r="A1395" s="1">
        <v>44623</v>
      </c>
      <c r="B1395" t="s">
        <v>60</v>
      </c>
      <c r="C1395">
        <v>12.06</v>
      </c>
      <c r="D1395">
        <v>14.91</v>
      </c>
    </row>
    <row r="1396" spans="1:4" x14ac:dyDescent="0.25">
      <c r="A1396" s="1">
        <v>44623</v>
      </c>
      <c r="B1396" t="s">
        <v>62</v>
      </c>
      <c r="C1396">
        <v>20.98</v>
      </c>
      <c r="D1396">
        <v>22.22</v>
      </c>
    </row>
    <row r="1397" spans="1:4" x14ac:dyDescent="0.25">
      <c r="A1397" s="1">
        <v>44624</v>
      </c>
      <c r="B1397" t="s">
        <v>56</v>
      </c>
      <c r="C1397">
        <v>22.52</v>
      </c>
      <c r="D1397">
        <v>23.83</v>
      </c>
    </row>
    <row r="1398" spans="1:4" x14ac:dyDescent="0.25">
      <c r="A1398" s="1">
        <v>44624</v>
      </c>
      <c r="B1398" t="s">
        <v>58</v>
      </c>
      <c r="C1398">
        <v>15.03</v>
      </c>
      <c r="D1398">
        <v>16.73</v>
      </c>
    </row>
    <row r="1399" spans="1:4" x14ac:dyDescent="0.25">
      <c r="A1399" s="1">
        <v>44624</v>
      </c>
      <c r="B1399" t="s">
        <v>60</v>
      </c>
      <c r="C1399">
        <v>12.12</v>
      </c>
      <c r="D1399">
        <v>17.100000000000001</v>
      </c>
    </row>
    <row r="1400" spans="1:4" x14ac:dyDescent="0.25">
      <c r="A1400" s="1">
        <v>44624</v>
      </c>
      <c r="B1400" t="s">
        <v>62</v>
      </c>
      <c r="C1400">
        <v>17.420000000000002</v>
      </c>
      <c r="D1400">
        <v>18.86</v>
      </c>
    </row>
    <row r="1401" spans="1:4" x14ac:dyDescent="0.25">
      <c r="A1401" s="1">
        <v>44625</v>
      </c>
      <c r="B1401" t="s">
        <v>56</v>
      </c>
      <c r="C1401">
        <v>15.46</v>
      </c>
      <c r="D1401">
        <v>20.62</v>
      </c>
    </row>
    <row r="1402" spans="1:4" x14ac:dyDescent="0.25">
      <c r="A1402" s="1">
        <v>44625</v>
      </c>
      <c r="B1402" t="s">
        <v>58</v>
      </c>
      <c r="C1402">
        <v>23</v>
      </c>
      <c r="D1402">
        <v>28.29</v>
      </c>
    </row>
    <row r="1403" spans="1:4" x14ac:dyDescent="0.25">
      <c r="A1403" s="1">
        <v>44625</v>
      </c>
      <c r="B1403" t="s">
        <v>60</v>
      </c>
      <c r="C1403">
        <v>8.4700000000000006</v>
      </c>
      <c r="D1403">
        <v>15.33</v>
      </c>
    </row>
    <row r="1404" spans="1:4" x14ac:dyDescent="0.25">
      <c r="A1404" s="1">
        <v>44625</v>
      </c>
      <c r="B1404" t="s">
        <v>62</v>
      </c>
      <c r="C1404">
        <v>17.12</v>
      </c>
      <c r="D1404">
        <v>26.65</v>
      </c>
    </row>
    <row r="1405" spans="1:4" x14ac:dyDescent="0.25">
      <c r="A1405" s="1">
        <v>44627</v>
      </c>
      <c r="B1405" t="s">
        <v>56</v>
      </c>
      <c r="C1405">
        <v>27.38</v>
      </c>
      <c r="D1405">
        <v>25.58</v>
      </c>
    </row>
    <row r="1406" spans="1:4" x14ac:dyDescent="0.25">
      <c r="A1406" s="1">
        <v>44627</v>
      </c>
      <c r="B1406" t="s">
        <v>58</v>
      </c>
      <c r="C1406">
        <v>24.17</v>
      </c>
      <c r="D1406">
        <v>26.59</v>
      </c>
    </row>
    <row r="1407" spans="1:4" x14ac:dyDescent="0.25">
      <c r="A1407" s="1">
        <v>44627</v>
      </c>
      <c r="B1407" t="s">
        <v>60</v>
      </c>
      <c r="C1407">
        <v>18.77</v>
      </c>
      <c r="D1407">
        <v>16.899999999999999</v>
      </c>
    </row>
    <row r="1408" spans="1:4" x14ac:dyDescent="0.25">
      <c r="A1408" s="1">
        <v>44627</v>
      </c>
      <c r="B1408" t="s">
        <v>62</v>
      </c>
      <c r="C1408">
        <v>24.47</v>
      </c>
      <c r="D1408">
        <v>25</v>
      </c>
    </row>
    <row r="1409" spans="1:4" x14ac:dyDescent="0.25">
      <c r="A1409" s="1">
        <v>44628</v>
      </c>
      <c r="B1409" t="s">
        <v>56</v>
      </c>
      <c r="C1409">
        <v>22.2</v>
      </c>
      <c r="D1409">
        <v>36.06</v>
      </c>
    </row>
    <row r="1410" spans="1:4" x14ac:dyDescent="0.25">
      <c r="A1410" s="1">
        <v>44628</v>
      </c>
      <c r="B1410" t="s">
        <v>58</v>
      </c>
      <c r="C1410">
        <v>21.8</v>
      </c>
      <c r="D1410">
        <v>41.26</v>
      </c>
    </row>
    <row r="1411" spans="1:4" x14ac:dyDescent="0.25">
      <c r="A1411" s="1">
        <v>44628</v>
      </c>
      <c r="B1411" t="s">
        <v>60</v>
      </c>
      <c r="C1411">
        <v>9.6</v>
      </c>
      <c r="D1411">
        <v>25.31</v>
      </c>
    </row>
    <row r="1412" spans="1:4" x14ac:dyDescent="0.25">
      <c r="A1412" s="1">
        <v>44628</v>
      </c>
      <c r="B1412" t="s">
        <v>62</v>
      </c>
      <c r="C1412">
        <v>28</v>
      </c>
      <c r="D1412">
        <v>22.42</v>
      </c>
    </row>
    <row r="1413" spans="1:4" x14ac:dyDescent="0.25">
      <c r="A1413" s="1">
        <v>44630</v>
      </c>
      <c r="B1413" t="s">
        <v>56</v>
      </c>
      <c r="C1413">
        <v>25.81</v>
      </c>
      <c r="D1413">
        <v>25.59</v>
      </c>
    </row>
    <row r="1414" spans="1:4" x14ac:dyDescent="0.25">
      <c r="A1414" s="1">
        <v>44630</v>
      </c>
      <c r="B1414" t="s">
        <v>58</v>
      </c>
      <c r="C1414">
        <v>22.13</v>
      </c>
      <c r="D1414">
        <v>25.37</v>
      </c>
    </row>
    <row r="1415" spans="1:4" x14ac:dyDescent="0.25">
      <c r="A1415" s="1">
        <v>44630</v>
      </c>
      <c r="B1415" t="s">
        <v>60</v>
      </c>
      <c r="C1415">
        <v>11.13</v>
      </c>
      <c r="D1415">
        <v>15.07</v>
      </c>
    </row>
    <row r="1416" spans="1:4" x14ac:dyDescent="0.25">
      <c r="A1416" s="1">
        <v>44630</v>
      </c>
      <c r="B1416" t="s">
        <v>62</v>
      </c>
      <c r="C1416">
        <v>19.16</v>
      </c>
      <c r="D1416">
        <v>19.309999999999999</v>
      </c>
    </row>
    <row r="1417" spans="1:4" x14ac:dyDescent="0.25">
      <c r="A1417" s="1">
        <v>44631</v>
      </c>
      <c r="B1417" t="s">
        <v>56</v>
      </c>
      <c r="C1417">
        <v>23.85</v>
      </c>
      <c r="D1417">
        <v>22.76</v>
      </c>
    </row>
    <row r="1418" spans="1:4" x14ac:dyDescent="0.25">
      <c r="A1418" s="1">
        <v>44631</v>
      </c>
      <c r="B1418" t="s">
        <v>58</v>
      </c>
      <c r="C1418">
        <v>14.65</v>
      </c>
      <c r="D1418">
        <v>21.47</v>
      </c>
    </row>
    <row r="1419" spans="1:4" x14ac:dyDescent="0.25">
      <c r="A1419" s="1">
        <v>44631</v>
      </c>
      <c r="B1419" t="s">
        <v>60</v>
      </c>
      <c r="C1419">
        <v>12.03</v>
      </c>
      <c r="D1419">
        <v>15.92</v>
      </c>
    </row>
    <row r="1420" spans="1:4" x14ac:dyDescent="0.25">
      <c r="A1420" s="1">
        <v>44631</v>
      </c>
      <c r="B1420" t="s">
        <v>62</v>
      </c>
      <c r="C1420">
        <v>18.600000000000001</v>
      </c>
      <c r="D1420">
        <v>20.63</v>
      </c>
    </row>
    <row r="1421" spans="1:4" x14ac:dyDescent="0.25">
      <c r="A1421" s="1">
        <v>44632</v>
      </c>
      <c r="B1421" t="s">
        <v>56</v>
      </c>
      <c r="C1421">
        <v>16.23</v>
      </c>
      <c r="D1421">
        <v>23.88</v>
      </c>
    </row>
    <row r="1422" spans="1:4" x14ac:dyDescent="0.25">
      <c r="A1422" s="1">
        <v>44632</v>
      </c>
      <c r="B1422" t="s">
        <v>58</v>
      </c>
      <c r="C1422">
        <v>21.98</v>
      </c>
      <c r="D1422">
        <v>27.03</v>
      </c>
    </row>
    <row r="1423" spans="1:4" x14ac:dyDescent="0.25">
      <c r="A1423" s="1">
        <v>44632</v>
      </c>
      <c r="B1423" t="s">
        <v>60</v>
      </c>
      <c r="C1423">
        <v>8.27</v>
      </c>
      <c r="D1423">
        <v>18.03</v>
      </c>
    </row>
    <row r="1424" spans="1:4" x14ac:dyDescent="0.25">
      <c r="A1424" s="1">
        <v>44632</v>
      </c>
      <c r="B1424" t="s">
        <v>62</v>
      </c>
      <c r="C1424">
        <v>16.25</v>
      </c>
      <c r="D1424">
        <v>29.25</v>
      </c>
    </row>
    <row r="1425" spans="1:4" x14ac:dyDescent="0.25">
      <c r="A1425" s="1">
        <v>44634</v>
      </c>
      <c r="B1425" t="s">
        <v>56</v>
      </c>
      <c r="C1425">
        <v>27.79</v>
      </c>
      <c r="D1425">
        <v>27.66</v>
      </c>
    </row>
    <row r="1426" spans="1:4" x14ac:dyDescent="0.25">
      <c r="A1426" s="1">
        <v>44634</v>
      </c>
      <c r="B1426" t="s">
        <v>58</v>
      </c>
      <c r="C1426">
        <v>23.55</v>
      </c>
      <c r="D1426">
        <v>24.82</v>
      </c>
    </row>
    <row r="1427" spans="1:4" x14ac:dyDescent="0.25">
      <c r="A1427" s="1">
        <v>44634</v>
      </c>
      <c r="B1427" t="s">
        <v>60</v>
      </c>
      <c r="C1427">
        <v>18.78</v>
      </c>
      <c r="D1427">
        <v>15.32</v>
      </c>
    </row>
    <row r="1428" spans="1:4" x14ac:dyDescent="0.25">
      <c r="A1428" s="1">
        <v>44634</v>
      </c>
      <c r="B1428" t="s">
        <v>62</v>
      </c>
      <c r="C1428">
        <v>25.8</v>
      </c>
      <c r="D1428">
        <v>26.77</v>
      </c>
    </row>
    <row r="1429" spans="1:4" x14ac:dyDescent="0.25">
      <c r="A1429" s="1">
        <v>44635</v>
      </c>
      <c r="B1429" t="s">
        <v>56</v>
      </c>
      <c r="C1429">
        <v>25.07</v>
      </c>
      <c r="D1429">
        <v>40.07</v>
      </c>
    </row>
    <row r="1430" spans="1:4" x14ac:dyDescent="0.25">
      <c r="A1430" s="1">
        <v>44635</v>
      </c>
      <c r="B1430" t="s">
        <v>58</v>
      </c>
      <c r="C1430">
        <v>22.82</v>
      </c>
      <c r="D1430">
        <v>33.92</v>
      </c>
    </row>
    <row r="1431" spans="1:4" x14ac:dyDescent="0.25">
      <c r="A1431" s="1">
        <v>44635</v>
      </c>
      <c r="B1431" t="s">
        <v>60</v>
      </c>
      <c r="C1431">
        <v>10.08</v>
      </c>
      <c r="D1431">
        <v>26.2</v>
      </c>
    </row>
    <row r="1432" spans="1:4" x14ac:dyDescent="0.25">
      <c r="A1432" s="1">
        <v>44635</v>
      </c>
      <c r="B1432" t="s">
        <v>62</v>
      </c>
      <c r="C1432">
        <v>23.02</v>
      </c>
      <c r="D1432">
        <v>22.5</v>
      </c>
    </row>
    <row r="1433" spans="1:4" x14ac:dyDescent="0.25">
      <c r="A1433" s="1">
        <v>44637</v>
      </c>
      <c r="B1433" t="s">
        <v>56</v>
      </c>
      <c r="C1433">
        <v>22.44</v>
      </c>
      <c r="D1433">
        <v>20.260000000000002</v>
      </c>
    </row>
    <row r="1434" spans="1:4" x14ac:dyDescent="0.25">
      <c r="A1434" s="1">
        <v>44637</v>
      </c>
      <c r="B1434" t="s">
        <v>58</v>
      </c>
      <c r="C1434">
        <v>24.48</v>
      </c>
      <c r="D1434">
        <v>23.93</v>
      </c>
    </row>
    <row r="1435" spans="1:4" x14ac:dyDescent="0.25">
      <c r="A1435" s="1">
        <v>44637</v>
      </c>
      <c r="B1435" t="s">
        <v>60</v>
      </c>
      <c r="C1435">
        <v>11.28</v>
      </c>
      <c r="D1435">
        <v>15.74</v>
      </c>
    </row>
    <row r="1436" spans="1:4" x14ac:dyDescent="0.25">
      <c r="A1436" s="1">
        <v>44637</v>
      </c>
      <c r="B1436" t="s">
        <v>62</v>
      </c>
      <c r="C1436">
        <v>20.3</v>
      </c>
      <c r="D1436">
        <v>22.85</v>
      </c>
    </row>
    <row r="1437" spans="1:4" x14ac:dyDescent="0.25">
      <c r="A1437" s="1">
        <v>44638</v>
      </c>
      <c r="B1437" t="s">
        <v>56</v>
      </c>
      <c r="C1437">
        <v>19.3</v>
      </c>
      <c r="D1437">
        <v>22.32</v>
      </c>
    </row>
    <row r="1438" spans="1:4" x14ac:dyDescent="0.25">
      <c r="A1438" s="1">
        <v>44638</v>
      </c>
      <c r="B1438" t="s">
        <v>58</v>
      </c>
      <c r="C1438">
        <v>14.46</v>
      </c>
      <c r="D1438">
        <v>26.17</v>
      </c>
    </row>
    <row r="1439" spans="1:4" x14ac:dyDescent="0.25">
      <c r="A1439" s="1">
        <v>44638</v>
      </c>
      <c r="B1439" t="s">
        <v>60</v>
      </c>
      <c r="C1439">
        <v>14.3</v>
      </c>
      <c r="D1439">
        <v>15.85</v>
      </c>
    </row>
    <row r="1440" spans="1:4" x14ac:dyDescent="0.25">
      <c r="A1440" s="1">
        <v>44638</v>
      </c>
      <c r="B1440" t="s">
        <v>62</v>
      </c>
      <c r="C1440">
        <v>18.100000000000001</v>
      </c>
      <c r="D1440">
        <v>18.920000000000002</v>
      </c>
    </row>
    <row r="1441" spans="1:4" x14ac:dyDescent="0.25">
      <c r="A1441" s="1">
        <v>44639</v>
      </c>
      <c r="B1441" t="s">
        <v>56</v>
      </c>
      <c r="C1441">
        <v>16.16</v>
      </c>
      <c r="D1441">
        <v>22.5</v>
      </c>
    </row>
    <row r="1442" spans="1:4" x14ac:dyDescent="0.25">
      <c r="A1442" s="1">
        <v>44639</v>
      </c>
      <c r="B1442" t="s">
        <v>58</v>
      </c>
      <c r="C1442">
        <v>21.72</v>
      </c>
      <c r="D1442">
        <v>24.03</v>
      </c>
    </row>
    <row r="1443" spans="1:4" x14ac:dyDescent="0.25">
      <c r="A1443" s="1">
        <v>44639</v>
      </c>
      <c r="B1443" t="s">
        <v>60</v>
      </c>
      <c r="C1443">
        <v>8.0500000000000007</v>
      </c>
      <c r="D1443">
        <v>17.690000000000001</v>
      </c>
    </row>
    <row r="1444" spans="1:4" x14ac:dyDescent="0.25">
      <c r="A1444" s="1">
        <v>44639</v>
      </c>
      <c r="B1444" t="s">
        <v>62</v>
      </c>
      <c r="C1444">
        <v>16.05</v>
      </c>
      <c r="D1444">
        <v>31.58</v>
      </c>
    </row>
    <row r="1445" spans="1:4" x14ac:dyDescent="0.25">
      <c r="A1445" s="1">
        <v>44641</v>
      </c>
      <c r="B1445" t="s">
        <v>56</v>
      </c>
      <c r="C1445">
        <v>25.52</v>
      </c>
      <c r="D1445">
        <v>24.36</v>
      </c>
    </row>
    <row r="1446" spans="1:4" x14ac:dyDescent="0.25">
      <c r="A1446" s="1">
        <v>44641</v>
      </c>
      <c r="B1446" t="s">
        <v>58</v>
      </c>
      <c r="C1446">
        <v>23.65</v>
      </c>
      <c r="D1446">
        <v>25.76</v>
      </c>
    </row>
    <row r="1447" spans="1:4" x14ac:dyDescent="0.25">
      <c r="A1447" s="1">
        <v>44641</v>
      </c>
      <c r="B1447" t="s">
        <v>60</v>
      </c>
      <c r="C1447">
        <v>18.850000000000001</v>
      </c>
      <c r="D1447">
        <v>16.579999999999998</v>
      </c>
    </row>
    <row r="1448" spans="1:4" x14ac:dyDescent="0.25">
      <c r="A1448" s="1">
        <v>44641</v>
      </c>
      <c r="B1448" t="s">
        <v>62</v>
      </c>
      <c r="C1448">
        <v>23.08</v>
      </c>
      <c r="D1448">
        <v>23.46</v>
      </c>
    </row>
    <row r="1449" spans="1:4" x14ac:dyDescent="0.25">
      <c r="A1449" s="1">
        <v>44642</v>
      </c>
      <c r="B1449" t="s">
        <v>56</v>
      </c>
      <c r="C1449">
        <v>21.56</v>
      </c>
      <c r="D1449">
        <v>44.53</v>
      </c>
    </row>
    <row r="1450" spans="1:4" x14ac:dyDescent="0.25">
      <c r="A1450" s="1">
        <v>44642</v>
      </c>
      <c r="B1450" t="s">
        <v>58</v>
      </c>
      <c r="C1450">
        <v>22.78</v>
      </c>
      <c r="D1450">
        <v>24.49</v>
      </c>
    </row>
    <row r="1451" spans="1:4" x14ac:dyDescent="0.25">
      <c r="A1451" s="1">
        <v>44642</v>
      </c>
      <c r="B1451" t="s">
        <v>60</v>
      </c>
      <c r="C1451">
        <v>9.8000000000000007</v>
      </c>
      <c r="D1451">
        <v>24.4</v>
      </c>
    </row>
    <row r="1452" spans="1:4" x14ac:dyDescent="0.25">
      <c r="A1452" s="1">
        <v>44642</v>
      </c>
      <c r="B1452" t="s">
        <v>62</v>
      </c>
      <c r="C1452">
        <v>16.079999999999998</v>
      </c>
      <c r="D1452">
        <v>25.33</v>
      </c>
    </row>
    <row r="1453" spans="1:4" x14ac:dyDescent="0.25">
      <c r="A1453" s="1">
        <v>44644</v>
      </c>
      <c r="B1453" t="s">
        <v>56</v>
      </c>
      <c r="C1453">
        <v>21.21</v>
      </c>
      <c r="D1453">
        <v>22.97</v>
      </c>
    </row>
    <row r="1454" spans="1:4" x14ac:dyDescent="0.25">
      <c r="A1454" s="1">
        <v>44644</v>
      </c>
      <c r="B1454" t="s">
        <v>58</v>
      </c>
      <c r="C1454">
        <v>24.66</v>
      </c>
      <c r="D1454">
        <v>24.31</v>
      </c>
    </row>
    <row r="1455" spans="1:4" x14ac:dyDescent="0.25">
      <c r="A1455" s="1">
        <v>44644</v>
      </c>
      <c r="B1455" t="s">
        <v>60</v>
      </c>
      <c r="C1455">
        <v>9.93</v>
      </c>
      <c r="D1455">
        <v>12.53</v>
      </c>
    </row>
    <row r="1456" spans="1:4" x14ac:dyDescent="0.25">
      <c r="A1456" s="1">
        <v>44644</v>
      </c>
      <c r="B1456" t="s">
        <v>62</v>
      </c>
      <c r="C1456">
        <v>17.149999999999999</v>
      </c>
      <c r="D1456">
        <v>19.39</v>
      </c>
    </row>
    <row r="1457" spans="1:4" x14ac:dyDescent="0.25">
      <c r="A1457" s="1">
        <v>44645</v>
      </c>
      <c r="B1457" t="s">
        <v>56</v>
      </c>
      <c r="C1457">
        <v>24.98</v>
      </c>
      <c r="D1457">
        <v>22.58</v>
      </c>
    </row>
    <row r="1458" spans="1:4" x14ac:dyDescent="0.25">
      <c r="A1458" s="1">
        <v>44645</v>
      </c>
      <c r="B1458" t="s">
        <v>58</v>
      </c>
      <c r="C1458">
        <v>15.95</v>
      </c>
      <c r="D1458">
        <v>22.95</v>
      </c>
    </row>
    <row r="1459" spans="1:4" x14ac:dyDescent="0.25">
      <c r="A1459" s="1">
        <v>44645</v>
      </c>
      <c r="B1459" t="s">
        <v>60</v>
      </c>
      <c r="C1459">
        <v>12.8</v>
      </c>
      <c r="D1459">
        <v>14.5</v>
      </c>
    </row>
    <row r="1460" spans="1:4" x14ac:dyDescent="0.25">
      <c r="A1460" s="1">
        <v>44645</v>
      </c>
      <c r="B1460" t="s">
        <v>62</v>
      </c>
      <c r="C1460">
        <v>16.2</v>
      </c>
      <c r="D1460">
        <v>25.31</v>
      </c>
    </row>
    <row r="1461" spans="1:4" x14ac:dyDescent="0.25">
      <c r="A1461" s="1">
        <v>44646</v>
      </c>
      <c r="B1461" t="s">
        <v>56</v>
      </c>
      <c r="C1461">
        <v>16.54</v>
      </c>
      <c r="D1461">
        <v>25</v>
      </c>
    </row>
    <row r="1462" spans="1:4" x14ac:dyDescent="0.25">
      <c r="A1462" s="1">
        <v>44646</v>
      </c>
      <c r="B1462" t="s">
        <v>58</v>
      </c>
      <c r="C1462">
        <v>22.2</v>
      </c>
      <c r="D1462">
        <v>26.24</v>
      </c>
    </row>
    <row r="1463" spans="1:4" x14ac:dyDescent="0.25">
      <c r="A1463" s="1">
        <v>44646</v>
      </c>
      <c r="B1463" t="s">
        <v>60</v>
      </c>
      <c r="C1463">
        <v>7.73</v>
      </c>
      <c r="D1463">
        <v>15.65</v>
      </c>
    </row>
    <row r="1464" spans="1:4" x14ac:dyDescent="0.25">
      <c r="A1464" s="1">
        <v>44646</v>
      </c>
      <c r="B1464" t="s">
        <v>62</v>
      </c>
      <c r="C1464">
        <v>15.68</v>
      </c>
      <c r="D1464">
        <v>25.45</v>
      </c>
    </row>
    <row r="1465" spans="1:4" x14ac:dyDescent="0.25">
      <c r="A1465" s="1">
        <v>44648</v>
      </c>
      <c r="B1465" t="s">
        <v>56</v>
      </c>
      <c r="C1465">
        <v>24.09</v>
      </c>
      <c r="D1465">
        <v>26.78</v>
      </c>
    </row>
    <row r="1466" spans="1:4" x14ac:dyDescent="0.25">
      <c r="A1466" s="1">
        <v>44648</v>
      </c>
      <c r="B1466" t="s">
        <v>58</v>
      </c>
      <c r="C1466">
        <v>24.23</v>
      </c>
      <c r="D1466">
        <v>27.47</v>
      </c>
    </row>
    <row r="1467" spans="1:4" x14ac:dyDescent="0.25">
      <c r="A1467" s="1">
        <v>44648</v>
      </c>
      <c r="B1467" t="s">
        <v>60</v>
      </c>
      <c r="C1467">
        <v>18.41</v>
      </c>
      <c r="D1467">
        <v>14.61</v>
      </c>
    </row>
    <row r="1468" spans="1:4" x14ac:dyDescent="0.25">
      <c r="A1468" s="1">
        <v>44648</v>
      </c>
      <c r="B1468" t="s">
        <v>62</v>
      </c>
      <c r="C1468">
        <v>24.03</v>
      </c>
      <c r="D1468">
        <v>23.55</v>
      </c>
    </row>
    <row r="1469" spans="1:4" x14ac:dyDescent="0.25">
      <c r="A1469" s="1">
        <v>44649</v>
      </c>
      <c r="B1469" t="s">
        <v>56</v>
      </c>
      <c r="C1469">
        <v>24.11</v>
      </c>
      <c r="D1469">
        <v>43.33</v>
      </c>
    </row>
    <row r="1470" spans="1:4" x14ac:dyDescent="0.25">
      <c r="A1470" s="1">
        <v>44649</v>
      </c>
      <c r="B1470" t="s">
        <v>58</v>
      </c>
      <c r="C1470">
        <v>24.71</v>
      </c>
      <c r="D1470">
        <v>27.61</v>
      </c>
    </row>
    <row r="1471" spans="1:4" x14ac:dyDescent="0.25">
      <c r="A1471" s="1">
        <v>44649</v>
      </c>
      <c r="B1471" t="s">
        <v>60</v>
      </c>
      <c r="C1471">
        <v>9.75</v>
      </c>
      <c r="D1471">
        <v>25.27</v>
      </c>
    </row>
    <row r="1472" spans="1:4" x14ac:dyDescent="0.25">
      <c r="A1472" s="1">
        <v>44649</v>
      </c>
      <c r="B1472" t="s">
        <v>62</v>
      </c>
      <c r="C1472">
        <v>29.18</v>
      </c>
      <c r="D1472">
        <v>27.25</v>
      </c>
    </row>
    <row r="1473" spans="1:4" x14ac:dyDescent="0.25">
      <c r="A1473" s="1">
        <v>44651</v>
      </c>
      <c r="B1473" t="s">
        <v>56</v>
      </c>
      <c r="C1473">
        <v>22.2</v>
      </c>
      <c r="D1473">
        <v>24.61</v>
      </c>
    </row>
    <row r="1474" spans="1:4" x14ac:dyDescent="0.25">
      <c r="A1474" s="1">
        <v>44651</v>
      </c>
      <c r="B1474" t="s">
        <v>58</v>
      </c>
      <c r="C1474">
        <v>25.45</v>
      </c>
      <c r="D1474">
        <v>27.4</v>
      </c>
    </row>
    <row r="1475" spans="1:4" x14ac:dyDescent="0.25">
      <c r="A1475" s="1">
        <v>44651</v>
      </c>
      <c r="B1475" t="s">
        <v>60</v>
      </c>
      <c r="C1475">
        <v>10.7</v>
      </c>
      <c r="D1475">
        <v>12.76</v>
      </c>
    </row>
    <row r="1476" spans="1:4" x14ac:dyDescent="0.25">
      <c r="A1476" s="1">
        <v>44651</v>
      </c>
      <c r="B1476" t="s">
        <v>62</v>
      </c>
      <c r="C1476">
        <v>19.78</v>
      </c>
      <c r="D1476">
        <v>23.08</v>
      </c>
    </row>
    <row r="1477" spans="1:4" x14ac:dyDescent="0.25">
      <c r="A1477" s="1">
        <v>44652</v>
      </c>
      <c r="B1477" t="s">
        <v>56</v>
      </c>
      <c r="C1477">
        <v>24.08</v>
      </c>
      <c r="D1477">
        <v>26.73</v>
      </c>
    </row>
    <row r="1478" spans="1:4" x14ac:dyDescent="0.25">
      <c r="A1478" s="1">
        <v>44652</v>
      </c>
      <c r="B1478" t="s">
        <v>58</v>
      </c>
      <c r="C1478">
        <v>15.2</v>
      </c>
      <c r="D1478">
        <v>19.829999999999998</v>
      </c>
    </row>
    <row r="1479" spans="1:4" x14ac:dyDescent="0.25">
      <c r="A1479" s="1">
        <v>44652</v>
      </c>
      <c r="B1479" t="s">
        <v>60</v>
      </c>
      <c r="C1479">
        <v>14.66</v>
      </c>
      <c r="D1479">
        <v>13.75</v>
      </c>
    </row>
    <row r="1480" spans="1:4" x14ac:dyDescent="0.25">
      <c r="A1480" s="1">
        <v>44652</v>
      </c>
      <c r="B1480" t="s">
        <v>62</v>
      </c>
      <c r="C1480">
        <v>22.41</v>
      </c>
      <c r="D1480">
        <v>22.63</v>
      </c>
    </row>
    <row r="1481" spans="1:4" x14ac:dyDescent="0.25">
      <c r="A1481" s="1">
        <v>44653</v>
      </c>
      <c r="B1481" t="s">
        <v>56</v>
      </c>
      <c r="C1481">
        <v>16.39</v>
      </c>
      <c r="D1481">
        <v>23.16</v>
      </c>
    </row>
    <row r="1482" spans="1:4" x14ac:dyDescent="0.25">
      <c r="A1482" s="1">
        <v>44653</v>
      </c>
      <c r="B1482" t="s">
        <v>58</v>
      </c>
      <c r="C1482">
        <v>23.08</v>
      </c>
      <c r="D1482">
        <v>25.75</v>
      </c>
    </row>
    <row r="1483" spans="1:4" x14ac:dyDescent="0.25">
      <c r="A1483" s="1">
        <v>44653</v>
      </c>
      <c r="B1483" t="s">
        <v>60</v>
      </c>
      <c r="C1483">
        <v>8.18</v>
      </c>
      <c r="D1483">
        <v>16.55</v>
      </c>
    </row>
    <row r="1484" spans="1:4" x14ac:dyDescent="0.25">
      <c r="A1484" s="1">
        <v>44653</v>
      </c>
      <c r="B1484" t="s">
        <v>62</v>
      </c>
      <c r="C1484">
        <v>16.329999999999998</v>
      </c>
      <c r="D1484">
        <v>17.420000000000002</v>
      </c>
    </row>
    <row r="1485" spans="1:4" x14ac:dyDescent="0.25">
      <c r="A1485" s="1">
        <v>44655</v>
      </c>
      <c r="B1485" t="s">
        <v>56</v>
      </c>
      <c r="C1485">
        <v>24.89</v>
      </c>
      <c r="D1485">
        <v>25.57</v>
      </c>
    </row>
    <row r="1486" spans="1:4" x14ac:dyDescent="0.25">
      <c r="A1486" s="1">
        <v>44655</v>
      </c>
      <c r="B1486" t="s">
        <v>58</v>
      </c>
      <c r="C1486">
        <v>24.55</v>
      </c>
      <c r="D1486">
        <v>25.17</v>
      </c>
    </row>
    <row r="1487" spans="1:4" x14ac:dyDescent="0.25">
      <c r="A1487" s="1">
        <v>44655</v>
      </c>
      <c r="B1487" t="s">
        <v>60</v>
      </c>
      <c r="C1487">
        <v>17.98</v>
      </c>
      <c r="D1487">
        <v>16.2</v>
      </c>
    </row>
    <row r="1488" spans="1:4" x14ac:dyDescent="0.25">
      <c r="A1488" s="1">
        <v>44655</v>
      </c>
      <c r="B1488" t="s">
        <v>62</v>
      </c>
      <c r="C1488">
        <v>23.01</v>
      </c>
      <c r="D1488">
        <v>24</v>
      </c>
    </row>
    <row r="1489" spans="1:4" x14ac:dyDescent="0.25">
      <c r="A1489" s="1">
        <v>44656</v>
      </c>
      <c r="B1489" t="s">
        <v>56</v>
      </c>
      <c r="C1489">
        <v>20.55</v>
      </c>
      <c r="D1489">
        <v>47.53</v>
      </c>
    </row>
    <row r="1490" spans="1:4" x14ac:dyDescent="0.25">
      <c r="A1490" s="1">
        <v>44656</v>
      </c>
      <c r="B1490" t="s">
        <v>58</v>
      </c>
      <c r="C1490">
        <v>23.55</v>
      </c>
      <c r="D1490">
        <v>23.88</v>
      </c>
    </row>
    <row r="1491" spans="1:4" x14ac:dyDescent="0.25">
      <c r="A1491" s="1">
        <v>44656</v>
      </c>
      <c r="B1491" t="s">
        <v>60</v>
      </c>
      <c r="C1491">
        <v>10.050000000000001</v>
      </c>
      <c r="D1491">
        <v>15.47</v>
      </c>
    </row>
    <row r="1492" spans="1:4" x14ac:dyDescent="0.25">
      <c r="A1492" s="1">
        <v>44656</v>
      </c>
      <c r="B1492" t="s">
        <v>62</v>
      </c>
      <c r="C1492">
        <v>21.28</v>
      </c>
      <c r="D1492">
        <v>35.33</v>
      </c>
    </row>
    <row r="1493" spans="1:4" x14ac:dyDescent="0.25">
      <c r="A1493" s="1">
        <v>44658</v>
      </c>
      <c r="B1493" t="s">
        <v>56</v>
      </c>
      <c r="C1493">
        <v>24.24</v>
      </c>
      <c r="D1493">
        <v>30.21</v>
      </c>
    </row>
    <row r="1494" spans="1:4" x14ac:dyDescent="0.25">
      <c r="A1494" s="1">
        <v>44658</v>
      </c>
      <c r="B1494" t="s">
        <v>58</v>
      </c>
      <c r="C1494">
        <v>28.45</v>
      </c>
      <c r="D1494">
        <v>29.57</v>
      </c>
    </row>
    <row r="1495" spans="1:4" x14ac:dyDescent="0.25">
      <c r="A1495" s="1">
        <v>44658</v>
      </c>
      <c r="B1495" t="s">
        <v>60</v>
      </c>
      <c r="C1495">
        <v>10.93</v>
      </c>
      <c r="D1495">
        <v>12.93</v>
      </c>
    </row>
    <row r="1496" spans="1:4" x14ac:dyDescent="0.25">
      <c r="A1496" s="1">
        <v>44658</v>
      </c>
      <c r="B1496" t="s">
        <v>62</v>
      </c>
      <c r="C1496">
        <v>17.66</v>
      </c>
      <c r="D1496">
        <v>17.12</v>
      </c>
    </row>
    <row r="1497" spans="1:4" x14ac:dyDescent="0.25">
      <c r="A1497" s="1">
        <v>44659</v>
      </c>
      <c r="B1497" t="s">
        <v>56</v>
      </c>
      <c r="C1497">
        <v>29.36</v>
      </c>
      <c r="D1497">
        <v>17.78</v>
      </c>
    </row>
    <row r="1498" spans="1:4" x14ac:dyDescent="0.25">
      <c r="A1498" s="1">
        <v>44659</v>
      </c>
      <c r="B1498" t="s">
        <v>58</v>
      </c>
      <c r="C1498">
        <v>17.91</v>
      </c>
      <c r="D1498">
        <v>20.78</v>
      </c>
    </row>
    <row r="1499" spans="1:4" x14ac:dyDescent="0.25">
      <c r="A1499" s="1">
        <v>44659</v>
      </c>
      <c r="B1499" t="s">
        <v>60</v>
      </c>
      <c r="C1499">
        <v>13.03</v>
      </c>
      <c r="D1499">
        <v>14.12</v>
      </c>
    </row>
    <row r="1500" spans="1:4" x14ac:dyDescent="0.25">
      <c r="A1500" s="1">
        <v>44659</v>
      </c>
      <c r="B1500" t="s">
        <v>62</v>
      </c>
      <c r="C1500">
        <v>30.45</v>
      </c>
      <c r="D1500">
        <v>25.08</v>
      </c>
    </row>
    <row r="1501" spans="1:4" x14ac:dyDescent="0.25">
      <c r="A1501" s="1">
        <v>44660</v>
      </c>
      <c r="B1501" t="s">
        <v>56</v>
      </c>
      <c r="C1501">
        <v>21.41</v>
      </c>
      <c r="D1501">
        <v>20.5</v>
      </c>
    </row>
    <row r="1502" spans="1:4" x14ac:dyDescent="0.25">
      <c r="A1502" s="1">
        <v>44660</v>
      </c>
      <c r="B1502" t="s">
        <v>58</v>
      </c>
      <c r="C1502">
        <v>30.21</v>
      </c>
      <c r="D1502">
        <v>34.700000000000003</v>
      </c>
    </row>
    <row r="1503" spans="1:4" x14ac:dyDescent="0.25">
      <c r="A1503" s="1">
        <v>44660</v>
      </c>
      <c r="B1503" t="s">
        <v>60</v>
      </c>
      <c r="C1503">
        <v>10.55</v>
      </c>
      <c r="D1503">
        <v>16.420000000000002</v>
      </c>
    </row>
    <row r="1504" spans="1:4" x14ac:dyDescent="0.25">
      <c r="A1504" s="1">
        <v>44660</v>
      </c>
      <c r="B1504" t="s">
        <v>62</v>
      </c>
      <c r="C1504">
        <v>18.53</v>
      </c>
      <c r="D1504">
        <v>18.75</v>
      </c>
    </row>
    <row r="1505" spans="1:4" x14ac:dyDescent="0.25">
      <c r="A1505" s="1">
        <v>44663</v>
      </c>
      <c r="B1505" t="s">
        <v>56</v>
      </c>
      <c r="C1505">
        <v>25.85</v>
      </c>
      <c r="D1505">
        <v>28.3</v>
      </c>
    </row>
    <row r="1506" spans="1:4" x14ac:dyDescent="0.25">
      <c r="A1506" s="1">
        <v>44663</v>
      </c>
      <c r="B1506" t="s">
        <v>58</v>
      </c>
      <c r="C1506">
        <v>26.18</v>
      </c>
      <c r="D1506">
        <v>29.52</v>
      </c>
    </row>
    <row r="1507" spans="1:4" x14ac:dyDescent="0.25">
      <c r="A1507" s="1">
        <v>44663</v>
      </c>
      <c r="B1507" t="s">
        <v>60</v>
      </c>
      <c r="C1507">
        <v>16.899999999999999</v>
      </c>
      <c r="D1507">
        <v>15.77</v>
      </c>
    </row>
    <row r="1508" spans="1:4" x14ac:dyDescent="0.25">
      <c r="A1508" s="1">
        <v>44663</v>
      </c>
      <c r="B1508" t="s">
        <v>62</v>
      </c>
      <c r="C1508">
        <v>25.32</v>
      </c>
      <c r="D1508">
        <v>28.83</v>
      </c>
    </row>
    <row r="1509" spans="1:4" x14ac:dyDescent="0.25">
      <c r="A1509" s="1">
        <v>44664</v>
      </c>
      <c r="B1509" t="s">
        <v>56</v>
      </c>
      <c r="C1509">
        <v>22.07</v>
      </c>
      <c r="D1509">
        <v>29.16</v>
      </c>
    </row>
    <row r="1510" spans="1:4" x14ac:dyDescent="0.25">
      <c r="A1510" s="1">
        <v>44664</v>
      </c>
      <c r="B1510" t="s">
        <v>58</v>
      </c>
      <c r="C1510">
        <v>18.77</v>
      </c>
      <c r="D1510">
        <v>18.12</v>
      </c>
    </row>
    <row r="1511" spans="1:4" x14ac:dyDescent="0.25">
      <c r="A1511" s="1">
        <v>44664</v>
      </c>
      <c r="B1511" t="s">
        <v>60</v>
      </c>
      <c r="C1511">
        <v>8.68</v>
      </c>
      <c r="D1511">
        <v>25.52</v>
      </c>
    </row>
    <row r="1512" spans="1:4" x14ac:dyDescent="0.25">
      <c r="A1512" s="1">
        <v>44664</v>
      </c>
      <c r="B1512" t="s">
        <v>62</v>
      </c>
      <c r="C1512">
        <v>21.3</v>
      </c>
      <c r="D1512">
        <v>21.75</v>
      </c>
    </row>
    <row r="1513" spans="1:4" x14ac:dyDescent="0.25">
      <c r="A1513" s="1">
        <v>44665</v>
      </c>
      <c r="B1513" t="s">
        <v>56</v>
      </c>
      <c r="C1513">
        <v>22.66</v>
      </c>
      <c r="D1513">
        <v>29.82</v>
      </c>
    </row>
    <row r="1514" spans="1:4" x14ac:dyDescent="0.25">
      <c r="A1514" s="1">
        <v>44665</v>
      </c>
      <c r="B1514" t="s">
        <v>58</v>
      </c>
      <c r="C1514">
        <v>25.81</v>
      </c>
      <c r="D1514">
        <v>28.82</v>
      </c>
    </row>
    <row r="1515" spans="1:4" x14ac:dyDescent="0.25">
      <c r="A1515" s="1">
        <v>44665</v>
      </c>
      <c r="B1515" t="s">
        <v>60</v>
      </c>
      <c r="C1515">
        <v>12.48</v>
      </c>
      <c r="D1515">
        <v>11.04</v>
      </c>
    </row>
    <row r="1516" spans="1:4" x14ac:dyDescent="0.25">
      <c r="A1516" s="1">
        <v>44665</v>
      </c>
      <c r="B1516" t="s">
        <v>62</v>
      </c>
      <c r="C1516">
        <v>15.85</v>
      </c>
      <c r="D1516">
        <v>17.579999999999998</v>
      </c>
    </row>
    <row r="1517" spans="1:4" x14ac:dyDescent="0.25">
      <c r="A1517" s="1">
        <v>44666</v>
      </c>
      <c r="B1517" t="s">
        <v>56</v>
      </c>
      <c r="C1517">
        <v>28.78</v>
      </c>
      <c r="D1517">
        <v>27.66</v>
      </c>
    </row>
    <row r="1518" spans="1:4" x14ac:dyDescent="0.25">
      <c r="A1518" s="1">
        <v>44666</v>
      </c>
      <c r="B1518" t="s">
        <v>58</v>
      </c>
      <c r="C1518">
        <v>16.45</v>
      </c>
      <c r="D1518">
        <v>19.940000000000001</v>
      </c>
    </row>
    <row r="1519" spans="1:4" x14ac:dyDescent="0.25">
      <c r="A1519" s="1">
        <v>44666</v>
      </c>
      <c r="B1519" t="s">
        <v>60</v>
      </c>
      <c r="C1519">
        <v>17.05</v>
      </c>
      <c r="D1519">
        <v>17.5</v>
      </c>
    </row>
    <row r="1520" spans="1:4" x14ac:dyDescent="0.25">
      <c r="A1520" s="1">
        <v>44666</v>
      </c>
      <c r="B1520" t="s">
        <v>62</v>
      </c>
      <c r="C1520">
        <v>22.53</v>
      </c>
      <c r="D1520">
        <v>23.62</v>
      </c>
    </row>
    <row r="1521" spans="1:4" x14ac:dyDescent="0.25">
      <c r="A1521" s="1">
        <v>44667</v>
      </c>
      <c r="B1521" t="s">
        <v>56</v>
      </c>
      <c r="C1521">
        <v>21.86</v>
      </c>
      <c r="D1521">
        <v>24.78</v>
      </c>
    </row>
    <row r="1522" spans="1:4" x14ac:dyDescent="0.25">
      <c r="A1522" s="1">
        <v>44667</v>
      </c>
      <c r="B1522" t="s">
        <v>58</v>
      </c>
      <c r="C1522">
        <v>27.95</v>
      </c>
      <c r="D1522">
        <v>32.86</v>
      </c>
    </row>
    <row r="1523" spans="1:4" x14ac:dyDescent="0.25">
      <c r="A1523" s="1">
        <v>44667</v>
      </c>
      <c r="B1523" t="s">
        <v>60</v>
      </c>
      <c r="C1523">
        <v>9.91</v>
      </c>
      <c r="D1523">
        <v>18.13</v>
      </c>
    </row>
    <row r="1524" spans="1:4" x14ac:dyDescent="0.25">
      <c r="A1524" s="1">
        <v>44667</v>
      </c>
      <c r="B1524" t="s">
        <v>62</v>
      </c>
      <c r="C1524">
        <v>19.350000000000001</v>
      </c>
      <c r="D1524">
        <v>24.32</v>
      </c>
    </row>
    <row r="1525" spans="1:4" x14ac:dyDescent="0.25">
      <c r="A1525" s="1">
        <v>44670</v>
      </c>
      <c r="B1525" t="s">
        <v>56</v>
      </c>
      <c r="C1525">
        <f>25.18+0.93</f>
        <v>26.11</v>
      </c>
      <c r="D1525">
        <v>27.17</v>
      </c>
    </row>
    <row r="1526" spans="1:4" x14ac:dyDescent="0.25">
      <c r="A1526" s="1">
        <v>44670</v>
      </c>
      <c r="B1526" t="s">
        <v>58</v>
      </c>
      <c r="C1526">
        <v>23.1</v>
      </c>
      <c r="D1526">
        <v>25.08</v>
      </c>
    </row>
    <row r="1527" spans="1:4" x14ac:dyDescent="0.25">
      <c r="A1527" s="1">
        <v>44670</v>
      </c>
      <c r="B1527" t="s">
        <v>60</v>
      </c>
      <c r="C1527">
        <v>17</v>
      </c>
      <c r="D1527">
        <v>15.68</v>
      </c>
    </row>
    <row r="1528" spans="1:4" x14ac:dyDescent="0.25">
      <c r="A1528" s="1">
        <v>44670</v>
      </c>
      <c r="B1528" t="s">
        <v>62</v>
      </c>
      <c r="C1528">
        <v>21.52</v>
      </c>
      <c r="D1528">
        <v>24.17</v>
      </c>
    </row>
    <row r="1529" spans="1:4" x14ac:dyDescent="0.25">
      <c r="A1529" s="1">
        <v>44671</v>
      </c>
      <c r="B1529" t="s">
        <v>56</v>
      </c>
      <c r="C1529">
        <v>20.170000000000002</v>
      </c>
      <c r="D1529">
        <v>17.53</v>
      </c>
    </row>
    <row r="1530" spans="1:4" x14ac:dyDescent="0.25">
      <c r="A1530" s="1">
        <v>44671</v>
      </c>
      <c r="B1530" t="s">
        <v>58</v>
      </c>
      <c r="C1530">
        <v>16.62</v>
      </c>
      <c r="D1530">
        <v>18.420000000000002</v>
      </c>
    </row>
    <row r="1531" spans="1:4" x14ac:dyDescent="0.25">
      <c r="A1531" s="1">
        <v>44671</v>
      </c>
      <c r="B1531" t="s">
        <v>60</v>
      </c>
      <c r="C1531">
        <v>8.42</v>
      </c>
      <c r="D1531">
        <v>17.45</v>
      </c>
    </row>
    <row r="1532" spans="1:4" x14ac:dyDescent="0.25">
      <c r="A1532" s="1">
        <v>44671</v>
      </c>
      <c r="B1532" t="s">
        <v>62</v>
      </c>
      <c r="C1532">
        <v>21.47</v>
      </c>
      <c r="D1532">
        <v>20.34</v>
      </c>
    </row>
    <row r="1533" spans="1:4" x14ac:dyDescent="0.25">
      <c r="A1533" s="1">
        <v>44672</v>
      </c>
      <c r="B1533" t="s">
        <v>56</v>
      </c>
      <c r="C1533">
        <v>21.16</v>
      </c>
      <c r="D1533">
        <v>25.98</v>
      </c>
    </row>
    <row r="1534" spans="1:4" x14ac:dyDescent="0.25">
      <c r="A1534" s="1">
        <v>44672</v>
      </c>
      <c r="B1534" t="s">
        <v>58</v>
      </c>
      <c r="C1534">
        <v>23.93</v>
      </c>
      <c r="D1534">
        <v>26.6</v>
      </c>
    </row>
    <row r="1535" spans="1:4" x14ac:dyDescent="0.25">
      <c r="A1535" s="1">
        <v>44672</v>
      </c>
      <c r="B1535" t="s">
        <v>60</v>
      </c>
      <c r="C1535">
        <v>8.83</v>
      </c>
      <c r="D1535">
        <v>19</v>
      </c>
    </row>
    <row r="1536" spans="1:4" x14ac:dyDescent="0.25">
      <c r="A1536" s="1">
        <v>44672</v>
      </c>
      <c r="B1536" t="s">
        <v>62</v>
      </c>
      <c r="C1536">
        <v>14.38</v>
      </c>
      <c r="D1536">
        <v>17.399999999999999</v>
      </c>
    </row>
    <row r="1537" spans="1:4" x14ac:dyDescent="0.25">
      <c r="A1537" s="1">
        <v>44673</v>
      </c>
      <c r="B1537" t="s">
        <v>56</v>
      </c>
      <c r="C1537">
        <v>23.37</v>
      </c>
      <c r="D1537">
        <v>22.51</v>
      </c>
    </row>
    <row r="1538" spans="1:4" x14ac:dyDescent="0.25">
      <c r="A1538" s="1">
        <v>44673</v>
      </c>
      <c r="B1538" t="s">
        <v>58</v>
      </c>
      <c r="C1538">
        <v>14.17</v>
      </c>
      <c r="D1538">
        <v>19.989999999999998</v>
      </c>
    </row>
    <row r="1539" spans="1:4" x14ac:dyDescent="0.25">
      <c r="A1539" s="1">
        <v>44673</v>
      </c>
      <c r="B1539" t="s">
        <v>60</v>
      </c>
      <c r="C1539">
        <v>11.65</v>
      </c>
      <c r="D1539">
        <v>19.010000000000002</v>
      </c>
    </row>
    <row r="1540" spans="1:4" x14ac:dyDescent="0.25">
      <c r="A1540" s="1">
        <v>44673</v>
      </c>
      <c r="B1540" t="s">
        <v>62</v>
      </c>
      <c r="C1540">
        <v>18</v>
      </c>
      <c r="D1540">
        <v>26.17</v>
      </c>
    </row>
    <row r="1541" spans="1:4" x14ac:dyDescent="0.25">
      <c r="A1541" s="1">
        <v>44674</v>
      </c>
      <c r="B1541" t="s">
        <v>56</v>
      </c>
      <c r="C1541">
        <v>17.48</v>
      </c>
      <c r="D1541">
        <v>44.95</v>
      </c>
    </row>
    <row r="1542" spans="1:4" x14ac:dyDescent="0.25">
      <c r="A1542" s="1">
        <v>44674</v>
      </c>
      <c r="B1542" t="s">
        <v>58</v>
      </c>
      <c r="C1542">
        <v>21.07</v>
      </c>
      <c r="D1542">
        <v>16.440000000000001</v>
      </c>
    </row>
    <row r="1543" spans="1:4" x14ac:dyDescent="0.25">
      <c r="A1543" s="1">
        <v>44674</v>
      </c>
      <c r="B1543" t="s">
        <v>60</v>
      </c>
      <c r="C1543">
        <v>7.7</v>
      </c>
      <c r="D1543">
        <v>17.829999999999998</v>
      </c>
    </row>
    <row r="1544" spans="1:4" x14ac:dyDescent="0.25">
      <c r="A1544" s="1">
        <v>44674</v>
      </c>
      <c r="B1544" t="s">
        <v>62</v>
      </c>
      <c r="C1544">
        <v>14.3</v>
      </c>
      <c r="D1544">
        <v>18.73</v>
      </c>
    </row>
    <row r="1545" spans="1:4" x14ac:dyDescent="0.25">
      <c r="A1545" s="1">
        <v>44676</v>
      </c>
      <c r="B1545" t="s">
        <v>56</v>
      </c>
      <c r="C1545">
        <v>20.94</v>
      </c>
      <c r="D1545">
        <v>27.45</v>
      </c>
    </row>
    <row r="1546" spans="1:4" x14ac:dyDescent="0.25">
      <c r="A1546" s="1">
        <v>44676</v>
      </c>
      <c r="B1546" t="s">
        <v>58</v>
      </c>
      <c r="C1546">
        <v>20.22</v>
      </c>
      <c r="D1546">
        <v>24.88</v>
      </c>
    </row>
    <row r="1547" spans="1:4" x14ac:dyDescent="0.25">
      <c r="A1547" s="1">
        <v>44676</v>
      </c>
      <c r="B1547" t="s">
        <v>60</v>
      </c>
      <c r="C1547">
        <v>16.399999999999999</v>
      </c>
      <c r="D1547">
        <v>16.079999999999998</v>
      </c>
    </row>
    <row r="1548" spans="1:4" x14ac:dyDescent="0.25">
      <c r="A1548" s="1">
        <v>44676</v>
      </c>
      <c r="B1548" t="s">
        <v>62</v>
      </c>
      <c r="C1548">
        <v>19.829999999999998</v>
      </c>
      <c r="D1548">
        <v>21.05</v>
      </c>
    </row>
    <row r="1549" spans="1:4" x14ac:dyDescent="0.25">
      <c r="A1549" s="1">
        <v>44677</v>
      </c>
      <c r="B1549" t="s">
        <v>56</v>
      </c>
      <c r="C1549">
        <v>21.13</v>
      </c>
      <c r="D1549">
        <v>48</v>
      </c>
    </row>
    <row r="1550" spans="1:4" x14ac:dyDescent="0.25">
      <c r="A1550" s="1">
        <v>44677</v>
      </c>
      <c r="B1550" t="s">
        <v>58</v>
      </c>
      <c r="C1550">
        <v>22.61</v>
      </c>
      <c r="D1550">
        <v>24.25</v>
      </c>
    </row>
    <row r="1551" spans="1:4" x14ac:dyDescent="0.25">
      <c r="A1551" s="1">
        <v>44677</v>
      </c>
      <c r="B1551" t="s">
        <v>60</v>
      </c>
      <c r="C1551">
        <v>8.98</v>
      </c>
      <c r="D1551">
        <v>15.25</v>
      </c>
    </row>
    <row r="1552" spans="1:4" x14ac:dyDescent="0.25">
      <c r="A1552" s="1">
        <v>44677</v>
      </c>
      <c r="B1552" t="s">
        <v>62</v>
      </c>
      <c r="C1552">
        <v>29.68</v>
      </c>
      <c r="D1552">
        <v>32.729999999999997</v>
      </c>
    </row>
    <row r="1553" spans="1:4" x14ac:dyDescent="0.25">
      <c r="A1553" s="1">
        <v>44679</v>
      </c>
      <c r="B1553" t="s">
        <v>56</v>
      </c>
      <c r="C1553">
        <f>18.9+0.98</f>
        <v>19.88</v>
      </c>
      <c r="D1553">
        <v>21.03</v>
      </c>
    </row>
    <row r="1554" spans="1:4" x14ac:dyDescent="0.25">
      <c r="A1554" s="1">
        <v>44679</v>
      </c>
      <c r="B1554" t="s">
        <v>58</v>
      </c>
      <c r="C1554">
        <v>22.68</v>
      </c>
      <c r="D1554">
        <v>24.87</v>
      </c>
    </row>
    <row r="1555" spans="1:4" x14ac:dyDescent="0.25">
      <c r="A1555" s="1">
        <v>44679</v>
      </c>
      <c r="B1555" t="s">
        <v>60</v>
      </c>
      <c r="C1555">
        <v>9.9</v>
      </c>
      <c r="D1555">
        <v>11.39</v>
      </c>
    </row>
    <row r="1556" spans="1:4" x14ac:dyDescent="0.25">
      <c r="A1556" s="1">
        <v>44679</v>
      </c>
      <c r="B1556" t="s">
        <v>62</v>
      </c>
      <c r="C1556">
        <v>14.8</v>
      </c>
      <c r="D1556">
        <v>16.16</v>
      </c>
    </row>
    <row r="1557" spans="1:4" x14ac:dyDescent="0.25">
      <c r="A1557" s="1">
        <v>44680</v>
      </c>
      <c r="B1557" t="s">
        <v>56</v>
      </c>
      <c r="C1557">
        <v>19.100000000000001</v>
      </c>
      <c r="D1557">
        <v>23.93</v>
      </c>
    </row>
    <row r="1558" spans="1:4" x14ac:dyDescent="0.25">
      <c r="A1558" s="1">
        <v>44680</v>
      </c>
      <c r="B1558" t="s">
        <v>58</v>
      </c>
      <c r="C1558">
        <v>13.92</v>
      </c>
      <c r="D1558">
        <v>23.56</v>
      </c>
    </row>
    <row r="1559" spans="1:4" x14ac:dyDescent="0.25">
      <c r="A1559" s="1">
        <v>44680</v>
      </c>
      <c r="B1559" t="s">
        <v>60</v>
      </c>
      <c r="C1559">
        <v>13.98</v>
      </c>
      <c r="D1559">
        <v>17.53</v>
      </c>
    </row>
    <row r="1560" spans="1:4" x14ac:dyDescent="0.25">
      <c r="A1560" s="1">
        <v>44680</v>
      </c>
      <c r="B1560" t="s">
        <v>62</v>
      </c>
      <c r="C1560">
        <v>18.829999999999998</v>
      </c>
      <c r="D1560">
        <v>21.49</v>
      </c>
    </row>
    <row r="1561" spans="1:4" x14ac:dyDescent="0.25">
      <c r="A1561" s="1">
        <v>44681</v>
      </c>
      <c r="B1561" t="s">
        <v>56</v>
      </c>
      <c r="C1561">
        <v>14</v>
      </c>
      <c r="D1561">
        <v>14.5</v>
      </c>
    </row>
    <row r="1562" spans="1:4" x14ac:dyDescent="0.25">
      <c r="A1562" s="1">
        <v>44681</v>
      </c>
      <c r="B1562" t="s">
        <v>58</v>
      </c>
      <c r="C1562">
        <v>21.33</v>
      </c>
      <c r="D1562">
        <v>14.51</v>
      </c>
    </row>
    <row r="1563" spans="1:4" x14ac:dyDescent="0.25">
      <c r="A1563" s="1">
        <v>44681</v>
      </c>
      <c r="B1563" t="s">
        <v>60</v>
      </c>
      <c r="C1563">
        <v>7.83</v>
      </c>
      <c r="D1563">
        <v>14.13</v>
      </c>
    </row>
    <row r="1564" spans="1:4" x14ac:dyDescent="0.25">
      <c r="A1564" s="1">
        <v>44681</v>
      </c>
      <c r="B1564" t="s">
        <v>62</v>
      </c>
      <c r="C1564">
        <v>14</v>
      </c>
      <c r="D1564">
        <v>25.95</v>
      </c>
    </row>
    <row r="1565" spans="1:4" x14ac:dyDescent="0.25">
      <c r="A1565" s="1">
        <v>44683</v>
      </c>
      <c r="B1565" t="s">
        <v>56</v>
      </c>
      <c r="C1565">
        <f>23.82+1.8</f>
        <v>25.62</v>
      </c>
      <c r="D1565">
        <v>23.33</v>
      </c>
    </row>
    <row r="1566" spans="1:4" x14ac:dyDescent="0.25">
      <c r="A1566" s="1">
        <v>44683</v>
      </c>
      <c r="B1566" t="s">
        <v>58</v>
      </c>
      <c r="C1566">
        <v>24.35</v>
      </c>
      <c r="D1566">
        <v>26.05</v>
      </c>
    </row>
    <row r="1567" spans="1:4" x14ac:dyDescent="0.25">
      <c r="A1567" s="1">
        <v>44683</v>
      </c>
      <c r="B1567" t="s">
        <v>60</v>
      </c>
      <c r="C1567">
        <v>18.03</v>
      </c>
      <c r="D1567">
        <v>15.73</v>
      </c>
    </row>
    <row r="1568" spans="1:4" x14ac:dyDescent="0.25">
      <c r="A1568" s="1">
        <v>44683</v>
      </c>
      <c r="B1568" t="s">
        <v>62</v>
      </c>
      <c r="C1568">
        <v>23.65</v>
      </c>
      <c r="D1568">
        <v>23.49</v>
      </c>
    </row>
    <row r="1569" spans="1:4" x14ac:dyDescent="0.25">
      <c r="A1569" s="1">
        <v>44684</v>
      </c>
      <c r="B1569" t="s">
        <v>56</v>
      </c>
      <c r="C1569">
        <v>22.82</v>
      </c>
      <c r="D1569">
        <v>36.119999999999997</v>
      </c>
    </row>
    <row r="1570" spans="1:4" x14ac:dyDescent="0.25">
      <c r="A1570" s="1">
        <v>44684</v>
      </c>
      <c r="B1570" t="s">
        <v>58</v>
      </c>
      <c r="C1570">
        <v>22.62</v>
      </c>
      <c r="D1570">
        <v>23.18</v>
      </c>
    </row>
    <row r="1571" spans="1:4" x14ac:dyDescent="0.25">
      <c r="A1571" s="1">
        <v>44684</v>
      </c>
      <c r="B1571" t="s">
        <v>60</v>
      </c>
      <c r="C1571">
        <v>9.92</v>
      </c>
      <c r="D1571">
        <v>25.02</v>
      </c>
    </row>
    <row r="1572" spans="1:4" x14ac:dyDescent="0.25">
      <c r="A1572" s="1">
        <v>44684</v>
      </c>
      <c r="B1572" t="s">
        <v>62</v>
      </c>
      <c r="C1572">
        <v>24.37</v>
      </c>
      <c r="D1572">
        <v>27.72</v>
      </c>
    </row>
    <row r="1573" spans="1:4" x14ac:dyDescent="0.25">
      <c r="A1573" s="1">
        <v>44686</v>
      </c>
      <c r="B1573" t="s">
        <v>56</v>
      </c>
      <c r="C1573">
        <v>22.67</v>
      </c>
      <c r="D1573">
        <v>20.62</v>
      </c>
    </row>
    <row r="1574" spans="1:4" x14ac:dyDescent="0.25">
      <c r="A1574" s="1">
        <v>44686</v>
      </c>
      <c r="B1574" t="s">
        <v>58</v>
      </c>
      <c r="C1574">
        <v>25.72</v>
      </c>
      <c r="D1574">
        <v>26.91</v>
      </c>
    </row>
    <row r="1575" spans="1:4" x14ac:dyDescent="0.25">
      <c r="A1575" s="1">
        <v>44686</v>
      </c>
      <c r="B1575" t="s">
        <v>60</v>
      </c>
      <c r="C1575">
        <v>11.48</v>
      </c>
      <c r="D1575">
        <v>17.350000000000001</v>
      </c>
    </row>
    <row r="1576" spans="1:4" x14ac:dyDescent="0.25">
      <c r="A1576" s="1">
        <v>44686</v>
      </c>
      <c r="B1576" t="s">
        <v>62</v>
      </c>
      <c r="C1576">
        <v>18.579999999999998</v>
      </c>
      <c r="D1576">
        <v>19.96</v>
      </c>
    </row>
    <row r="1577" spans="1:4" x14ac:dyDescent="0.25">
      <c r="A1577" s="1">
        <v>44687</v>
      </c>
      <c r="B1577" t="s">
        <v>56</v>
      </c>
      <c r="C1577">
        <v>26.25</v>
      </c>
      <c r="D1577">
        <v>30.82</v>
      </c>
    </row>
    <row r="1578" spans="1:4" x14ac:dyDescent="0.25">
      <c r="A1578" s="1">
        <v>44687</v>
      </c>
      <c r="B1578" t="s">
        <v>58</v>
      </c>
      <c r="C1578">
        <v>15.38</v>
      </c>
      <c r="D1578">
        <v>14.23</v>
      </c>
    </row>
    <row r="1579" spans="1:4" x14ac:dyDescent="0.25">
      <c r="A1579" s="1">
        <v>44687</v>
      </c>
      <c r="B1579" t="s">
        <v>60</v>
      </c>
      <c r="C1579">
        <v>14.4</v>
      </c>
      <c r="D1579">
        <v>15.58</v>
      </c>
    </row>
    <row r="1580" spans="1:4" x14ac:dyDescent="0.25">
      <c r="A1580" s="1">
        <v>44687</v>
      </c>
      <c r="B1580" t="s">
        <v>62</v>
      </c>
      <c r="C1580">
        <v>21.95</v>
      </c>
      <c r="D1580">
        <v>21.92</v>
      </c>
    </row>
    <row r="1581" spans="1:4" x14ac:dyDescent="0.25">
      <c r="A1581" s="1">
        <v>44688</v>
      </c>
      <c r="B1581" t="s">
        <v>56</v>
      </c>
      <c r="C1581">
        <v>18.420000000000002</v>
      </c>
      <c r="D1581">
        <v>11.75</v>
      </c>
    </row>
    <row r="1582" spans="1:4" x14ac:dyDescent="0.25">
      <c r="A1582" s="1">
        <v>44688</v>
      </c>
      <c r="B1582" t="s">
        <v>58</v>
      </c>
      <c r="C1582">
        <v>23.9</v>
      </c>
      <c r="D1582">
        <v>24.68</v>
      </c>
    </row>
    <row r="1583" spans="1:4" x14ac:dyDescent="0.25">
      <c r="A1583" s="1">
        <v>44688</v>
      </c>
      <c r="B1583" t="s">
        <v>60</v>
      </c>
      <c r="C1583">
        <v>8.25</v>
      </c>
      <c r="D1583">
        <v>13.7</v>
      </c>
    </row>
    <row r="1584" spans="1:4" x14ac:dyDescent="0.25">
      <c r="A1584" s="1">
        <v>44688</v>
      </c>
      <c r="B1584" t="s">
        <v>62</v>
      </c>
      <c r="C1584">
        <v>15.32</v>
      </c>
      <c r="D1584">
        <v>18.22</v>
      </c>
    </row>
    <row r="1585" spans="1:4" x14ac:dyDescent="0.25">
      <c r="A1585" s="1">
        <v>44690</v>
      </c>
      <c r="B1585" t="s">
        <v>56</v>
      </c>
      <c r="C1585">
        <v>24.97</v>
      </c>
      <c r="D1585">
        <v>24.07</v>
      </c>
    </row>
    <row r="1586" spans="1:4" x14ac:dyDescent="0.25">
      <c r="A1586" s="1">
        <v>44690</v>
      </c>
      <c r="B1586" t="s">
        <v>58</v>
      </c>
      <c r="C1586">
        <v>24.07</v>
      </c>
      <c r="D1586">
        <v>27.14</v>
      </c>
    </row>
    <row r="1587" spans="1:4" x14ac:dyDescent="0.25">
      <c r="A1587" s="1">
        <v>44690</v>
      </c>
      <c r="B1587" t="s">
        <v>60</v>
      </c>
      <c r="C1587">
        <v>18.399999999999999</v>
      </c>
      <c r="D1587">
        <v>16.57</v>
      </c>
    </row>
    <row r="1588" spans="1:4" x14ac:dyDescent="0.25">
      <c r="A1588" s="1">
        <v>44690</v>
      </c>
      <c r="B1588" t="s">
        <v>62</v>
      </c>
      <c r="C1588">
        <v>22.05</v>
      </c>
      <c r="D1588">
        <v>24.8</v>
      </c>
    </row>
    <row r="1589" spans="1:4" x14ac:dyDescent="0.25">
      <c r="A1589" s="1">
        <v>44691</v>
      </c>
      <c r="B1589" t="s">
        <v>56</v>
      </c>
      <c r="C1589">
        <v>21.83</v>
      </c>
      <c r="D1589">
        <v>36.479999999999997</v>
      </c>
    </row>
    <row r="1590" spans="1:4" x14ac:dyDescent="0.25">
      <c r="A1590" s="1">
        <v>44691</v>
      </c>
      <c r="B1590" t="s">
        <v>58</v>
      </c>
      <c r="C1590">
        <v>23.83</v>
      </c>
      <c r="D1590">
        <v>25.37</v>
      </c>
    </row>
    <row r="1591" spans="1:4" x14ac:dyDescent="0.25">
      <c r="A1591" s="1">
        <v>44691</v>
      </c>
      <c r="B1591" t="s">
        <v>60</v>
      </c>
      <c r="C1591">
        <v>9.92</v>
      </c>
      <c r="D1591">
        <v>23.16</v>
      </c>
    </row>
    <row r="1592" spans="1:4" x14ac:dyDescent="0.25">
      <c r="A1592" s="1">
        <v>44691</v>
      </c>
      <c r="B1592" t="s">
        <v>62</v>
      </c>
      <c r="C1592">
        <v>22.53</v>
      </c>
      <c r="D1592">
        <v>29.01</v>
      </c>
    </row>
    <row r="1593" spans="1:4" x14ac:dyDescent="0.25">
      <c r="A1593" s="1">
        <v>44693</v>
      </c>
      <c r="B1593" t="s">
        <v>56</v>
      </c>
      <c r="C1593">
        <v>20.38</v>
      </c>
      <c r="D1593">
        <v>20.97</v>
      </c>
    </row>
    <row r="1594" spans="1:4" x14ac:dyDescent="0.25">
      <c r="A1594" s="1">
        <v>44693</v>
      </c>
      <c r="B1594" t="s">
        <v>58</v>
      </c>
      <c r="C1594">
        <v>24.4</v>
      </c>
      <c r="D1594">
        <v>25.98</v>
      </c>
    </row>
    <row r="1595" spans="1:4" x14ac:dyDescent="0.25">
      <c r="A1595" s="1">
        <v>44693</v>
      </c>
      <c r="B1595" t="s">
        <v>60</v>
      </c>
      <c r="C1595">
        <v>10.47</v>
      </c>
      <c r="D1595">
        <v>12.26</v>
      </c>
    </row>
    <row r="1596" spans="1:4" x14ac:dyDescent="0.25">
      <c r="A1596" s="1">
        <v>44693</v>
      </c>
      <c r="B1596" t="s">
        <v>62</v>
      </c>
      <c r="C1596">
        <v>15.75</v>
      </c>
      <c r="D1596">
        <v>17.13</v>
      </c>
    </row>
    <row r="1597" spans="1:4" x14ac:dyDescent="0.25">
      <c r="A1597" s="1">
        <v>44694</v>
      </c>
      <c r="B1597" t="s">
        <v>56</v>
      </c>
      <c r="C1597">
        <v>22.55</v>
      </c>
      <c r="D1597">
        <v>28.05</v>
      </c>
    </row>
    <row r="1598" spans="1:4" x14ac:dyDescent="0.25">
      <c r="A1598" s="1">
        <v>44694</v>
      </c>
      <c r="B1598" t="s">
        <v>58</v>
      </c>
      <c r="C1598">
        <v>15.92</v>
      </c>
      <c r="D1598">
        <v>20.48</v>
      </c>
    </row>
    <row r="1599" spans="1:4" x14ac:dyDescent="0.25">
      <c r="A1599" s="1">
        <v>44694</v>
      </c>
      <c r="B1599" t="s">
        <v>60</v>
      </c>
      <c r="C1599">
        <v>11.95</v>
      </c>
      <c r="D1599">
        <v>15.82</v>
      </c>
    </row>
    <row r="1600" spans="1:4" x14ac:dyDescent="0.25">
      <c r="A1600" s="1">
        <v>44694</v>
      </c>
      <c r="B1600" t="s">
        <v>62</v>
      </c>
      <c r="C1600">
        <v>26.7</v>
      </c>
      <c r="D1600">
        <v>24.95</v>
      </c>
    </row>
    <row r="1601" spans="1:4" x14ac:dyDescent="0.25">
      <c r="A1601" s="1">
        <v>44695</v>
      </c>
      <c r="B1601" t="s">
        <v>56</v>
      </c>
      <c r="C1601">
        <v>17.55</v>
      </c>
      <c r="D1601">
        <v>20.87</v>
      </c>
    </row>
    <row r="1602" spans="1:4" x14ac:dyDescent="0.25">
      <c r="A1602" s="1">
        <v>44695</v>
      </c>
      <c r="B1602" t="s">
        <v>58</v>
      </c>
      <c r="C1602">
        <v>22.35</v>
      </c>
      <c r="D1602">
        <v>20.39</v>
      </c>
    </row>
    <row r="1603" spans="1:4" x14ac:dyDescent="0.25">
      <c r="A1603" s="1">
        <v>44695</v>
      </c>
      <c r="B1603" t="s">
        <v>60</v>
      </c>
      <c r="C1603">
        <v>7.78</v>
      </c>
      <c r="D1603">
        <v>11.93</v>
      </c>
    </row>
    <row r="1604" spans="1:4" x14ac:dyDescent="0.25">
      <c r="A1604" s="1">
        <v>44695</v>
      </c>
      <c r="B1604" t="s">
        <v>62</v>
      </c>
      <c r="C1604">
        <v>14.1</v>
      </c>
      <c r="D1604">
        <v>17.34</v>
      </c>
    </row>
    <row r="1605" spans="1:4" x14ac:dyDescent="0.25">
      <c r="A1605" s="1">
        <v>44697</v>
      </c>
      <c r="B1605" t="s">
        <v>56</v>
      </c>
      <c r="C1605">
        <v>25.61</v>
      </c>
      <c r="D1605">
        <v>22.61</v>
      </c>
    </row>
    <row r="1606" spans="1:4" x14ac:dyDescent="0.25">
      <c r="A1606" s="1">
        <v>44697</v>
      </c>
      <c r="B1606" t="s">
        <v>58</v>
      </c>
      <c r="C1606">
        <v>23.37</v>
      </c>
      <c r="D1606">
        <v>27.63</v>
      </c>
    </row>
    <row r="1607" spans="1:4" x14ac:dyDescent="0.25">
      <c r="A1607" s="1">
        <v>44697</v>
      </c>
      <c r="B1607" t="s">
        <v>60</v>
      </c>
      <c r="C1607">
        <v>18.329999999999998</v>
      </c>
      <c r="D1607">
        <v>15.4</v>
      </c>
    </row>
    <row r="1608" spans="1:4" x14ac:dyDescent="0.25">
      <c r="A1608" s="1">
        <v>44697</v>
      </c>
      <c r="B1608" t="s">
        <v>62</v>
      </c>
      <c r="C1608">
        <v>22.18</v>
      </c>
      <c r="D1608">
        <v>23.52</v>
      </c>
    </row>
    <row r="1609" spans="1:4" x14ac:dyDescent="0.25">
      <c r="A1609" s="1">
        <v>44698</v>
      </c>
      <c r="B1609" t="s">
        <v>56</v>
      </c>
      <c r="C1609">
        <v>24.65</v>
      </c>
      <c r="D1609">
        <v>43.07</v>
      </c>
    </row>
    <row r="1610" spans="1:4" x14ac:dyDescent="0.25">
      <c r="A1610" s="1">
        <v>44698</v>
      </c>
      <c r="B1610" t="s">
        <v>58</v>
      </c>
      <c r="C1610">
        <v>20.93</v>
      </c>
      <c r="D1610">
        <v>24.59</v>
      </c>
    </row>
    <row r="1611" spans="1:4" x14ac:dyDescent="0.25">
      <c r="A1611" s="1">
        <v>44698</v>
      </c>
      <c r="B1611" t="s">
        <v>60</v>
      </c>
      <c r="C1611">
        <v>9.6199999999999992</v>
      </c>
      <c r="D1611">
        <v>26.5</v>
      </c>
    </row>
    <row r="1612" spans="1:4" x14ac:dyDescent="0.25">
      <c r="A1612" s="1">
        <v>44698</v>
      </c>
      <c r="B1612" t="s">
        <v>62</v>
      </c>
      <c r="C1612">
        <v>23.67</v>
      </c>
      <c r="D1612">
        <v>28.42</v>
      </c>
    </row>
    <row r="1613" spans="1:4" x14ac:dyDescent="0.25">
      <c r="A1613" s="1">
        <v>44700</v>
      </c>
      <c r="B1613" t="s">
        <v>56</v>
      </c>
      <c r="C1613">
        <v>22.09</v>
      </c>
      <c r="D1613">
        <v>24.27</v>
      </c>
    </row>
    <row r="1614" spans="1:4" x14ac:dyDescent="0.25">
      <c r="A1614" s="1">
        <v>44700</v>
      </c>
      <c r="B1614" t="s">
        <v>58</v>
      </c>
      <c r="C1614">
        <v>24.15</v>
      </c>
      <c r="D1614">
        <v>22.75</v>
      </c>
    </row>
    <row r="1615" spans="1:4" x14ac:dyDescent="0.25">
      <c r="A1615" s="1">
        <v>44700</v>
      </c>
      <c r="B1615" t="s">
        <v>60</v>
      </c>
      <c r="C1615">
        <v>10.1</v>
      </c>
      <c r="D1615">
        <v>15.82</v>
      </c>
    </row>
    <row r="1616" spans="1:4" x14ac:dyDescent="0.25">
      <c r="A1616" s="1">
        <v>44700</v>
      </c>
      <c r="B1616" t="s">
        <v>62</v>
      </c>
      <c r="C1616">
        <v>16.05</v>
      </c>
      <c r="D1616">
        <v>16.5</v>
      </c>
    </row>
    <row r="1617" spans="1:4" x14ac:dyDescent="0.25">
      <c r="A1617" s="1">
        <v>44701</v>
      </c>
      <c r="B1617" t="s">
        <v>56</v>
      </c>
      <c r="C1617">
        <v>18.72</v>
      </c>
      <c r="D1617">
        <v>24.72</v>
      </c>
    </row>
    <row r="1618" spans="1:4" x14ac:dyDescent="0.25">
      <c r="A1618" s="1">
        <v>44701</v>
      </c>
      <c r="B1618" t="s">
        <v>58</v>
      </c>
      <c r="C1618">
        <v>13.8</v>
      </c>
      <c r="D1618">
        <v>21.57</v>
      </c>
    </row>
    <row r="1619" spans="1:4" x14ac:dyDescent="0.25">
      <c r="A1619" s="1">
        <v>44701</v>
      </c>
      <c r="B1619" t="s">
        <v>60</v>
      </c>
      <c r="C1619">
        <v>11.72</v>
      </c>
      <c r="D1619">
        <v>15</v>
      </c>
    </row>
    <row r="1620" spans="1:4" x14ac:dyDescent="0.25">
      <c r="A1620" s="1">
        <v>44701</v>
      </c>
      <c r="B1620" t="s">
        <v>62</v>
      </c>
      <c r="C1620">
        <v>17.28</v>
      </c>
      <c r="D1620">
        <v>19.920000000000002</v>
      </c>
    </row>
    <row r="1621" spans="1:4" x14ac:dyDescent="0.25">
      <c r="A1621" s="1">
        <v>44702</v>
      </c>
      <c r="B1621" t="s">
        <v>56</v>
      </c>
      <c r="C1621">
        <v>17.82</v>
      </c>
      <c r="D1621">
        <v>11.55</v>
      </c>
    </row>
    <row r="1622" spans="1:4" x14ac:dyDescent="0.25">
      <c r="A1622" s="1">
        <v>44702</v>
      </c>
      <c r="B1622" t="s">
        <v>58</v>
      </c>
      <c r="C1622">
        <v>23.07</v>
      </c>
      <c r="D1622">
        <v>22.68</v>
      </c>
    </row>
    <row r="1623" spans="1:4" x14ac:dyDescent="0.25">
      <c r="A1623" s="1">
        <v>44702</v>
      </c>
      <c r="B1623" t="s">
        <v>60</v>
      </c>
      <c r="C1623">
        <v>7.9</v>
      </c>
      <c r="D1623">
        <v>18.34</v>
      </c>
    </row>
    <row r="1624" spans="1:4" x14ac:dyDescent="0.25">
      <c r="A1624" s="1">
        <v>44702</v>
      </c>
      <c r="B1624" t="s">
        <v>62</v>
      </c>
      <c r="C1624">
        <v>14.6</v>
      </c>
      <c r="D1624">
        <v>18.05</v>
      </c>
    </row>
    <row r="1625" spans="1:4" x14ac:dyDescent="0.25">
      <c r="A1625" s="1">
        <v>44704</v>
      </c>
      <c r="B1625" t="s">
        <v>56</v>
      </c>
      <c r="C1625">
        <v>31.12</v>
      </c>
      <c r="D1625">
        <v>24.28</v>
      </c>
    </row>
    <row r="1626" spans="1:4" x14ac:dyDescent="0.25">
      <c r="A1626" s="1">
        <v>44704</v>
      </c>
      <c r="B1626" t="s">
        <v>58</v>
      </c>
      <c r="C1626">
        <v>26.05</v>
      </c>
      <c r="D1626">
        <v>28.15</v>
      </c>
    </row>
    <row r="1627" spans="1:4" x14ac:dyDescent="0.25">
      <c r="A1627" s="1">
        <v>44704</v>
      </c>
      <c r="B1627" t="s">
        <v>60</v>
      </c>
      <c r="C1627">
        <v>17.87</v>
      </c>
      <c r="D1627">
        <v>17.28</v>
      </c>
    </row>
    <row r="1628" spans="1:4" x14ac:dyDescent="0.25">
      <c r="A1628" s="1">
        <v>44704</v>
      </c>
      <c r="B1628" t="s">
        <v>62</v>
      </c>
      <c r="C1628">
        <v>20.95</v>
      </c>
      <c r="D1628">
        <v>23.04</v>
      </c>
    </row>
    <row r="1629" spans="1:4" x14ac:dyDescent="0.25">
      <c r="A1629" s="1">
        <v>44705</v>
      </c>
      <c r="B1629" t="s">
        <v>56</v>
      </c>
      <c r="C1629">
        <v>26.33</v>
      </c>
      <c r="D1629">
        <v>35.909999999999997</v>
      </c>
    </row>
    <row r="1630" spans="1:4" x14ac:dyDescent="0.25">
      <c r="A1630" s="1">
        <v>44705</v>
      </c>
      <c r="B1630" t="s">
        <v>58</v>
      </c>
      <c r="C1630">
        <v>24.18</v>
      </c>
      <c r="D1630">
        <v>19.850000000000001</v>
      </c>
    </row>
    <row r="1631" spans="1:4" x14ac:dyDescent="0.25">
      <c r="A1631" s="1">
        <v>44705</v>
      </c>
      <c r="B1631" t="s">
        <v>60</v>
      </c>
      <c r="C1631">
        <v>10.56</v>
      </c>
      <c r="D1631">
        <v>23.28</v>
      </c>
    </row>
    <row r="1632" spans="1:4" x14ac:dyDescent="0.25">
      <c r="A1632" s="1">
        <v>44705</v>
      </c>
      <c r="B1632" t="s">
        <v>62</v>
      </c>
      <c r="C1632">
        <v>33.33</v>
      </c>
      <c r="D1632">
        <v>24.99</v>
      </c>
    </row>
    <row r="1633" spans="1:4" x14ac:dyDescent="0.25">
      <c r="A1633" s="1">
        <v>44707</v>
      </c>
      <c r="B1633" t="s">
        <v>56</v>
      </c>
      <c r="C1633">
        <v>29.99</v>
      </c>
      <c r="D1633">
        <v>26.54</v>
      </c>
    </row>
    <row r="1634" spans="1:4" x14ac:dyDescent="0.25">
      <c r="A1634" s="1">
        <v>44707</v>
      </c>
      <c r="B1634" t="s">
        <v>58</v>
      </c>
      <c r="C1634">
        <v>29.68</v>
      </c>
      <c r="D1634">
        <v>34.299999999999997</v>
      </c>
    </row>
    <row r="1635" spans="1:4" x14ac:dyDescent="0.25">
      <c r="A1635" s="1">
        <v>44707</v>
      </c>
      <c r="B1635" t="s">
        <v>60</v>
      </c>
      <c r="C1635">
        <v>13.56</v>
      </c>
      <c r="D1635">
        <v>16.399999999999999</v>
      </c>
    </row>
    <row r="1636" spans="1:4" x14ac:dyDescent="0.25">
      <c r="A1636" s="1">
        <v>44707</v>
      </c>
      <c r="B1636" t="s">
        <v>62</v>
      </c>
      <c r="C1636">
        <v>16.5</v>
      </c>
      <c r="D1636">
        <v>18.46</v>
      </c>
    </row>
    <row r="1637" spans="1:4" x14ac:dyDescent="0.25">
      <c r="A1637" s="1">
        <v>44708</v>
      </c>
      <c r="B1637" t="s">
        <v>56</v>
      </c>
      <c r="C1637">
        <v>23.02</v>
      </c>
      <c r="D1637">
        <v>27</v>
      </c>
    </row>
    <row r="1638" spans="1:4" x14ac:dyDescent="0.25">
      <c r="A1638" s="1">
        <v>44708</v>
      </c>
      <c r="B1638" t="s">
        <v>58</v>
      </c>
      <c r="C1638">
        <v>18.11</v>
      </c>
      <c r="D1638">
        <v>20.59</v>
      </c>
    </row>
    <row r="1639" spans="1:4" x14ac:dyDescent="0.25">
      <c r="A1639" s="1">
        <v>44708</v>
      </c>
      <c r="B1639" t="s">
        <v>60</v>
      </c>
      <c r="C1639">
        <v>14.67</v>
      </c>
      <c r="D1639">
        <v>16.78</v>
      </c>
    </row>
    <row r="1640" spans="1:4" x14ac:dyDescent="0.25">
      <c r="A1640" s="1">
        <v>44708</v>
      </c>
      <c r="B1640" t="s">
        <v>62</v>
      </c>
      <c r="C1640">
        <v>15.33</v>
      </c>
      <c r="D1640">
        <v>23.35</v>
      </c>
    </row>
    <row r="1641" spans="1:4" x14ac:dyDescent="0.25">
      <c r="A1641" s="1">
        <v>44709</v>
      </c>
      <c r="B1641" t="s">
        <v>56</v>
      </c>
      <c r="C1641">
        <v>24.2</v>
      </c>
      <c r="D1641">
        <v>8.83</v>
      </c>
    </row>
    <row r="1642" spans="1:4" x14ac:dyDescent="0.25">
      <c r="A1642" s="1">
        <v>44709</v>
      </c>
      <c r="B1642" t="s">
        <v>58</v>
      </c>
      <c r="C1642">
        <v>32.380000000000003</v>
      </c>
      <c r="D1642">
        <v>36.47</v>
      </c>
    </row>
    <row r="1643" spans="1:4" x14ac:dyDescent="0.25">
      <c r="A1643" s="1">
        <v>44709</v>
      </c>
      <c r="B1643" t="s">
        <v>60</v>
      </c>
      <c r="C1643">
        <v>8</v>
      </c>
      <c r="D1643">
        <v>14.4</v>
      </c>
    </row>
    <row r="1644" spans="1:4" x14ac:dyDescent="0.25">
      <c r="A1644" s="1">
        <v>44709</v>
      </c>
      <c r="B1644" t="s">
        <v>62</v>
      </c>
      <c r="C1644">
        <v>16.649999999999999</v>
      </c>
      <c r="D1644">
        <v>19.95</v>
      </c>
    </row>
    <row r="1645" spans="1:4" x14ac:dyDescent="0.25">
      <c r="A1645" s="1">
        <v>44712</v>
      </c>
      <c r="B1645" t="s">
        <v>56</v>
      </c>
      <c r="C1645">
        <v>28.6</v>
      </c>
      <c r="D1645">
        <v>33.22</v>
      </c>
    </row>
    <row r="1646" spans="1:4" x14ac:dyDescent="0.25">
      <c r="A1646" s="1">
        <v>44712</v>
      </c>
      <c r="B1646" t="s">
        <v>58</v>
      </c>
      <c r="C1646">
        <v>27.08</v>
      </c>
      <c r="D1646">
        <v>28.7</v>
      </c>
    </row>
    <row r="1647" spans="1:4" x14ac:dyDescent="0.25">
      <c r="A1647" s="1">
        <v>44712</v>
      </c>
      <c r="B1647" t="s">
        <v>60</v>
      </c>
      <c r="C1647">
        <v>18.899999999999999</v>
      </c>
      <c r="D1647">
        <v>14.13</v>
      </c>
    </row>
    <row r="1648" spans="1:4" x14ac:dyDescent="0.25">
      <c r="A1648" s="1">
        <v>44712</v>
      </c>
      <c r="B1648" t="s">
        <v>62</v>
      </c>
      <c r="C1648">
        <v>22.12</v>
      </c>
      <c r="D1648">
        <v>24.7</v>
      </c>
    </row>
    <row r="1649" spans="1:4" x14ac:dyDescent="0.25">
      <c r="A1649" s="1">
        <v>44713</v>
      </c>
      <c r="B1649" t="s">
        <v>56</v>
      </c>
      <c r="C1649">
        <v>27.48</v>
      </c>
      <c r="D1649">
        <v>25.98</v>
      </c>
    </row>
    <row r="1650" spans="1:4" x14ac:dyDescent="0.25">
      <c r="A1650" s="1">
        <v>44713</v>
      </c>
      <c r="B1650" t="s">
        <v>58</v>
      </c>
      <c r="C1650">
        <v>23.48</v>
      </c>
      <c r="D1650">
        <v>46.97</v>
      </c>
    </row>
    <row r="1651" spans="1:4" x14ac:dyDescent="0.25">
      <c r="A1651" s="1">
        <v>44713</v>
      </c>
      <c r="B1651" t="s">
        <v>60</v>
      </c>
      <c r="C1651">
        <v>11.81</v>
      </c>
      <c r="D1651">
        <v>21.88</v>
      </c>
    </row>
    <row r="1652" spans="1:4" x14ac:dyDescent="0.25">
      <c r="A1652" s="1">
        <v>44713</v>
      </c>
      <c r="B1652" t="s">
        <v>62</v>
      </c>
      <c r="C1652">
        <v>29.36</v>
      </c>
      <c r="D1652">
        <v>26.25</v>
      </c>
    </row>
    <row r="1653" spans="1:4" x14ac:dyDescent="0.25">
      <c r="A1653" s="1">
        <v>44715</v>
      </c>
      <c r="B1653" t="s">
        <v>56</v>
      </c>
      <c r="C1653">
        <v>24.42</v>
      </c>
      <c r="D1653">
        <v>24.23</v>
      </c>
    </row>
    <row r="1654" spans="1:4" x14ac:dyDescent="0.25">
      <c r="A1654" s="1">
        <v>44715</v>
      </c>
      <c r="B1654" t="s">
        <v>58</v>
      </c>
      <c r="C1654">
        <v>27.93</v>
      </c>
      <c r="D1654">
        <v>19.96</v>
      </c>
    </row>
    <row r="1655" spans="1:4" x14ac:dyDescent="0.25">
      <c r="A1655" s="1">
        <v>44715</v>
      </c>
      <c r="B1655" t="s">
        <v>60</v>
      </c>
      <c r="C1655">
        <v>12.67</v>
      </c>
      <c r="D1655">
        <v>13.13</v>
      </c>
    </row>
    <row r="1656" spans="1:4" x14ac:dyDescent="0.25">
      <c r="A1656" s="1">
        <v>44715</v>
      </c>
      <c r="B1656" t="s">
        <v>62</v>
      </c>
      <c r="C1656">
        <v>19.5</v>
      </c>
      <c r="D1656">
        <v>19.27</v>
      </c>
    </row>
    <row r="1657" spans="1:4" x14ac:dyDescent="0.25">
      <c r="A1657" s="1">
        <v>44716</v>
      </c>
      <c r="B1657" t="s">
        <v>56</v>
      </c>
      <c r="C1657">
        <v>20.58</v>
      </c>
      <c r="D1657">
        <v>19.920000000000002</v>
      </c>
    </row>
    <row r="1658" spans="1:4" x14ac:dyDescent="0.25">
      <c r="A1658" s="1">
        <v>44716</v>
      </c>
      <c r="B1658" t="s">
        <v>58</v>
      </c>
      <c r="C1658">
        <v>22.11</v>
      </c>
      <c r="D1658">
        <v>29.67</v>
      </c>
    </row>
    <row r="1659" spans="1:4" x14ac:dyDescent="0.25">
      <c r="A1659" s="1">
        <v>44716</v>
      </c>
      <c r="B1659" t="s">
        <v>60</v>
      </c>
      <c r="C1659">
        <v>14.65</v>
      </c>
      <c r="D1659">
        <v>15.87</v>
      </c>
    </row>
    <row r="1660" spans="1:4" x14ac:dyDescent="0.25">
      <c r="A1660" s="1">
        <v>44716</v>
      </c>
      <c r="B1660" t="s">
        <v>62</v>
      </c>
      <c r="C1660">
        <v>17.13</v>
      </c>
      <c r="D1660">
        <v>25.55</v>
      </c>
    </row>
    <row r="1661" spans="1:4" x14ac:dyDescent="0.25">
      <c r="A1661" s="1">
        <v>44718</v>
      </c>
      <c r="B1661" t="s">
        <v>56</v>
      </c>
      <c r="C1661">
        <v>22.9</v>
      </c>
      <c r="D1661">
        <v>33.25</v>
      </c>
    </row>
    <row r="1662" spans="1:4" x14ac:dyDescent="0.25">
      <c r="A1662" s="1">
        <v>44718</v>
      </c>
      <c r="B1662" t="s">
        <v>58</v>
      </c>
      <c r="C1662">
        <v>21.83</v>
      </c>
      <c r="D1662">
        <v>25.95</v>
      </c>
    </row>
    <row r="1663" spans="1:4" x14ac:dyDescent="0.25">
      <c r="A1663" s="1">
        <v>44718</v>
      </c>
      <c r="B1663" t="s">
        <v>60</v>
      </c>
      <c r="C1663">
        <v>14.4</v>
      </c>
      <c r="D1663">
        <v>14.6</v>
      </c>
    </row>
    <row r="1664" spans="1:4" x14ac:dyDescent="0.25">
      <c r="A1664" s="1">
        <v>44718</v>
      </c>
      <c r="B1664" t="s">
        <v>62</v>
      </c>
      <c r="C1664">
        <v>15.62</v>
      </c>
      <c r="D1664">
        <v>24.5</v>
      </c>
    </row>
    <row r="1665" spans="1:4" x14ac:dyDescent="0.25">
      <c r="A1665" s="1">
        <v>44719</v>
      </c>
      <c r="B1665" t="s">
        <v>56</v>
      </c>
      <c r="C1665">
        <v>25.75</v>
      </c>
      <c r="D1665">
        <v>32.93</v>
      </c>
    </row>
    <row r="1666" spans="1:4" x14ac:dyDescent="0.25">
      <c r="A1666" s="1">
        <v>44719</v>
      </c>
      <c r="B1666" t="s">
        <v>58</v>
      </c>
      <c r="C1666">
        <v>23.4</v>
      </c>
      <c r="D1666">
        <v>25.18</v>
      </c>
    </row>
    <row r="1667" spans="1:4" x14ac:dyDescent="0.25">
      <c r="A1667" s="1">
        <v>44719</v>
      </c>
      <c r="B1667" t="s">
        <v>60</v>
      </c>
      <c r="C1667">
        <v>10.58</v>
      </c>
      <c r="D1667">
        <v>24.54</v>
      </c>
    </row>
    <row r="1668" spans="1:4" x14ac:dyDescent="0.25">
      <c r="A1668" s="1">
        <v>44719</v>
      </c>
      <c r="B1668" t="s">
        <v>62</v>
      </c>
      <c r="C1668">
        <v>30.16</v>
      </c>
      <c r="D1668">
        <v>29.59</v>
      </c>
    </row>
    <row r="1669" spans="1:4" x14ac:dyDescent="0.25">
      <c r="A1669" s="1">
        <v>44721</v>
      </c>
      <c r="B1669" t="s">
        <v>56</v>
      </c>
      <c r="C1669">
        <v>22.81</v>
      </c>
      <c r="D1669">
        <v>25.86</v>
      </c>
    </row>
    <row r="1670" spans="1:4" x14ac:dyDescent="0.25">
      <c r="A1670" s="1">
        <v>44721</v>
      </c>
      <c r="B1670" t="s">
        <v>58</v>
      </c>
      <c r="C1670">
        <v>23.86</v>
      </c>
      <c r="D1670">
        <v>26.91</v>
      </c>
    </row>
    <row r="1671" spans="1:4" x14ac:dyDescent="0.25">
      <c r="A1671" s="1">
        <v>44721</v>
      </c>
      <c r="B1671" t="s">
        <v>60</v>
      </c>
      <c r="C1671">
        <v>11.28</v>
      </c>
      <c r="D1671">
        <v>16.61</v>
      </c>
    </row>
    <row r="1672" spans="1:4" x14ac:dyDescent="0.25">
      <c r="A1672" s="1">
        <v>44721</v>
      </c>
      <c r="B1672" t="s">
        <v>62</v>
      </c>
      <c r="C1672">
        <v>15.61</v>
      </c>
      <c r="D1672">
        <v>19.75</v>
      </c>
    </row>
    <row r="1673" spans="1:4" x14ac:dyDescent="0.25">
      <c r="A1673" s="1">
        <v>44722</v>
      </c>
      <c r="B1673" t="s">
        <v>56</v>
      </c>
      <c r="C1673">
        <v>37.07</v>
      </c>
      <c r="D1673">
        <v>23.47</v>
      </c>
    </row>
    <row r="1674" spans="1:4" x14ac:dyDescent="0.25">
      <c r="A1674" s="1">
        <v>44722</v>
      </c>
      <c r="B1674" t="s">
        <v>58</v>
      </c>
      <c r="C1674">
        <v>14.8</v>
      </c>
      <c r="D1674">
        <v>23.54</v>
      </c>
    </row>
    <row r="1675" spans="1:4" x14ac:dyDescent="0.25">
      <c r="A1675" s="1">
        <v>44722</v>
      </c>
      <c r="B1675" t="s">
        <v>60</v>
      </c>
      <c r="C1675">
        <v>13.67</v>
      </c>
      <c r="D1675">
        <v>16.47</v>
      </c>
    </row>
    <row r="1676" spans="1:4" x14ac:dyDescent="0.25">
      <c r="A1676" s="1">
        <v>44722</v>
      </c>
      <c r="B1676" t="s">
        <v>62</v>
      </c>
      <c r="C1676">
        <v>27.37</v>
      </c>
      <c r="D1676">
        <v>19.72</v>
      </c>
    </row>
    <row r="1677" spans="1:4" x14ac:dyDescent="0.25">
      <c r="A1677" s="1">
        <v>44723</v>
      </c>
      <c r="B1677" t="s">
        <v>56</v>
      </c>
      <c r="C1677">
        <v>19.62</v>
      </c>
      <c r="D1677">
        <v>29.75</v>
      </c>
    </row>
    <row r="1678" spans="1:4" x14ac:dyDescent="0.25">
      <c r="A1678" s="1">
        <v>44723</v>
      </c>
      <c r="B1678" t="s">
        <v>58</v>
      </c>
      <c r="C1678">
        <v>23.83</v>
      </c>
      <c r="D1678">
        <v>23.27</v>
      </c>
    </row>
    <row r="1679" spans="1:4" x14ac:dyDescent="0.25">
      <c r="A1679" s="1">
        <v>44723</v>
      </c>
      <c r="B1679" t="s">
        <v>60</v>
      </c>
      <c r="C1679">
        <v>7.53</v>
      </c>
      <c r="D1679">
        <v>14.35</v>
      </c>
    </row>
    <row r="1680" spans="1:4" x14ac:dyDescent="0.25">
      <c r="A1680" s="1">
        <v>44723</v>
      </c>
      <c r="B1680" t="s">
        <v>62</v>
      </c>
      <c r="C1680">
        <v>14.67</v>
      </c>
      <c r="D1680">
        <v>21.45</v>
      </c>
    </row>
    <row r="1681" spans="1:4" x14ac:dyDescent="0.25">
      <c r="A1681" s="1">
        <v>44725</v>
      </c>
      <c r="B1681" t="s">
        <v>56</v>
      </c>
      <c r="C1681">
        <v>25.04</v>
      </c>
      <c r="D1681">
        <v>29.73</v>
      </c>
    </row>
    <row r="1682" spans="1:4" x14ac:dyDescent="0.25">
      <c r="A1682" s="1">
        <v>44725</v>
      </c>
      <c r="B1682" t="s">
        <v>58</v>
      </c>
      <c r="C1682">
        <v>24.45</v>
      </c>
      <c r="D1682">
        <v>27.25</v>
      </c>
    </row>
    <row r="1683" spans="1:4" x14ac:dyDescent="0.25">
      <c r="A1683" s="1">
        <v>44725</v>
      </c>
      <c r="B1683" t="s">
        <v>60</v>
      </c>
      <c r="C1683">
        <v>14.97</v>
      </c>
      <c r="D1683">
        <v>15.42</v>
      </c>
    </row>
    <row r="1684" spans="1:4" x14ac:dyDescent="0.25">
      <c r="A1684" s="1">
        <v>44725</v>
      </c>
      <c r="B1684" t="s">
        <v>62</v>
      </c>
      <c r="C1684">
        <v>20.88</v>
      </c>
      <c r="D1684">
        <v>23.8</v>
      </c>
    </row>
    <row r="1685" spans="1:4" x14ac:dyDescent="0.25">
      <c r="A1685" s="1">
        <v>44726</v>
      </c>
      <c r="B1685" t="s">
        <v>56</v>
      </c>
      <c r="C1685">
        <v>21.18</v>
      </c>
      <c r="D1685">
        <v>29.62</v>
      </c>
    </row>
    <row r="1686" spans="1:4" x14ac:dyDescent="0.25">
      <c r="A1686" s="1">
        <v>44726</v>
      </c>
      <c r="B1686" t="s">
        <v>58</v>
      </c>
      <c r="C1686">
        <v>23.28</v>
      </c>
      <c r="D1686">
        <v>23.3</v>
      </c>
    </row>
    <row r="1687" spans="1:4" x14ac:dyDescent="0.25">
      <c r="A1687" s="1">
        <v>44726</v>
      </c>
      <c r="B1687" t="s">
        <v>60</v>
      </c>
      <c r="C1687">
        <v>9.5500000000000007</v>
      </c>
      <c r="D1687">
        <v>19.95</v>
      </c>
    </row>
    <row r="1688" spans="1:4" x14ac:dyDescent="0.25">
      <c r="A1688" s="1">
        <v>44726</v>
      </c>
      <c r="B1688" t="s">
        <v>62</v>
      </c>
      <c r="C1688">
        <v>21.05</v>
      </c>
      <c r="D1688">
        <v>28.52</v>
      </c>
    </row>
    <row r="1689" spans="1:4" x14ac:dyDescent="0.25">
      <c r="A1689" s="1">
        <v>44728</v>
      </c>
      <c r="B1689" t="s">
        <v>56</v>
      </c>
      <c r="C1689">
        <v>22.02</v>
      </c>
      <c r="D1689">
        <v>23.17</v>
      </c>
    </row>
    <row r="1690" spans="1:4" x14ac:dyDescent="0.25">
      <c r="A1690" s="1">
        <v>44728</v>
      </c>
      <c r="B1690" t="s">
        <v>58</v>
      </c>
      <c r="C1690">
        <v>25.38</v>
      </c>
      <c r="D1690">
        <v>27.98</v>
      </c>
    </row>
    <row r="1691" spans="1:4" x14ac:dyDescent="0.25">
      <c r="A1691" s="1">
        <v>44728</v>
      </c>
      <c r="B1691" t="s">
        <v>60</v>
      </c>
      <c r="C1691">
        <v>10.08</v>
      </c>
      <c r="D1691">
        <v>11.48</v>
      </c>
    </row>
    <row r="1692" spans="1:4" x14ac:dyDescent="0.25">
      <c r="A1692" s="1">
        <v>44728</v>
      </c>
      <c r="B1692" t="s">
        <v>62</v>
      </c>
      <c r="C1692">
        <v>15.58</v>
      </c>
      <c r="D1692">
        <v>17.420000000000002</v>
      </c>
    </row>
    <row r="1693" spans="1:4" x14ac:dyDescent="0.25">
      <c r="A1693" s="1">
        <v>44729</v>
      </c>
      <c r="B1693" t="s">
        <v>56</v>
      </c>
      <c r="C1693">
        <v>19.18</v>
      </c>
      <c r="D1693">
        <v>23.35</v>
      </c>
    </row>
    <row r="1694" spans="1:4" x14ac:dyDescent="0.25">
      <c r="A1694" s="1">
        <v>44729</v>
      </c>
      <c r="B1694" t="s">
        <v>58</v>
      </c>
      <c r="C1694">
        <v>18.32</v>
      </c>
      <c r="D1694">
        <v>21.12</v>
      </c>
    </row>
    <row r="1695" spans="1:4" x14ac:dyDescent="0.25">
      <c r="A1695" s="1">
        <v>44729</v>
      </c>
      <c r="B1695" t="s">
        <v>60</v>
      </c>
      <c r="C1695">
        <v>12.26</v>
      </c>
      <c r="D1695">
        <v>11.9</v>
      </c>
    </row>
    <row r="1696" spans="1:4" x14ac:dyDescent="0.25">
      <c r="A1696" s="1">
        <v>44729</v>
      </c>
      <c r="B1696" t="s">
        <v>62</v>
      </c>
      <c r="C1696">
        <v>25.03</v>
      </c>
      <c r="D1696">
        <v>23.68</v>
      </c>
    </row>
    <row r="1697" spans="1:4" x14ac:dyDescent="0.25">
      <c r="A1697" s="1">
        <v>44730</v>
      </c>
      <c r="B1697" t="s">
        <v>56</v>
      </c>
      <c r="C1697">
        <v>19.73</v>
      </c>
      <c r="D1697">
        <v>23.25</v>
      </c>
    </row>
    <row r="1698" spans="1:4" x14ac:dyDescent="0.25">
      <c r="A1698" s="1">
        <v>44730</v>
      </c>
      <c r="B1698" t="s">
        <v>58</v>
      </c>
      <c r="C1698">
        <v>24.23</v>
      </c>
      <c r="D1698">
        <v>30.03</v>
      </c>
    </row>
    <row r="1699" spans="1:4" x14ac:dyDescent="0.25">
      <c r="A1699" s="1">
        <v>44730</v>
      </c>
      <c r="B1699" t="s">
        <v>60</v>
      </c>
      <c r="C1699">
        <v>7.48</v>
      </c>
      <c r="D1699">
        <v>14.65</v>
      </c>
    </row>
    <row r="1700" spans="1:4" x14ac:dyDescent="0.25">
      <c r="A1700" s="1">
        <v>44730</v>
      </c>
      <c r="B1700" t="s">
        <v>62</v>
      </c>
      <c r="C1700">
        <v>14.63</v>
      </c>
      <c r="D1700">
        <v>19.3</v>
      </c>
    </row>
    <row r="1701" spans="1:4" x14ac:dyDescent="0.25">
      <c r="A1701" s="1">
        <v>44732</v>
      </c>
      <c r="B1701" t="s">
        <v>56</v>
      </c>
    </row>
    <row r="1702" spans="1:4" x14ac:dyDescent="0.25">
      <c r="A1702" s="1">
        <v>44732</v>
      </c>
      <c r="B1702" t="s">
        <v>58</v>
      </c>
    </row>
    <row r="1703" spans="1:4" x14ac:dyDescent="0.25">
      <c r="A1703" s="1">
        <v>44732</v>
      </c>
      <c r="B1703" t="s">
        <v>60</v>
      </c>
    </row>
    <row r="1704" spans="1:4" x14ac:dyDescent="0.25">
      <c r="A1704" s="1">
        <v>44732</v>
      </c>
      <c r="B1704" t="s">
        <v>62</v>
      </c>
    </row>
    <row r="1705" spans="1:4" x14ac:dyDescent="0.25">
      <c r="A1705" s="1">
        <v>44733</v>
      </c>
      <c r="B1705" t="s">
        <v>56</v>
      </c>
    </row>
    <row r="1706" spans="1:4" x14ac:dyDescent="0.25">
      <c r="A1706" s="1">
        <v>44733</v>
      </c>
      <c r="B1706" t="s">
        <v>58</v>
      </c>
    </row>
    <row r="1707" spans="1:4" x14ac:dyDescent="0.25">
      <c r="A1707" s="1">
        <v>44733</v>
      </c>
      <c r="B1707" t="s">
        <v>60</v>
      </c>
    </row>
    <row r="1708" spans="1:4" x14ac:dyDescent="0.25">
      <c r="A1708" s="1">
        <v>44733</v>
      </c>
      <c r="B1708" t="s">
        <v>62</v>
      </c>
    </row>
    <row r="1709" spans="1:4" x14ac:dyDescent="0.25">
      <c r="A1709" s="1">
        <v>44735</v>
      </c>
      <c r="B1709" t="s">
        <v>56</v>
      </c>
    </row>
    <row r="1710" spans="1:4" x14ac:dyDescent="0.25">
      <c r="A1710" s="1">
        <v>44735</v>
      </c>
      <c r="B1710" t="s">
        <v>58</v>
      </c>
    </row>
    <row r="1711" spans="1:4" x14ac:dyDescent="0.25">
      <c r="A1711" s="1">
        <v>44735</v>
      </c>
      <c r="B1711" t="s">
        <v>60</v>
      </c>
    </row>
    <row r="1712" spans="1:4" x14ac:dyDescent="0.25">
      <c r="A1712" s="1">
        <v>44735</v>
      </c>
      <c r="B1712" t="s">
        <v>62</v>
      </c>
    </row>
    <row r="1713" spans="1:2" x14ac:dyDescent="0.25">
      <c r="A1713" s="1">
        <v>44736</v>
      </c>
      <c r="B1713" t="s">
        <v>56</v>
      </c>
    </row>
    <row r="1714" spans="1:2" x14ac:dyDescent="0.25">
      <c r="A1714" s="1">
        <v>44736</v>
      </c>
      <c r="B1714" t="s">
        <v>58</v>
      </c>
    </row>
    <row r="1715" spans="1:2" x14ac:dyDescent="0.25">
      <c r="A1715" s="1">
        <v>44736</v>
      </c>
      <c r="B1715" t="s">
        <v>60</v>
      </c>
    </row>
    <row r="1716" spans="1:2" x14ac:dyDescent="0.25">
      <c r="A1716" s="1">
        <v>44736</v>
      </c>
      <c r="B1716" t="s">
        <v>62</v>
      </c>
    </row>
    <row r="1717" spans="1:2" x14ac:dyDescent="0.25">
      <c r="A1717" s="1">
        <v>44737</v>
      </c>
      <c r="B1717" t="s">
        <v>56</v>
      </c>
    </row>
    <row r="1718" spans="1:2" x14ac:dyDescent="0.25">
      <c r="A1718" s="1">
        <v>44737</v>
      </c>
      <c r="B1718" t="s">
        <v>58</v>
      </c>
    </row>
    <row r="1719" spans="1:2" x14ac:dyDescent="0.25">
      <c r="A1719" s="1">
        <v>44737</v>
      </c>
      <c r="B1719" t="s">
        <v>60</v>
      </c>
    </row>
    <row r="1720" spans="1:2" x14ac:dyDescent="0.25">
      <c r="A1720" s="1">
        <v>44737</v>
      </c>
      <c r="B1720" t="s">
        <v>62</v>
      </c>
    </row>
    <row r="1048576" spans="1:1" x14ac:dyDescent="0.25">
      <c r="A1048576" s="7"/>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Lists!$A$2:$A$5</xm:f>
          </x14:formula1>
          <xm:sqref>B2:B1720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40"/>
  <sheetViews>
    <sheetView tabSelected="1" topLeftCell="B1" zoomScale="85" zoomScaleNormal="85" workbookViewId="0">
      <pane ySplit="1" topLeftCell="A2" activePane="bottomLeft" state="frozen"/>
      <selection activeCell="B1" sqref="B1"/>
      <selection pane="bottomLeft" activeCell="D2392" sqref="D2392"/>
    </sheetView>
  </sheetViews>
  <sheetFormatPr defaultRowHeight="15" x14ac:dyDescent="0.25"/>
  <cols>
    <col min="1" max="1" width="11.42578125" hidden="1" customWidth="1"/>
    <col min="2" max="2" width="12.85546875" bestFit="1" customWidth="1"/>
    <col min="3" max="3" width="14.7109375" customWidth="1"/>
    <col min="4" max="6" width="9.7109375" customWidth="1"/>
    <col min="7" max="7" width="10.42578125" bestFit="1" customWidth="1"/>
    <col min="8" max="8" width="7.5703125" bestFit="1" customWidth="1"/>
    <col min="9" max="9" width="13" customWidth="1"/>
    <col min="10" max="10" width="20.7109375" bestFit="1" customWidth="1"/>
    <col min="11" max="11" width="21.5703125" customWidth="1"/>
    <col min="12" max="12" width="20" customWidth="1"/>
    <col min="13" max="13" width="60" bestFit="1" customWidth="1"/>
    <col min="14" max="14" width="104.140625" style="20" customWidth="1"/>
    <col min="15" max="15" width="30.42578125" customWidth="1"/>
    <col min="16" max="16" width="17.7109375" customWidth="1"/>
  </cols>
  <sheetData>
    <row r="1" spans="1:16" x14ac:dyDescent="0.25">
      <c r="A1" t="s">
        <v>724</v>
      </c>
      <c r="B1" t="s">
        <v>442</v>
      </c>
      <c r="C1" t="s">
        <v>43</v>
      </c>
      <c r="D1" t="s">
        <v>47</v>
      </c>
      <c r="E1" t="s">
        <v>9</v>
      </c>
      <c r="F1" t="s">
        <v>10</v>
      </c>
      <c r="G1" t="s">
        <v>12</v>
      </c>
      <c r="H1" t="s">
        <v>48</v>
      </c>
      <c r="I1" t="s">
        <v>6</v>
      </c>
      <c r="J1" t="s">
        <v>8</v>
      </c>
      <c r="K1" t="s">
        <v>1406</v>
      </c>
      <c r="L1" t="s">
        <v>7</v>
      </c>
      <c r="M1" t="s">
        <v>42</v>
      </c>
      <c r="N1" s="20" t="s">
        <v>887</v>
      </c>
      <c r="O1" t="s">
        <v>888</v>
      </c>
      <c r="P1" t="s">
        <v>889</v>
      </c>
    </row>
    <row r="2" spans="1:16" hidden="1" x14ac:dyDescent="0.25">
      <c r="A2" s="1" t="str">
        <f>VLOOKUP(Table2[[#This Row],[Prod Line ]],Lists!A:E,5,0)</f>
        <v>a</v>
      </c>
      <c r="B2" s="1">
        <v>43862</v>
      </c>
      <c r="C2" s="1">
        <v>44226</v>
      </c>
      <c r="D2" s="1" t="s">
        <v>56</v>
      </c>
      <c r="E2" s="2" t="s">
        <v>404</v>
      </c>
      <c r="F2" s="1"/>
      <c r="G2" s="2">
        <v>7</v>
      </c>
      <c r="H2" s="1"/>
      <c r="I2" t="s">
        <v>0</v>
      </c>
      <c r="J2" t="s">
        <v>65</v>
      </c>
      <c r="K2" t="s">
        <v>3</v>
      </c>
      <c r="L2" t="s">
        <v>70</v>
      </c>
      <c r="M2" s="3" t="s">
        <v>803</v>
      </c>
    </row>
    <row r="3" spans="1:16" hidden="1" x14ac:dyDescent="0.25">
      <c r="A3" s="1" t="str">
        <f>VLOOKUP(Table2[[#This Row],[Prod Line ]],Lists!A:E,5,0)</f>
        <v>b</v>
      </c>
      <c r="B3" s="1">
        <v>44109</v>
      </c>
      <c r="C3" s="1">
        <v>44107</v>
      </c>
      <c r="D3" s="1" t="s">
        <v>58</v>
      </c>
      <c r="E3" s="2" t="s">
        <v>406</v>
      </c>
      <c r="F3" s="1"/>
      <c r="G3" s="2">
        <v>4</v>
      </c>
      <c r="H3" s="1"/>
      <c r="I3" t="s">
        <v>67</v>
      </c>
      <c r="J3" t="s">
        <v>65</v>
      </c>
      <c r="K3" t="s">
        <v>27</v>
      </c>
      <c r="L3" t="s">
        <v>350</v>
      </c>
      <c r="M3" s="3"/>
      <c r="N3"/>
    </row>
    <row r="4" spans="1:16" hidden="1" x14ac:dyDescent="0.25">
      <c r="A4" s="1" t="str">
        <f>VLOOKUP(Table2[[#This Row],[Prod Line ]],Lists!A:E,5,0)</f>
        <v>b</v>
      </c>
      <c r="B4" s="1">
        <v>44109</v>
      </c>
      <c r="C4" s="1">
        <v>44107</v>
      </c>
      <c r="D4" s="1" t="s">
        <v>58</v>
      </c>
      <c r="E4" s="2" t="s">
        <v>404</v>
      </c>
      <c r="F4" s="1"/>
      <c r="G4" s="2">
        <v>16</v>
      </c>
      <c r="H4" s="1"/>
      <c r="I4" t="s">
        <v>1</v>
      </c>
      <c r="J4" t="s">
        <v>2</v>
      </c>
      <c r="K4" t="s">
        <v>19</v>
      </c>
      <c r="L4" t="s">
        <v>349</v>
      </c>
      <c r="M4" s="3" t="s">
        <v>408</v>
      </c>
      <c r="N4"/>
    </row>
    <row r="5" spans="1:16" hidden="1" x14ac:dyDescent="0.25">
      <c r="A5" s="1" t="str">
        <f>VLOOKUP(Table2[[#This Row],[Prod Line ]],Lists!A:E,5,0)</f>
        <v>a</v>
      </c>
      <c r="B5" s="1">
        <v>44109</v>
      </c>
      <c r="C5" s="1">
        <v>44107</v>
      </c>
      <c r="D5" s="1" t="s">
        <v>56</v>
      </c>
      <c r="E5" s="2" t="s">
        <v>404</v>
      </c>
      <c r="F5" s="1"/>
      <c r="G5" s="2">
        <v>8</v>
      </c>
      <c r="H5" s="1"/>
      <c r="I5" t="s">
        <v>0</v>
      </c>
      <c r="J5" t="s">
        <v>64</v>
      </c>
      <c r="K5" t="s">
        <v>365</v>
      </c>
      <c r="L5" t="s">
        <v>70</v>
      </c>
      <c r="M5" s="3"/>
    </row>
    <row r="6" spans="1:16" hidden="1" x14ac:dyDescent="0.25">
      <c r="A6" s="1" t="str">
        <f>VLOOKUP(Table2[[#This Row],[Prod Line ]],Lists!A:E,5,0)</f>
        <v>b</v>
      </c>
      <c r="B6" s="1">
        <v>44110</v>
      </c>
      <c r="C6" s="1">
        <v>44108</v>
      </c>
      <c r="D6" s="1" t="s">
        <v>58</v>
      </c>
      <c r="E6" s="2" t="s">
        <v>405</v>
      </c>
      <c r="F6" s="1"/>
      <c r="G6" s="2">
        <v>26</v>
      </c>
      <c r="H6" s="1" t="s">
        <v>75</v>
      </c>
      <c r="I6" t="s">
        <v>1</v>
      </c>
      <c r="J6" t="s">
        <v>5</v>
      </c>
      <c r="K6" t="s">
        <v>38</v>
      </c>
      <c r="L6" t="s">
        <v>407</v>
      </c>
      <c r="M6" s="3" t="s">
        <v>409</v>
      </c>
      <c r="N6"/>
    </row>
    <row r="7" spans="1:16" hidden="1" x14ac:dyDescent="0.25">
      <c r="A7" s="1" t="str">
        <f>VLOOKUP(Table2[[#This Row],[Prod Line ]],Lists!A:E,5,0)</f>
        <v>a</v>
      </c>
      <c r="B7" s="1">
        <v>44110</v>
      </c>
      <c r="C7" s="1">
        <v>44108</v>
      </c>
      <c r="D7" s="1" t="s">
        <v>56</v>
      </c>
      <c r="E7" s="2" t="s">
        <v>404</v>
      </c>
      <c r="F7" s="1"/>
      <c r="G7" s="2">
        <v>13</v>
      </c>
      <c r="H7" s="1"/>
      <c r="I7" t="s">
        <v>0</v>
      </c>
      <c r="J7" t="s">
        <v>64</v>
      </c>
      <c r="K7" t="s">
        <v>365</v>
      </c>
      <c r="L7" t="s">
        <v>70</v>
      </c>
      <c r="M7" s="3"/>
    </row>
    <row r="8" spans="1:16" hidden="1" x14ac:dyDescent="0.25">
      <c r="A8" s="1" t="str">
        <f>VLOOKUP(Table2[[#This Row],[Prod Line ]],Lists!A:E,5,0)</f>
        <v>c</v>
      </c>
      <c r="B8" s="1">
        <v>44110</v>
      </c>
      <c r="C8" s="1">
        <v>44108</v>
      </c>
      <c r="D8" s="1" t="s">
        <v>60</v>
      </c>
      <c r="E8" s="2" t="s">
        <v>404</v>
      </c>
      <c r="F8" s="1"/>
      <c r="G8" s="2">
        <v>16</v>
      </c>
      <c r="H8" s="1"/>
      <c r="I8" t="s">
        <v>1</v>
      </c>
      <c r="J8" t="s">
        <v>64</v>
      </c>
      <c r="K8" t="s">
        <v>381</v>
      </c>
      <c r="L8" t="s">
        <v>407</v>
      </c>
      <c r="M8" s="3" t="s">
        <v>415</v>
      </c>
      <c r="N8"/>
    </row>
    <row r="9" spans="1:16" hidden="1" x14ac:dyDescent="0.25">
      <c r="A9" s="1" t="str">
        <f>VLOOKUP(Table2[[#This Row],[Prod Line ]],Lists!A:E,5,0)</f>
        <v>c</v>
      </c>
      <c r="B9" s="1">
        <v>44110</v>
      </c>
      <c r="C9" s="1">
        <v>44108</v>
      </c>
      <c r="D9" s="1" t="s">
        <v>60</v>
      </c>
      <c r="E9" s="2" t="s">
        <v>404</v>
      </c>
      <c r="F9" s="1"/>
      <c r="G9" s="2">
        <v>12</v>
      </c>
      <c r="H9" s="1"/>
      <c r="I9" t="s">
        <v>0</v>
      </c>
      <c r="J9" t="s">
        <v>64</v>
      </c>
      <c r="K9" t="s">
        <v>381</v>
      </c>
      <c r="L9" t="s">
        <v>70</v>
      </c>
      <c r="M9" s="3" t="s">
        <v>414</v>
      </c>
    </row>
    <row r="10" spans="1:16" hidden="1" x14ac:dyDescent="0.25">
      <c r="A10" s="1" t="str">
        <f>VLOOKUP(Table2[[#This Row],[Prod Line ]],Lists!A:E,5,0)</f>
        <v>b</v>
      </c>
      <c r="B10" s="1">
        <v>44112</v>
      </c>
      <c r="C10" s="1">
        <v>44110</v>
      </c>
      <c r="D10" s="1" t="s">
        <v>58</v>
      </c>
      <c r="E10" s="2" t="s">
        <v>406</v>
      </c>
      <c r="F10" s="1"/>
      <c r="G10" s="2">
        <v>13</v>
      </c>
      <c r="H10" s="1"/>
      <c r="I10" t="s">
        <v>0</v>
      </c>
      <c r="J10" t="s">
        <v>2</v>
      </c>
      <c r="K10" t="s">
        <v>17</v>
      </c>
      <c r="L10" t="s">
        <v>70</v>
      </c>
      <c r="M10" s="3" t="s">
        <v>410</v>
      </c>
    </row>
    <row r="11" spans="1:16" hidden="1" x14ac:dyDescent="0.25">
      <c r="A11" s="1" t="str">
        <f>VLOOKUP(Table2[[#This Row],[Prod Line ]],Lists!A:E,5,0)</f>
        <v>b</v>
      </c>
      <c r="B11" s="1">
        <v>44112</v>
      </c>
      <c r="C11" s="1">
        <v>44110</v>
      </c>
      <c r="D11" s="1" t="s">
        <v>58</v>
      </c>
      <c r="E11" s="2" t="s">
        <v>406</v>
      </c>
      <c r="F11" s="1"/>
      <c r="G11" s="2">
        <v>5</v>
      </c>
      <c r="H11" s="1"/>
      <c r="I11" t="s">
        <v>1</v>
      </c>
      <c r="J11" t="s">
        <v>2</v>
      </c>
      <c r="K11" t="s">
        <v>19</v>
      </c>
      <c r="L11" t="s">
        <v>349</v>
      </c>
      <c r="M11" s="3"/>
      <c r="N11"/>
    </row>
    <row r="12" spans="1:16" hidden="1" x14ac:dyDescent="0.25">
      <c r="A12" s="1" t="str">
        <f>VLOOKUP(Table2[[#This Row],[Prod Line ]],Lists!A:E,5,0)</f>
        <v>d</v>
      </c>
      <c r="B12" s="1">
        <v>44112</v>
      </c>
      <c r="C12" s="1">
        <v>44110</v>
      </c>
      <c r="D12" s="1" t="s">
        <v>62</v>
      </c>
      <c r="E12" s="2" t="s">
        <v>404</v>
      </c>
      <c r="F12" s="1"/>
      <c r="G12" s="2">
        <v>90</v>
      </c>
      <c r="H12" s="1" t="s">
        <v>75</v>
      </c>
      <c r="I12" t="s">
        <v>1</v>
      </c>
      <c r="J12" t="s">
        <v>2</v>
      </c>
      <c r="K12" t="s">
        <v>17</v>
      </c>
      <c r="L12" t="s">
        <v>407</v>
      </c>
      <c r="M12" s="3" t="s">
        <v>418</v>
      </c>
      <c r="N12"/>
    </row>
    <row r="13" spans="1:16" hidden="1" x14ac:dyDescent="0.25">
      <c r="A13" s="1" t="str">
        <f>VLOOKUP(Table2[[#This Row],[Prod Line ]],Lists!A:E,5,0)</f>
        <v>d</v>
      </c>
      <c r="B13" s="1">
        <v>44112</v>
      </c>
      <c r="C13" s="1">
        <v>44110</v>
      </c>
      <c r="D13" s="1" t="s">
        <v>62</v>
      </c>
      <c r="E13" s="2" t="s">
        <v>405</v>
      </c>
      <c r="F13" s="1"/>
      <c r="G13" s="2">
        <v>28</v>
      </c>
      <c r="H13" s="1"/>
      <c r="I13" t="s">
        <v>1</v>
      </c>
      <c r="J13" t="s">
        <v>65</v>
      </c>
      <c r="K13" t="s">
        <v>394</v>
      </c>
      <c r="L13" t="s">
        <v>407</v>
      </c>
      <c r="M13" s="3" t="s">
        <v>419</v>
      </c>
      <c r="N13"/>
    </row>
    <row r="14" spans="1:16" hidden="1" x14ac:dyDescent="0.25">
      <c r="A14" s="1" t="str">
        <f>VLOOKUP(Table2[[#This Row],[Prod Line ]],Lists!A:E,5,0)</f>
        <v>a</v>
      </c>
      <c r="B14" s="1">
        <v>44112</v>
      </c>
      <c r="C14" s="1">
        <v>44110</v>
      </c>
      <c r="D14" s="1" t="s">
        <v>56</v>
      </c>
      <c r="E14" s="2" t="s">
        <v>404</v>
      </c>
      <c r="F14" s="1"/>
      <c r="G14" s="2">
        <v>4</v>
      </c>
      <c r="H14" s="1"/>
      <c r="I14" t="s">
        <v>1</v>
      </c>
      <c r="J14" t="s">
        <v>65</v>
      </c>
      <c r="K14" t="s">
        <v>27</v>
      </c>
      <c r="L14" t="s">
        <v>350</v>
      </c>
      <c r="M14" s="3"/>
      <c r="N14"/>
    </row>
    <row r="15" spans="1:16" hidden="1" x14ac:dyDescent="0.25">
      <c r="A15" s="1" t="str">
        <f>VLOOKUP(Table2[[#This Row],[Prod Line ]],Lists!A:E,5,0)</f>
        <v>b</v>
      </c>
      <c r="B15" s="1">
        <v>44113</v>
      </c>
      <c r="C15" s="1">
        <v>44111</v>
      </c>
      <c r="D15" s="1" t="s">
        <v>58</v>
      </c>
      <c r="E15" s="2" t="s">
        <v>404</v>
      </c>
      <c r="F15" s="1"/>
      <c r="G15" s="2">
        <v>28</v>
      </c>
      <c r="H15" s="1" t="s">
        <v>75</v>
      </c>
      <c r="I15" t="s">
        <v>1</v>
      </c>
      <c r="J15" t="s">
        <v>2</v>
      </c>
      <c r="K15" t="s">
        <v>17</v>
      </c>
      <c r="L15" t="s">
        <v>407</v>
      </c>
      <c r="M15" s="3" t="s">
        <v>411</v>
      </c>
      <c r="N15"/>
    </row>
    <row r="16" spans="1:16" hidden="1" x14ac:dyDescent="0.25">
      <c r="A16" s="1" t="str">
        <f>VLOOKUP(Table2[[#This Row],[Prod Line ]],Lists!A:E,5,0)</f>
        <v>a</v>
      </c>
      <c r="B16" s="1">
        <v>44113</v>
      </c>
      <c r="C16" s="1">
        <v>44111</v>
      </c>
      <c r="D16" s="1" t="s">
        <v>56</v>
      </c>
      <c r="E16" s="2" t="s">
        <v>404</v>
      </c>
      <c r="F16" s="1"/>
      <c r="G16" s="2">
        <v>13</v>
      </c>
      <c r="H16" s="1"/>
      <c r="I16" t="s">
        <v>0</v>
      </c>
      <c r="J16" t="s">
        <v>2</v>
      </c>
      <c r="K16" t="s">
        <v>17</v>
      </c>
      <c r="L16" t="s">
        <v>70</v>
      </c>
      <c r="M16" s="3"/>
    </row>
    <row r="17" spans="1:14" hidden="1" x14ac:dyDescent="0.25">
      <c r="A17" s="1" t="str">
        <f>VLOOKUP(Table2[[#This Row],[Prod Line ]],Lists!A:E,5,0)</f>
        <v>a</v>
      </c>
      <c r="B17" s="1">
        <v>44113</v>
      </c>
      <c r="C17" s="1">
        <v>44111</v>
      </c>
      <c r="D17" s="1" t="s">
        <v>56</v>
      </c>
      <c r="E17" s="2" t="s">
        <v>404</v>
      </c>
      <c r="F17" s="1"/>
      <c r="G17" s="2">
        <v>10</v>
      </c>
      <c r="H17" s="1"/>
      <c r="I17" t="s">
        <v>0</v>
      </c>
      <c r="J17" t="s">
        <v>5</v>
      </c>
      <c r="K17" t="s">
        <v>376</v>
      </c>
      <c r="L17" t="s">
        <v>70</v>
      </c>
      <c r="M17" s="3" t="s">
        <v>425</v>
      </c>
    </row>
    <row r="18" spans="1:14" hidden="1" x14ac:dyDescent="0.25">
      <c r="A18" s="1" t="str">
        <f>VLOOKUP(Table2[[#This Row],[Prod Line ]],Lists!A:E,5,0)</f>
        <v>b</v>
      </c>
      <c r="B18" s="1">
        <v>44113</v>
      </c>
      <c r="C18" s="1">
        <v>44111</v>
      </c>
      <c r="D18" s="1" t="s">
        <v>58</v>
      </c>
      <c r="E18" s="2" t="s">
        <v>405</v>
      </c>
      <c r="F18" s="1"/>
      <c r="G18" s="2">
        <v>9</v>
      </c>
      <c r="H18" s="1" t="s">
        <v>75</v>
      </c>
      <c r="I18" t="s">
        <v>1</v>
      </c>
      <c r="J18" t="s">
        <v>5</v>
      </c>
      <c r="K18" t="s">
        <v>38</v>
      </c>
      <c r="L18" t="s">
        <v>407</v>
      </c>
      <c r="M18" s="3" t="s">
        <v>413</v>
      </c>
      <c r="N18"/>
    </row>
    <row r="19" spans="1:14" hidden="1" x14ac:dyDescent="0.25">
      <c r="A19" s="1" t="str">
        <f>VLOOKUP(Table2[[#This Row],[Prod Line ]],Lists!A:E,5,0)</f>
        <v>d</v>
      </c>
      <c r="B19" s="1">
        <v>44113</v>
      </c>
      <c r="C19" s="1">
        <v>44111</v>
      </c>
      <c r="D19" s="1" t="s">
        <v>62</v>
      </c>
      <c r="E19" s="2" t="s">
        <v>404</v>
      </c>
      <c r="F19" s="1"/>
      <c r="G19" s="2">
        <v>5</v>
      </c>
      <c r="H19" s="1"/>
      <c r="I19" t="s">
        <v>1</v>
      </c>
      <c r="J19" t="s">
        <v>64</v>
      </c>
      <c r="K19" t="s">
        <v>379</v>
      </c>
      <c r="L19" t="s">
        <v>407</v>
      </c>
      <c r="M19" s="3" t="s">
        <v>420</v>
      </c>
      <c r="N19"/>
    </row>
    <row r="20" spans="1:14" hidden="1" x14ac:dyDescent="0.25">
      <c r="A20" s="1" t="str">
        <f>VLOOKUP(Table2[[#This Row],[Prod Line ]],Lists!A:E,5,0)</f>
        <v>d</v>
      </c>
      <c r="B20" s="1">
        <v>44113</v>
      </c>
      <c r="C20" s="1">
        <v>44111</v>
      </c>
      <c r="D20" s="1" t="s">
        <v>62</v>
      </c>
      <c r="E20" s="2" t="s">
        <v>404</v>
      </c>
      <c r="F20" s="1"/>
      <c r="G20" s="2">
        <v>27</v>
      </c>
      <c r="H20" s="1" t="s">
        <v>75</v>
      </c>
      <c r="I20" t="s">
        <v>1</v>
      </c>
      <c r="J20" t="s">
        <v>2</v>
      </c>
      <c r="K20" t="s">
        <v>19</v>
      </c>
      <c r="L20" t="s">
        <v>407</v>
      </c>
      <c r="M20" s="3" t="s">
        <v>421</v>
      </c>
      <c r="N20"/>
    </row>
    <row r="21" spans="1:14" hidden="1" x14ac:dyDescent="0.25">
      <c r="A21" s="1" t="str">
        <f>VLOOKUP(Table2[[#This Row],[Prod Line ]],Lists!A:E,5,0)</f>
        <v>d</v>
      </c>
      <c r="B21" s="1">
        <v>44113</v>
      </c>
      <c r="C21" s="1">
        <v>44111</v>
      </c>
      <c r="D21" s="1" t="s">
        <v>62</v>
      </c>
      <c r="E21" s="2" t="s">
        <v>404</v>
      </c>
      <c r="F21" s="1"/>
      <c r="G21" s="2">
        <v>60</v>
      </c>
      <c r="H21" s="1" t="s">
        <v>75</v>
      </c>
      <c r="I21" t="s">
        <v>1</v>
      </c>
      <c r="J21" t="s">
        <v>5</v>
      </c>
      <c r="K21" t="s">
        <v>397</v>
      </c>
      <c r="L21" t="s">
        <v>407</v>
      </c>
      <c r="M21" s="3" t="s">
        <v>422</v>
      </c>
      <c r="N21"/>
    </row>
    <row r="22" spans="1:14" hidden="1" x14ac:dyDescent="0.25">
      <c r="A22" s="1" t="str">
        <f>VLOOKUP(Table2[[#This Row],[Prod Line ]],Lists!A:E,5,0)</f>
        <v>b</v>
      </c>
      <c r="B22" s="1">
        <v>44113</v>
      </c>
      <c r="C22" s="1">
        <v>44111</v>
      </c>
      <c r="D22" s="1" t="s">
        <v>58</v>
      </c>
      <c r="E22" s="2" t="s">
        <v>404</v>
      </c>
      <c r="F22" s="1"/>
      <c r="G22" s="2">
        <v>9</v>
      </c>
      <c r="H22" s="1"/>
      <c r="I22" t="s">
        <v>0</v>
      </c>
      <c r="J22" t="s">
        <v>2</v>
      </c>
      <c r="K22" t="s">
        <v>14</v>
      </c>
      <c r="L22" t="s">
        <v>70</v>
      </c>
      <c r="M22" s="3"/>
    </row>
    <row r="23" spans="1:14" hidden="1" x14ac:dyDescent="0.25">
      <c r="A23" s="1" t="str">
        <f>VLOOKUP(Table2[[#This Row],[Prod Line ]],Lists!A:E,5,0)</f>
        <v>b</v>
      </c>
      <c r="B23" s="1">
        <v>44113</v>
      </c>
      <c r="C23" s="1">
        <v>44111</v>
      </c>
      <c r="D23" s="1" t="s">
        <v>58</v>
      </c>
      <c r="E23" s="2" t="s">
        <v>404</v>
      </c>
      <c r="F23" s="1"/>
      <c r="G23" s="2">
        <v>17</v>
      </c>
      <c r="H23" s="1" t="s">
        <v>75</v>
      </c>
      <c r="I23" t="s">
        <v>0</v>
      </c>
      <c r="J23" t="s">
        <v>5</v>
      </c>
      <c r="K23" t="s">
        <v>38</v>
      </c>
      <c r="L23" t="s">
        <v>70</v>
      </c>
      <c r="M23" s="3" t="s">
        <v>412</v>
      </c>
    </row>
    <row r="24" spans="1:14" hidden="1" x14ac:dyDescent="0.25">
      <c r="A24" s="1" t="str">
        <f>VLOOKUP(Table2[[#This Row],[Prod Line ]],Lists!A:E,5,0)</f>
        <v>a</v>
      </c>
      <c r="B24" s="1">
        <v>44113</v>
      </c>
      <c r="C24" s="1">
        <v>44111</v>
      </c>
      <c r="D24" s="1" t="s">
        <v>56</v>
      </c>
      <c r="E24" s="2" t="s">
        <v>405</v>
      </c>
      <c r="F24" s="1"/>
      <c r="G24" s="2">
        <v>11</v>
      </c>
      <c r="H24" s="1"/>
      <c r="I24" t="s">
        <v>1</v>
      </c>
      <c r="J24" t="s">
        <v>64</v>
      </c>
      <c r="K24" t="s">
        <v>370</v>
      </c>
      <c r="L24" t="s">
        <v>407</v>
      </c>
      <c r="M24" s="3" t="s">
        <v>426</v>
      </c>
      <c r="N24"/>
    </row>
    <row r="25" spans="1:14" hidden="1" x14ac:dyDescent="0.25">
      <c r="A25" s="1" t="str">
        <f>VLOOKUP(Table2[[#This Row],[Prod Line ]],Lists!A:E,5,0)</f>
        <v>b</v>
      </c>
      <c r="B25" s="1">
        <v>44114</v>
      </c>
      <c r="C25" s="1">
        <v>44112</v>
      </c>
      <c r="D25" s="1" t="s">
        <v>58</v>
      </c>
      <c r="E25" s="2" t="s">
        <v>404</v>
      </c>
      <c r="F25" s="1"/>
      <c r="G25" s="2">
        <v>16</v>
      </c>
      <c r="H25" s="1" t="s">
        <v>75</v>
      </c>
      <c r="I25" t="s">
        <v>1</v>
      </c>
      <c r="J25" t="s">
        <v>2</v>
      </c>
      <c r="K25" t="s">
        <v>19</v>
      </c>
      <c r="L25" t="s">
        <v>407</v>
      </c>
      <c r="M25" s="3"/>
      <c r="N25"/>
    </row>
    <row r="26" spans="1:14" hidden="1" x14ac:dyDescent="0.25">
      <c r="A26" s="1" t="str">
        <f>VLOOKUP(Table2[[#This Row],[Prod Line ]],Lists!A:E,5,0)</f>
        <v>b</v>
      </c>
      <c r="B26" s="1">
        <v>44114</v>
      </c>
      <c r="C26" s="1">
        <v>44112</v>
      </c>
      <c r="D26" s="1" t="s">
        <v>58</v>
      </c>
      <c r="E26" s="2" t="s">
        <v>404</v>
      </c>
      <c r="F26" s="1"/>
      <c r="G26" s="2">
        <v>17</v>
      </c>
      <c r="H26" s="1"/>
      <c r="I26" t="s">
        <v>1</v>
      </c>
      <c r="J26" t="s">
        <v>2</v>
      </c>
      <c r="K26" t="s">
        <v>19</v>
      </c>
      <c r="L26" t="s">
        <v>349</v>
      </c>
      <c r="M26" s="3"/>
      <c r="N26"/>
    </row>
    <row r="27" spans="1:14" hidden="1" x14ac:dyDescent="0.25">
      <c r="A27" s="1" t="str">
        <f>VLOOKUP(Table2[[#This Row],[Prod Line ]],Lists!A:E,5,0)</f>
        <v>b</v>
      </c>
      <c r="B27" s="1">
        <v>44114</v>
      </c>
      <c r="C27" s="1">
        <v>44112</v>
      </c>
      <c r="D27" s="1" t="s">
        <v>58</v>
      </c>
      <c r="E27" s="2" t="s">
        <v>405</v>
      </c>
      <c r="F27" s="1"/>
      <c r="G27" s="2">
        <v>5</v>
      </c>
      <c r="H27" s="1"/>
      <c r="I27" t="s">
        <v>1</v>
      </c>
      <c r="J27" t="s">
        <v>2</v>
      </c>
      <c r="K27" t="s">
        <v>19</v>
      </c>
      <c r="L27" t="s">
        <v>349</v>
      </c>
      <c r="M27" s="3"/>
      <c r="N27"/>
    </row>
    <row r="28" spans="1:14" hidden="1" x14ac:dyDescent="0.25">
      <c r="A28" s="1" t="str">
        <f>VLOOKUP(Table2[[#This Row],[Prod Line ]],Lists!A:E,5,0)</f>
        <v>c</v>
      </c>
      <c r="B28" s="1">
        <v>44114</v>
      </c>
      <c r="C28" s="1">
        <v>44112</v>
      </c>
      <c r="D28" s="1" t="s">
        <v>60</v>
      </c>
      <c r="E28" s="2" t="s">
        <v>405</v>
      </c>
      <c r="F28" s="1"/>
      <c r="G28" s="2">
        <v>3</v>
      </c>
      <c r="H28" s="1"/>
      <c r="I28" t="s">
        <v>1</v>
      </c>
      <c r="J28" t="s">
        <v>64</v>
      </c>
      <c r="K28" t="s">
        <v>381</v>
      </c>
      <c r="L28" t="s">
        <v>407</v>
      </c>
      <c r="M28" s="3" t="s">
        <v>416</v>
      </c>
      <c r="N28"/>
    </row>
    <row r="29" spans="1:14" hidden="1" x14ac:dyDescent="0.25">
      <c r="A29" s="1" t="str">
        <f>VLOOKUP(Table2[[#This Row],[Prod Line ]],Lists!A:E,5,0)</f>
        <v>c</v>
      </c>
      <c r="B29" s="1">
        <v>44114</v>
      </c>
      <c r="C29" s="1">
        <v>44112</v>
      </c>
      <c r="D29" s="1" t="s">
        <v>60</v>
      </c>
      <c r="E29" s="2" t="s">
        <v>405</v>
      </c>
      <c r="F29" s="1"/>
      <c r="G29" s="2">
        <v>28</v>
      </c>
      <c r="H29" s="1"/>
      <c r="I29" t="s">
        <v>1</v>
      </c>
      <c r="J29" t="s">
        <v>2</v>
      </c>
      <c r="K29" t="s">
        <v>378</v>
      </c>
      <c r="L29" t="s">
        <v>407</v>
      </c>
      <c r="M29" s="3" t="s">
        <v>417</v>
      </c>
      <c r="N29"/>
    </row>
    <row r="30" spans="1:14" hidden="1" x14ac:dyDescent="0.25">
      <c r="A30" s="1" t="str">
        <f>VLOOKUP(Table2[[#This Row],[Prod Line ]],Lists!A:E,5,0)</f>
        <v>d</v>
      </c>
      <c r="B30" s="1">
        <v>44114</v>
      </c>
      <c r="C30" s="1">
        <v>44112</v>
      </c>
      <c r="D30" s="1" t="s">
        <v>62</v>
      </c>
      <c r="E30" s="2" t="s">
        <v>404</v>
      </c>
      <c r="F30" s="1"/>
      <c r="G30" s="2">
        <v>43</v>
      </c>
      <c r="H30" s="1" t="s">
        <v>75</v>
      </c>
      <c r="I30" t="s">
        <v>1</v>
      </c>
      <c r="J30" t="s">
        <v>5</v>
      </c>
      <c r="K30" t="s">
        <v>397</v>
      </c>
      <c r="L30" t="s">
        <v>407</v>
      </c>
      <c r="M30" s="3" t="s">
        <v>423</v>
      </c>
      <c r="N30"/>
    </row>
    <row r="31" spans="1:14" hidden="1" x14ac:dyDescent="0.25">
      <c r="A31" s="1" t="str">
        <f>VLOOKUP(Table2[[#This Row],[Prod Line ]],Lists!A:E,5,0)</f>
        <v>d</v>
      </c>
      <c r="B31" s="1">
        <v>44114</v>
      </c>
      <c r="C31" s="1">
        <v>44112</v>
      </c>
      <c r="D31" s="1" t="s">
        <v>62</v>
      </c>
      <c r="E31" s="2" t="s">
        <v>404</v>
      </c>
      <c r="F31" s="1"/>
      <c r="G31" s="2">
        <v>18</v>
      </c>
      <c r="H31" s="1"/>
      <c r="I31" t="s">
        <v>1</v>
      </c>
      <c r="J31" t="s">
        <v>64</v>
      </c>
      <c r="K31" t="s">
        <v>379</v>
      </c>
      <c r="L31" t="s">
        <v>407</v>
      </c>
      <c r="M31" s="3" t="s">
        <v>424</v>
      </c>
      <c r="N31"/>
    </row>
    <row r="32" spans="1:14" hidden="1" x14ac:dyDescent="0.25">
      <c r="A32" s="1" t="str">
        <f>VLOOKUP(Table2[[#This Row],[Prod Line ]],Lists!A:E,5,0)</f>
        <v>b</v>
      </c>
      <c r="B32" s="1">
        <v>44114</v>
      </c>
      <c r="C32" s="1">
        <v>44143</v>
      </c>
      <c r="D32" s="1" t="s">
        <v>58</v>
      </c>
      <c r="E32" s="2" t="s">
        <v>405</v>
      </c>
      <c r="F32" s="1"/>
      <c r="G32" s="2">
        <v>15</v>
      </c>
      <c r="H32" s="1" t="s">
        <v>75</v>
      </c>
      <c r="I32" t="s">
        <v>1</v>
      </c>
      <c r="J32" t="s">
        <v>5</v>
      </c>
      <c r="K32" t="s">
        <v>36</v>
      </c>
      <c r="L32" t="s">
        <v>407</v>
      </c>
      <c r="M32" s="3" t="s">
        <v>484</v>
      </c>
      <c r="N32"/>
    </row>
    <row r="33" spans="1:14" hidden="1" x14ac:dyDescent="0.25">
      <c r="A33" s="1" t="str">
        <f>VLOOKUP(Table2[[#This Row],[Prod Line ]],Lists!A:E,5,0)</f>
        <v>b</v>
      </c>
      <c r="B33" s="1">
        <v>44116</v>
      </c>
      <c r="C33" s="1">
        <v>44114</v>
      </c>
      <c r="D33" s="1" t="s">
        <v>58</v>
      </c>
      <c r="E33" s="2" t="s">
        <v>406</v>
      </c>
      <c r="F33" s="1"/>
      <c r="G33" s="2">
        <v>8</v>
      </c>
      <c r="H33" s="1"/>
      <c r="I33" t="s">
        <v>1</v>
      </c>
      <c r="J33" t="s">
        <v>2</v>
      </c>
      <c r="K33" t="s">
        <v>19</v>
      </c>
      <c r="L33" t="s">
        <v>349</v>
      </c>
      <c r="M33" s="3"/>
      <c r="N33"/>
    </row>
    <row r="34" spans="1:14" hidden="1" x14ac:dyDescent="0.25">
      <c r="A34" s="1" t="str">
        <f>VLOOKUP(Table2[[#This Row],[Prod Line ]],Lists!A:E,5,0)</f>
        <v>b</v>
      </c>
      <c r="B34" s="1">
        <v>44116</v>
      </c>
      <c r="C34" s="1">
        <v>44114</v>
      </c>
      <c r="D34" s="1" t="s">
        <v>58</v>
      </c>
      <c r="E34" s="2" t="s">
        <v>406</v>
      </c>
      <c r="F34" s="1"/>
      <c r="G34" s="2">
        <v>8</v>
      </c>
      <c r="H34" s="1"/>
      <c r="I34" t="s">
        <v>1</v>
      </c>
      <c r="J34" t="s">
        <v>2</v>
      </c>
      <c r="K34" t="s">
        <v>19</v>
      </c>
      <c r="L34" t="s">
        <v>344</v>
      </c>
      <c r="M34" s="3"/>
      <c r="N34"/>
    </row>
    <row r="35" spans="1:14" hidden="1" x14ac:dyDescent="0.25">
      <c r="A35" s="1" t="str">
        <f>VLOOKUP(Table2[[#This Row],[Prod Line ]],Lists!A:E,5,0)</f>
        <v>b</v>
      </c>
      <c r="B35" s="1">
        <v>44116</v>
      </c>
      <c r="C35" s="1">
        <v>44114</v>
      </c>
      <c r="D35" s="1" t="s">
        <v>58</v>
      </c>
      <c r="E35" s="2" t="s">
        <v>406</v>
      </c>
      <c r="F35" s="1"/>
      <c r="G35" s="2">
        <v>15</v>
      </c>
      <c r="H35" s="1"/>
      <c r="I35" t="s">
        <v>1</v>
      </c>
      <c r="J35" t="s">
        <v>65</v>
      </c>
      <c r="K35" t="s">
        <v>27</v>
      </c>
      <c r="L35" t="s">
        <v>350</v>
      </c>
      <c r="M35" s="3" t="s">
        <v>427</v>
      </c>
      <c r="N35"/>
    </row>
    <row r="36" spans="1:14" hidden="1" x14ac:dyDescent="0.25">
      <c r="A36" s="1" t="str">
        <f>VLOOKUP(Table2[[#This Row],[Prod Line ]],Lists!A:E,5,0)</f>
        <v>a</v>
      </c>
      <c r="B36" s="1">
        <v>44116</v>
      </c>
      <c r="C36" s="1">
        <v>44114</v>
      </c>
      <c r="D36" s="1" t="s">
        <v>56</v>
      </c>
      <c r="E36" s="2" t="s">
        <v>404</v>
      </c>
      <c r="F36" s="1"/>
      <c r="G36" s="2">
        <v>10</v>
      </c>
      <c r="H36" s="1"/>
      <c r="I36" t="s">
        <v>1</v>
      </c>
      <c r="J36" t="s">
        <v>26</v>
      </c>
      <c r="K36" t="s">
        <v>26</v>
      </c>
      <c r="L36" t="s">
        <v>344</v>
      </c>
      <c r="M36" s="3" t="s">
        <v>430</v>
      </c>
      <c r="N36"/>
    </row>
    <row r="37" spans="1:14" hidden="1" x14ac:dyDescent="0.25">
      <c r="A37" s="1" t="str">
        <f>VLOOKUP(Table2[[#This Row],[Prod Line ]],Lists!A:E,5,0)</f>
        <v>a</v>
      </c>
      <c r="B37" s="1">
        <v>44116</v>
      </c>
      <c r="C37" s="1">
        <v>44114</v>
      </c>
      <c r="D37" s="1" t="s">
        <v>56</v>
      </c>
      <c r="E37" s="2" t="s">
        <v>404</v>
      </c>
      <c r="F37" s="1"/>
      <c r="G37" s="2">
        <v>24</v>
      </c>
      <c r="H37" s="1"/>
      <c r="I37" t="s">
        <v>1</v>
      </c>
      <c r="J37" t="s">
        <v>64</v>
      </c>
      <c r="K37" t="s">
        <v>370</v>
      </c>
      <c r="L37" t="s">
        <v>407</v>
      </c>
      <c r="M37" s="3" t="s">
        <v>431</v>
      </c>
      <c r="N37"/>
    </row>
    <row r="38" spans="1:14" hidden="1" x14ac:dyDescent="0.25">
      <c r="A38" s="1" t="str">
        <f>VLOOKUP(Table2[[#This Row],[Prod Line ]],Lists!A:E,5,0)</f>
        <v>a</v>
      </c>
      <c r="B38" s="1">
        <v>44116</v>
      </c>
      <c r="C38" s="1">
        <v>44114</v>
      </c>
      <c r="D38" s="1" t="s">
        <v>56</v>
      </c>
      <c r="E38" s="2" t="s">
        <v>404</v>
      </c>
      <c r="F38" s="1"/>
      <c r="G38" s="2">
        <v>14</v>
      </c>
      <c r="H38" s="1"/>
      <c r="I38" t="s">
        <v>0</v>
      </c>
      <c r="J38" t="s">
        <v>64</v>
      </c>
      <c r="K38" t="s">
        <v>370</v>
      </c>
      <c r="L38" t="s">
        <v>70</v>
      </c>
      <c r="M38" s="3" t="s">
        <v>432</v>
      </c>
    </row>
    <row r="39" spans="1:14" hidden="1" x14ac:dyDescent="0.25">
      <c r="A39" s="1" t="str">
        <f>VLOOKUP(Table2[[#This Row],[Prod Line ]],Lists!A:E,5,0)</f>
        <v>d</v>
      </c>
      <c r="B39" s="1">
        <v>44116</v>
      </c>
      <c r="C39" s="1">
        <v>44114</v>
      </c>
      <c r="D39" s="1" t="s">
        <v>62</v>
      </c>
      <c r="E39" s="2" t="s">
        <v>406</v>
      </c>
      <c r="F39" s="1"/>
      <c r="G39" s="2">
        <v>36</v>
      </c>
      <c r="H39" s="1"/>
      <c r="I39" t="s">
        <v>1</v>
      </c>
      <c r="J39" t="s">
        <v>2</v>
      </c>
      <c r="K39" t="s">
        <v>19</v>
      </c>
      <c r="L39" t="s">
        <v>407</v>
      </c>
      <c r="M39" s="3" t="s">
        <v>437</v>
      </c>
      <c r="N39"/>
    </row>
    <row r="40" spans="1:14" hidden="1" x14ac:dyDescent="0.25">
      <c r="A40" s="1" t="str">
        <f>VLOOKUP(Table2[[#This Row],[Prod Line ]],Lists!A:E,5,0)</f>
        <v>d</v>
      </c>
      <c r="B40" s="1">
        <v>44116</v>
      </c>
      <c r="C40" s="1">
        <v>44114</v>
      </c>
      <c r="D40" s="1" t="s">
        <v>62</v>
      </c>
      <c r="E40" s="2" t="s">
        <v>406</v>
      </c>
      <c r="F40" s="1"/>
      <c r="G40" s="2">
        <v>5</v>
      </c>
      <c r="H40" s="1"/>
      <c r="I40" t="s">
        <v>1</v>
      </c>
      <c r="J40" t="s">
        <v>2</v>
      </c>
      <c r="K40" t="s">
        <v>19</v>
      </c>
      <c r="L40" t="s">
        <v>349</v>
      </c>
      <c r="M40" s="3"/>
      <c r="N40"/>
    </row>
    <row r="41" spans="1:14" hidden="1" x14ac:dyDescent="0.25">
      <c r="A41" s="1" t="str">
        <f>VLOOKUP(Table2[[#This Row],[Prod Line ]],Lists!A:E,5,0)</f>
        <v>d</v>
      </c>
      <c r="B41" s="1">
        <v>44116</v>
      </c>
      <c r="C41" s="1">
        <v>44114</v>
      </c>
      <c r="D41" s="1" t="s">
        <v>62</v>
      </c>
      <c r="E41" s="2" t="s">
        <v>404</v>
      </c>
      <c r="F41" s="1"/>
      <c r="G41" s="2">
        <v>15</v>
      </c>
      <c r="H41" s="1"/>
      <c r="I41" t="s">
        <v>1</v>
      </c>
      <c r="J41" t="s">
        <v>64</v>
      </c>
      <c r="K41" t="s">
        <v>379</v>
      </c>
      <c r="L41" t="s">
        <v>407</v>
      </c>
      <c r="M41" s="3" t="s">
        <v>438</v>
      </c>
      <c r="N41"/>
    </row>
    <row r="42" spans="1:14" hidden="1" x14ac:dyDescent="0.25">
      <c r="A42" s="1" t="str">
        <f>VLOOKUP(Table2[[#This Row],[Prod Line ]],Lists!A:E,5,0)</f>
        <v>b</v>
      </c>
      <c r="B42" s="1">
        <v>44117</v>
      </c>
      <c r="C42" s="1">
        <v>44115</v>
      </c>
      <c r="D42" s="1" t="s">
        <v>58</v>
      </c>
      <c r="E42" s="2" t="s">
        <v>404</v>
      </c>
      <c r="F42" s="1"/>
      <c r="G42" s="2">
        <v>2</v>
      </c>
      <c r="H42" s="1"/>
      <c r="I42" t="s">
        <v>1</v>
      </c>
      <c r="J42" t="s">
        <v>65</v>
      </c>
      <c r="K42" t="s">
        <v>27</v>
      </c>
      <c r="L42" t="s">
        <v>350</v>
      </c>
      <c r="M42" s="3"/>
      <c r="N42"/>
    </row>
    <row r="43" spans="1:14" hidden="1" x14ac:dyDescent="0.25">
      <c r="A43" s="1" t="str">
        <f>VLOOKUP(Table2[[#This Row],[Prod Line ]],Lists!A:E,5,0)</f>
        <v>b</v>
      </c>
      <c r="B43" s="1">
        <v>44117</v>
      </c>
      <c r="C43" s="1">
        <v>44116</v>
      </c>
      <c r="D43" s="1" t="s">
        <v>58</v>
      </c>
      <c r="E43" s="2" t="s">
        <v>406</v>
      </c>
      <c r="F43" s="1"/>
      <c r="G43" s="2">
        <v>6</v>
      </c>
      <c r="H43" s="1"/>
      <c r="I43" t="s">
        <v>1</v>
      </c>
      <c r="J43" t="s">
        <v>65</v>
      </c>
      <c r="K43" t="s">
        <v>27</v>
      </c>
      <c r="L43" t="s">
        <v>350</v>
      </c>
      <c r="M43" s="3" t="s">
        <v>428</v>
      </c>
      <c r="N43"/>
    </row>
    <row r="44" spans="1:14" hidden="1" x14ac:dyDescent="0.25">
      <c r="A44" s="1" t="str">
        <f>VLOOKUP(Table2[[#This Row],[Prod Line ]],Lists!A:E,5,0)</f>
        <v>b</v>
      </c>
      <c r="B44" s="1">
        <v>44117</v>
      </c>
      <c r="C44" s="1">
        <v>44116</v>
      </c>
      <c r="D44" s="1" t="s">
        <v>58</v>
      </c>
      <c r="E44" s="2" t="s">
        <v>406</v>
      </c>
      <c r="F44" s="1"/>
      <c r="G44" s="2">
        <v>15</v>
      </c>
      <c r="H44" s="1"/>
      <c r="I44" t="s">
        <v>1</v>
      </c>
      <c r="J44" t="s">
        <v>2</v>
      </c>
      <c r="K44" t="s">
        <v>19</v>
      </c>
      <c r="L44" t="s">
        <v>349</v>
      </c>
      <c r="M44" s="3" t="s">
        <v>429</v>
      </c>
      <c r="N44"/>
    </row>
    <row r="45" spans="1:14" hidden="1" x14ac:dyDescent="0.25">
      <c r="A45" s="1" t="str">
        <f>VLOOKUP(Table2[[#This Row],[Prod Line ]],Lists!A:E,5,0)</f>
        <v>a</v>
      </c>
      <c r="B45" s="1">
        <v>44117</v>
      </c>
      <c r="C45" s="1">
        <v>44115</v>
      </c>
      <c r="D45" s="1" t="s">
        <v>56</v>
      </c>
      <c r="E45" s="2" t="s">
        <v>404</v>
      </c>
      <c r="F45" s="1"/>
      <c r="G45" s="2">
        <v>5</v>
      </c>
      <c r="H45" s="1"/>
      <c r="I45" t="s">
        <v>0</v>
      </c>
      <c r="J45" t="s">
        <v>5</v>
      </c>
      <c r="K45" t="s">
        <v>376</v>
      </c>
      <c r="L45" t="s">
        <v>70</v>
      </c>
      <c r="M45" s="3" t="s">
        <v>433</v>
      </c>
    </row>
    <row r="46" spans="1:14" hidden="1" x14ac:dyDescent="0.25">
      <c r="A46" s="1" t="str">
        <f>VLOOKUP(Table2[[#This Row],[Prod Line ]],Lists!A:E,5,0)</f>
        <v>a</v>
      </c>
      <c r="B46" s="1">
        <v>44117</v>
      </c>
      <c r="C46" s="1">
        <v>44115</v>
      </c>
      <c r="D46" s="1" t="s">
        <v>56</v>
      </c>
      <c r="E46" s="2" t="s">
        <v>404</v>
      </c>
      <c r="F46" s="1"/>
      <c r="G46" s="2">
        <v>8</v>
      </c>
      <c r="H46" s="1"/>
      <c r="I46" t="s">
        <v>1</v>
      </c>
      <c r="J46" t="s">
        <v>2</v>
      </c>
      <c r="K46" t="s">
        <v>19</v>
      </c>
      <c r="L46" t="s">
        <v>349</v>
      </c>
      <c r="M46" s="3"/>
      <c r="N46"/>
    </row>
    <row r="47" spans="1:14" hidden="1" x14ac:dyDescent="0.25">
      <c r="A47" s="1" t="str">
        <f>VLOOKUP(Table2[[#This Row],[Prod Line ]],Lists!A:E,5,0)</f>
        <v>a</v>
      </c>
      <c r="B47" s="1">
        <v>44117</v>
      </c>
      <c r="C47" s="1">
        <v>44115</v>
      </c>
      <c r="D47" s="1" t="s">
        <v>56</v>
      </c>
      <c r="E47" s="2" t="s">
        <v>404</v>
      </c>
      <c r="F47" s="1"/>
      <c r="G47" s="2">
        <v>26</v>
      </c>
      <c r="H47" s="1"/>
      <c r="I47" t="s">
        <v>1</v>
      </c>
      <c r="J47" t="s">
        <v>64</v>
      </c>
      <c r="K47" t="s">
        <v>370</v>
      </c>
      <c r="L47" t="s">
        <v>407</v>
      </c>
      <c r="M47" s="3" t="s">
        <v>434</v>
      </c>
      <c r="N47"/>
    </row>
    <row r="48" spans="1:14" hidden="1" x14ac:dyDescent="0.25">
      <c r="A48" s="1" t="str">
        <f>VLOOKUP(Table2[[#This Row],[Prod Line ]],Lists!A:E,5,0)</f>
        <v>a</v>
      </c>
      <c r="B48" s="1">
        <v>44117</v>
      </c>
      <c r="C48" s="1">
        <v>44115</v>
      </c>
      <c r="D48" s="1" t="s">
        <v>56</v>
      </c>
      <c r="E48" s="2" t="s">
        <v>404</v>
      </c>
      <c r="F48" s="1"/>
      <c r="G48" s="2">
        <v>10</v>
      </c>
      <c r="H48" s="1"/>
      <c r="I48" t="s">
        <v>1</v>
      </c>
      <c r="J48" t="s">
        <v>64</v>
      </c>
      <c r="K48" t="s">
        <v>370</v>
      </c>
      <c r="L48" t="s">
        <v>407</v>
      </c>
      <c r="M48" s="3" t="s">
        <v>431</v>
      </c>
      <c r="N48"/>
    </row>
    <row r="49" spans="1:14" hidden="1" x14ac:dyDescent="0.25">
      <c r="A49" s="1" t="str">
        <f>VLOOKUP(Table2[[#This Row],[Prod Line ]],Lists!A:E,5,0)</f>
        <v>a</v>
      </c>
      <c r="B49" s="1">
        <v>44117</v>
      </c>
      <c r="C49" s="1">
        <v>44115</v>
      </c>
      <c r="D49" s="1" t="s">
        <v>56</v>
      </c>
      <c r="E49" s="2" t="s">
        <v>404</v>
      </c>
      <c r="F49" s="1"/>
      <c r="G49" s="2">
        <v>13</v>
      </c>
      <c r="H49" s="1"/>
      <c r="I49" t="s">
        <v>0</v>
      </c>
      <c r="J49" t="s">
        <v>5</v>
      </c>
      <c r="K49" t="s">
        <v>376</v>
      </c>
      <c r="L49" t="s">
        <v>70</v>
      </c>
      <c r="M49" s="3" t="s">
        <v>435</v>
      </c>
    </row>
    <row r="50" spans="1:14" hidden="1" x14ac:dyDescent="0.25">
      <c r="A50" s="1" t="str">
        <f>VLOOKUP(Table2[[#This Row],[Prod Line ]],Lists!A:E,5,0)</f>
        <v>a</v>
      </c>
      <c r="B50" s="1">
        <v>44117</v>
      </c>
      <c r="C50" s="1">
        <v>44115</v>
      </c>
      <c r="D50" s="1" t="s">
        <v>56</v>
      </c>
      <c r="E50" s="2" t="s">
        <v>405</v>
      </c>
      <c r="F50" s="1"/>
      <c r="G50" s="2">
        <v>18</v>
      </c>
      <c r="H50" s="1"/>
      <c r="I50" t="s">
        <v>1</v>
      </c>
      <c r="J50" t="s">
        <v>64</v>
      </c>
      <c r="K50" t="s">
        <v>370</v>
      </c>
      <c r="L50" t="s">
        <v>407</v>
      </c>
      <c r="M50" s="3" t="s">
        <v>436</v>
      </c>
      <c r="N50"/>
    </row>
    <row r="51" spans="1:14" hidden="1" x14ac:dyDescent="0.25">
      <c r="A51" s="1" t="str">
        <f>VLOOKUP(Table2[[#This Row],[Prod Line ]],Lists!A:E,5,0)</f>
        <v>c</v>
      </c>
      <c r="B51" s="1">
        <v>44117</v>
      </c>
      <c r="C51" s="1">
        <v>44115</v>
      </c>
      <c r="D51" s="1" t="s">
        <v>60</v>
      </c>
      <c r="E51" s="2" t="s">
        <v>404</v>
      </c>
      <c r="F51" s="1"/>
      <c r="G51" s="2">
        <v>26</v>
      </c>
      <c r="H51" s="1"/>
      <c r="I51" t="s">
        <v>0</v>
      </c>
      <c r="J51" t="s">
        <v>65</v>
      </c>
      <c r="K51" t="s">
        <v>382</v>
      </c>
      <c r="L51" t="s">
        <v>70</v>
      </c>
      <c r="M51" s="3"/>
    </row>
    <row r="52" spans="1:14" hidden="1" x14ac:dyDescent="0.25">
      <c r="A52" s="1" t="str">
        <f>VLOOKUP(Table2[[#This Row],[Prod Line ]],Lists!A:E,5,0)</f>
        <v>d</v>
      </c>
      <c r="B52" s="1">
        <v>44117</v>
      </c>
      <c r="C52" s="1">
        <v>44115</v>
      </c>
      <c r="D52" s="1" t="s">
        <v>62</v>
      </c>
      <c r="E52" s="2" t="s">
        <v>406</v>
      </c>
      <c r="F52" s="1"/>
      <c r="G52" s="2">
        <v>82</v>
      </c>
      <c r="H52" s="1"/>
      <c r="I52" t="s">
        <v>0</v>
      </c>
      <c r="J52" t="s">
        <v>65</v>
      </c>
      <c r="K52" t="s">
        <v>394</v>
      </c>
      <c r="L52" t="s">
        <v>70</v>
      </c>
      <c r="M52" s="3" t="s">
        <v>439</v>
      </c>
    </row>
    <row r="53" spans="1:14" hidden="1" x14ac:dyDescent="0.25">
      <c r="A53" s="1" t="str">
        <f>VLOOKUP(Table2[[#This Row],[Prod Line ]],Lists!A:E,5,0)</f>
        <v>d</v>
      </c>
      <c r="B53" s="1">
        <v>44117</v>
      </c>
      <c r="C53" s="1">
        <v>44115</v>
      </c>
      <c r="D53" s="1" t="s">
        <v>62</v>
      </c>
      <c r="E53" s="2" t="s">
        <v>404</v>
      </c>
      <c r="F53" s="1"/>
      <c r="G53" s="2">
        <v>11</v>
      </c>
      <c r="H53" s="1"/>
      <c r="I53" t="s">
        <v>1</v>
      </c>
      <c r="J53" t="s">
        <v>64</v>
      </c>
      <c r="K53" t="s">
        <v>379</v>
      </c>
      <c r="L53" t="s">
        <v>407</v>
      </c>
      <c r="M53" s="3" t="s">
        <v>440</v>
      </c>
      <c r="N53"/>
    </row>
    <row r="54" spans="1:14" hidden="1" x14ac:dyDescent="0.25">
      <c r="A54" s="1" t="str">
        <f>VLOOKUP(Table2[[#This Row],[Prod Line ]],Lists!A:E,5,0)</f>
        <v>d</v>
      </c>
      <c r="B54" s="1">
        <v>44119</v>
      </c>
      <c r="C54" s="1">
        <v>44117</v>
      </c>
      <c r="D54" s="1" t="s">
        <v>62</v>
      </c>
      <c r="E54" s="2" t="s">
        <v>404</v>
      </c>
      <c r="F54" s="1"/>
      <c r="G54" s="2">
        <v>6</v>
      </c>
      <c r="H54" s="1"/>
      <c r="I54" t="s">
        <v>1</v>
      </c>
      <c r="J54" t="s">
        <v>64</v>
      </c>
      <c r="K54" t="s">
        <v>379</v>
      </c>
      <c r="L54" t="s">
        <v>407</v>
      </c>
      <c r="M54" s="3" t="s">
        <v>443</v>
      </c>
      <c r="N54"/>
    </row>
    <row r="55" spans="1:14" hidden="1" x14ac:dyDescent="0.25">
      <c r="A55" s="1" t="str">
        <f>VLOOKUP(Table2[[#This Row],[Prod Line ]],Lists!A:E,5,0)</f>
        <v>b</v>
      </c>
      <c r="B55" s="1">
        <v>44119</v>
      </c>
      <c r="C55" s="1">
        <v>44117</v>
      </c>
      <c r="D55" s="1" t="s">
        <v>58</v>
      </c>
      <c r="E55" s="2" t="s">
        <v>404</v>
      </c>
      <c r="F55" s="1"/>
      <c r="G55" s="2">
        <v>12</v>
      </c>
      <c r="H55" s="1"/>
      <c r="I55" t="s">
        <v>1</v>
      </c>
      <c r="J55" t="s">
        <v>2</v>
      </c>
      <c r="K55" t="s">
        <v>19</v>
      </c>
      <c r="L55" t="s">
        <v>349</v>
      </c>
      <c r="M55" s="3" t="s">
        <v>429</v>
      </c>
      <c r="N55"/>
    </row>
    <row r="56" spans="1:14" hidden="1" x14ac:dyDescent="0.25">
      <c r="A56" s="1" t="str">
        <f>VLOOKUP(Table2[[#This Row],[Prod Line ]],Lists!A:E,5,0)</f>
        <v>d</v>
      </c>
      <c r="B56" s="1">
        <v>44120</v>
      </c>
      <c r="C56" s="1">
        <v>44118</v>
      </c>
      <c r="D56" s="1" t="s">
        <v>62</v>
      </c>
      <c r="E56" s="2" t="s">
        <v>404</v>
      </c>
      <c r="F56" s="1"/>
      <c r="G56" s="2">
        <v>10</v>
      </c>
      <c r="H56" s="1"/>
      <c r="I56" t="s">
        <v>1</v>
      </c>
      <c r="J56" t="s">
        <v>64</v>
      </c>
      <c r="K56" t="s">
        <v>379</v>
      </c>
      <c r="L56" t="s">
        <v>407</v>
      </c>
      <c r="M56" s="3" t="s">
        <v>443</v>
      </c>
      <c r="N56"/>
    </row>
    <row r="57" spans="1:14" hidden="1" x14ac:dyDescent="0.25">
      <c r="A57" s="1" t="str">
        <f>VLOOKUP(Table2[[#This Row],[Prod Line ]],Lists!A:E,5,0)</f>
        <v>b</v>
      </c>
      <c r="B57" s="1">
        <v>44120</v>
      </c>
      <c r="C57" s="1">
        <v>44118</v>
      </c>
      <c r="D57" s="1" t="s">
        <v>353</v>
      </c>
      <c r="E57" s="2" t="s">
        <v>404</v>
      </c>
      <c r="F57" s="1"/>
      <c r="G57" s="2">
        <v>20</v>
      </c>
      <c r="H57" s="1" t="s">
        <v>75</v>
      </c>
      <c r="I57" t="s">
        <v>1</v>
      </c>
      <c r="J57" t="s">
        <v>5</v>
      </c>
      <c r="K57" t="s">
        <v>38</v>
      </c>
      <c r="L57" t="s">
        <v>407</v>
      </c>
      <c r="M57" s="3" t="s">
        <v>444</v>
      </c>
      <c r="N57"/>
    </row>
    <row r="58" spans="1:14" hidden="1" x14ac:dyDescent="0.25">
      <c r="A58" s="1" t="str">
        <f>VLOOKUP(Table2[[#This Row],[Prod Line ]],Lists!A:E,5,0)</f>
        <v>d</v>
      </c>
      <c r="B58" s="1">
        <v>44121</v>
      </c>
      <c r="C58" s="1">
        <v>44119</v>
      </c>
      <c r="D58" s="1" t="s">
        <v>62</v>
      </c>
      <c r="E58" s="2" t="s">
        <v>405</v>
      </c>
      <c r="F58" s="1"/>
      <c r="G58" s="2">
        <v>5</v>
      </c>
      <c r="H58" s="1"/>
      <c r="I58" t="s">
        <v>1</v>
      </c>
      <c r="J58" t="s">
        <v>64</v>
      </c>
      <c r="K58" t="s">
        <v>379</v>
      </c>
      <c r="L58" t="s">
        <v>407</v>
      </c>
      <c r="M58" s="3" t="s">
        <v>434</v>
      </c>
      <c r="N58"/>
    </row>
    <row r="59" spans="1:14" hidden="1" x14ac:dyDescent="0.25">
      <c r="A59" s="1" t="str">
        <f>VLOOKUP(Table2[[#This Row],[Prod Line ]],Lists!A:E,5,0)</f>
        <v>c</v>
      </c>
      <c r="B59" s="1">
        <v>44121</v>
      </c>
      <c r="C59" s="1">
        <v>44119</v>
      </c>
      <c r="D59" s="1" t="s">
        <v>60</v>
      </c>
      <c r="E59" s="2" t="s">
        <v>404</v>
      </c>
      <c r="F59" s="1"/>
      <c r="G59" s="2">
        <v>10</v>
      </c>
      <c r="H59" s="1"/>
      <c r="I59" t="s">
        <v>1</v>
      </c>
      <c r="J59" t="s">
        <v>2</v>
      </c>
      <c r="K59" t="s">
        <v>378</v>
      </c>
      <c r="L59" t="s">
        <v>349</v>
      </c>
      <c r="M59" s="3"/>
      <c r="N59"/>
    </row>
    <row r="60" spans="1:14" hidden="1" x14ac:dyDescent="0.25">
      <c r="A60" s="1" t="str">
        <f>VLOOKUP(Table2[[#This Row],[Prod Line ]],Lists!A:E,5,0)</f>
        <v>c</v>
      </c>
      <c r="B60" s="1">
        <v>44121</v>
      </c>
      <c r="C60" s="1">
        <v>44119</v>
      </c>
      <c r="D60" s="1" t="s">
        <v>60</v>
      </c>
      <c r="E60" s="2" t="s">
        <v>405</v>
      </c>
      <c r="F60" s="1"/>
      <c r="G60" s="2">
        <v>10</v>
      </c>
      <c r="H60" s="1"/>
      <c r="I60" t="s">
        <v>1</v>
      </c>
      <c r="J60" t="s">
        <v>2</v>
      </c>
      <c r="K60" t="s">
        <v>378</v>
      </c>
      <c r="L60" t="s">
        <v>349</v>
      </c>
      <c r="M60" s="3"/>
      <c r="N60"/>
    </row>
    <row r="61" spans="1:14" hidden="1" x14ac:dyDescent="0.25">
      <c r="A61" s="1" t="str">
        <f>VLOOKUP(Table2[[#This Row],[Prod Line ]],Lists!A:E,5,0)</f>
        <v>b</v>
      </c>
      <c r="B61" s="1">
        <v>44121</v>
      </c>
      <c r="C61" s="1">
        <v>44119</v>
      </c>
      <c r="D61" s="1" t="s">
        <v>58</v>
      </c>
      <c r="E61" s="2" t="s">
        <v>406</v>
      </c>
      <c r="F61" s="1"/>
      <c r="G61" s="2">
        <v>11</v>
      </c>
      <c r="H61" s="1"/>
      <c r="I61" t="s">
        <v>1</v>
      </c>
      <c r="J61" t="s">
        <v>5</v>
      </c>
      <c r="K61" t="s">
        <v>37</v>
      </c>
      <c r="L61" t="s">
        <v>407</v>
      </c>
      <c r="M61" s="3" t="s">
        <v>445</v>
      </c>
      <c r="N61"/>
    </row>
    <row r="62" spans="1:14" hidden="1" x14ac:dyDescent="0.25">
      <c r="A62" s="1" t="str">
        <f>VLOOKUP(Table2[[#This Row],[Prod Line ]],Lists!A:E,5,0)</f>
        <v>b</v>
      </c>
      <c r="B62" s="1">
        <v>44121</v>
      </c>
      <c r="C62" s="1">
        <v>44119</v>
      </c>
      <c r="D62" s="1" t="s">
        <v>58</v>
      </c>
      <c r="E62" s="2" t="s">
        <v>404</v>
      </c>
      <c r="F62" s="1"/>
      <c r="G62" s="2">
        <v>6</v>
      </c>
      <c r="H62" s="1"/>
      <c r="I62" t="s">
        <v>1</v>
      </c>
      <c r="J62" t="s">
        <v>2</v>
      </c>
      <c r="K62" t="s">
        <v>19</v>
      </c>
      <c r="L62" t="s">
        <v>349</v>
      </c>
      <c r="M62" s="3" t="s">
        <v>446</v>
      </c>
      <c r="N62"/>
    </row>
    <row r="63" spans="1:14" hidden="1" x14ac:dyDescent="0.25">
      <c r="A63" s="1" t="str">
        <f>VLOOKUP(Table2[[#This Row],[Prod Line ]],Lists!A:E,5,0)</f>
        <v>b</v>
      </c>
      <c r="B63" s="1">
        <v>44121</v>
      </c>
      <c r="C63" s="1">
        <v>44119</v>
      </c>
      <c r="D63" s="1" t="s">
        <v>58</v>
      </c>
      <c r="E63" s="2" t="s">
        <v>404</v>
      </c>
      <c r="F63" s="1"/>
      <c r="G63" s="2">
        <v>7</v>
      </c>
      <c r="H63" s="1"/>
      <c r="I63" t="s">
        <v>1</v>
      </c>
      <c r="J63" t="s">
        <v>26</v>
      </c>
      <c r="K63" t="s">
        <v>25</v>
      </c>
      <c r="L63" t="s">
        <v>441</v>
      </c>
      <c r="M63" s="3" t="s">
        <v>447</v>
      </c>
      <c r="N63"/>
    </row>
    <row r="64" spans="1:14" hidden="1" x14ac:dyDescent="0.25">
      <c r="A64" s="1" t="str">
        <f>VLOOKUP(Table2[[#This Row],[Prod Line ]],Lists!A:E,5,0)</f>
        <v>d</v>
      </c>
      <c r="B64" s="1">
        <v>44123</v>
      </c>
      <c r="C64" s="1">
        <v>44121</v>
      </c>
      <c r="D64" s="1" t="s">
        <v>62</v>
      </c>
      <c r="E64" s="2" t="s">
        <v>405</v>
      </c>
      <c r="F64" s="1"/>
      <c r="G64" s="2">
        <v>10</v>
      </c>
      <c r="H64" s="1"/>
      <c r="I64" t="s">
        <v>1</v>
      </c>
      <c r="J64" t="s">
        <v>2</v>
      </c>
      <c r="K64" t="s">
        <v>19</v>
      </c>
      <c r="L64" t="s">
        <v>349</v>
      </c>
      <c r="M64" s="3"/>
      <c r="N64"/>
    </row>
    <row r="65" spans="1:14" hidden="1" x14ac:dyDescent="0.25">
      <c r="A65" s="1" t="str">
        <f>VLOOKUP(Table2[[#This Row],[Prod Line ]],Lists!A:E,5,0)</f>
        <v>b</v>
      </c>
      <c r="B65" s="1">
        <v>44123</v>
      </c>
      <c r="C65" s="1">
        <v>44121</v>
      </c>
      <c r="D65" s="1" t="s">
        <v>58</v>
      </c>
      <c r="E65" s="2" t="s">
        <v>406</v>
      </c>
      <c r="F65" s="1"/>
      <c r="G65" s="2">
        <v>6</v>
      </c>
      <c r="H65" s="1"/>
      <c r="I65" t="s">
        <v>0</v>
      </c>
      <c r="J65" t="s">
        <v>26</v>
      </c>
      <c r="K65" t="s">
        <v>25</v>
      </c>
      <c r="L65" t="s">
        <v>82</v>
      </c>
      <c r="M65" s="3" t="s">
        <v>449</v>
      </c>
    </row>
    <row r="66" spans="1:14" hidden="1" x14ac:dyDescent="0.25">
      <c r="A66" s="1" t="str">
        <f>VLOOKUP(Table2[[#This Row],[Prod Line ]],Lists!A:E,5,0)</f>
        <v>b</v>
      </c>
      <c r="B66" s="1">
        <v>44123</v>
      </c>
      <c r="C66" s="1">
        <v>44121</v>
      </c>
      <c r="D66" s="1" t="s">
        <v>58</v>
      </c>
      <c r="E66" s="2" t="s">
        <v>406</v>
      </c>
      <c r="F66" s="1"/>
      <c r="G66" s="2">
        <v>14</v>
      </c>
      <c r="H66" s="1"/>
      <c r="I66" t="s">
        <v>1</v>
      </c>
      <c r="J66" t="s">
        <v>2</v>
      </c>
      <c r="K66" t="s">
        <v>16</v>
      </c>
      <c r="L66" t="s">
        <v>407</v>
      </c>
      <c r="M66" s="3" t="s">
        <v>450</v>
      </c>
      <c r="N66"/>
    </row>
    <row r="67" spans="1:14" hidden="1" x14ac:dyDescent="0.25">
      <c r="A67" s="1" t="str">
        <f>VLOOKUP(Table2[[#This Row],[Prod Line ]],Lists!A:E,5,0)</f>
        <v>b</v>
      </c>
      <c r="B67" s="1">
        <v>44123</v>
      </c>
      <c r="C67" s="1">
        <v>44121</v>
      </c>
      <c r="D67" s="1" t="s">
        <v>58</v>
      </c>
      <c r="E67" s="2" t="s">
        <v>405</v>
      </c>
      <c r="F67" s="1"/>
      <c r="G67" s="2">
        <v>17</v>
      </c>
      <c r="H67" s="1"/>
      <c r="I67" t="s">
        <v>1</v>
      </c>
      <c r="J67" t="s">
        <v>26</v>
      </c>
      <c r="K67" t="s">
        <v>25</v>
      </c>
      <c r="L67" t="s">
        <v>441</v>
      </c>
      <c r="M67" s="3"/>
      <c r="N67"/>
    </row>
    <row r="68" spans="1:14" hidden="1" x14ac:dyDescent="0.25">
      <c r="A68" s="1" t="str">
        <f>VLOOKUP(Table2[[#This Row],[Prod Line ]],Lists!A:E,5,0)</f>
        <v>b</v>
      </c>
      <c r="B68" s="1">
        <v>44123</v>
      </c>
      <c r="C68" s="1">
        <v>44121</v>
      </c>
      <c r="D68" s="1" t="s">
        <v>58</v>
      </c>
      <c r="E68" s="2" t="s">
        <v>406</v>
      </c>
      <c r="F68" s="1"/>
      <c r="G68" s="2">
        <v>10</v>
      </c>
      <c r="H68" s="1"/>
      <c r="I68" t="s">
        <v>1</v>
      </c>
      <c r="J68" t="s">
        <v>26</v>
      </c>
      <c r="K68" t="s">
        <v>25</v>
      </c>
      <c r="L68" t="s">
        <v>441</v>
      </c>
      <c r="M68" s="3"/>
      <c r="N68"/>
    </row>
    <row r="69" spans="1:14" hidden="1" x14ac:dyDescent="0.25">
      <c r="A69" s="1" t="str">
        <f>VLOOKUP(Table2[[#This Row],[Prod Line ]],Lists!A:E,5,0)</f>
        <v>a</v>
      </c>
      <c r="B69" s="1">
        <v>44124</v>
      </c>
      <c r="C69" s="1">
        <v>44122</v>
      </c>
      <c r="D69" s="1" t="s">
        <v>56</v>
      </c>
      <c r="E69" s="2" t="s">
        <v>405</v>
      </c>
      <c r="F69" s="1"/>
      <c r="G69" s="2">
        <v>20</v>
      </c>
      <c r="H69" s="1"/>
      <c r="I69" t="s">
        <v>1</v>
      </c>
      <c r="J69" t="s">
        <v>2</v>
      </c>
      <c r="K69" t="s">
        <v>19</v>
      </c>
      <c r="L69" t="s">
        <v>407</v>
      </c>
      <c r="M69" s="3" t="s">
        <v>448</v>
      </c>
      <c r="N69"/>
    </row>
    <row r="70" spans="1:14" hidden="1" x14ac:dyDescent="0.25">
      <c r="A70" s="1" t="str">
        <f>VLOOKUP(Table2[[#This Row],[Prod Line ]],Lists!A:E,5,0)</f>
        <v>d</v>
      </c>
      <c r="B70" s="1">
        <v>44124</v>
      </c>
      <c r="C70" s="1">
        <v>44122</v>
      </c>
      <c r="D70" s="1" t="s">
        <v>62</v>
      </c>
      <c r="E70" s="2" t="s">
        <v>405</v>
      </c>
      <c r="F70" s="1"/>
      <c r="G70" s="2">
        <v>12</v>
      </c>
      <c r="H70" s="1"/>
      <c r="I70" t="s">
        <v>1</v>
      </c>
      <c r="J70" t="s">
        <v>2</v>
      </c>
      <c r="K70" t="s">
        <v>19</v>
      </c>
      <c r="L70" t="s">
        <v>349</v>
      </c>
      <c r="M70" s="3"/>
      <c r="N70"/>
    </row>
    <row r="71" spans="1:14" hidden="1" x14ac:dyDescent="0.25">
      <c r="A71" s="1" t="str">
        <f>VLOOKUP(Table2[[#This Row],[Prod Line ]],Lists!A:E,5,0)</f>
        <v>a</v>
      </c>
      <c r="B71" s="1">
        <v>44124</v>
      </c>
      <c r="C71" s="1">
        <v>44122</v>
      </c>
      <c r="D71" s="1" t="s">
        <v>56</v>
      </c>
      <c r="E71" s="2" t="s">
        <v>404</v>
      </c>
      <c r="F71" s="1"/>
      <c r="G71" s="2">
        <v>24</v>
      </c>
      <c r="H71" s="1"/>
      <c r="I71" t="s">
        <v>1</v>
      </c>
      <c r="J71" t="s">
        <v>5</v>
      </c>
      <c r="K71" t="s">
        <v>376</v>
      </c>
      <c r="L71" t="s">
        <v>407</v>
      </c>
      <c r="M71" s="3"/>
      <c r="N71"/>
    </row>
    <row r="72" spans="1:14" hidden="1" x14ac:dyDescent="0.25">
      <c r="A72" s="1" t="str">
        <f>VLOOKUP(Table2[[#This Row],[Prod Line ]],Lists!A:E,5,0)</f>
        <v>a</v>
      </c>
      <c r="B72" s="1">
        <v>44124</v>
      </c>
      <c r="C72" s="1">
        <v>44122</v>
      </c>
      <c r="D72" s="1" t="s">
        <v>56</v>
      </c>
      <c r="E72" s="2" t="s">
        <v>405</v>
      </c>
      <c r="F72" s="1"/>
      <c r="G72" s="2">
        <v>20</v>
      </c>
      <c r="H72" s="1"/>
      <c r="I72" t="s">
        <v>1</v>
      </c>
      <c r="J72" t="s">
        <v>2</v>
      </c>
      <c r="K72" t="s">
        <v>19</v>
      </c>
      <c r="L72" t="s">
        <v>407</v>
      </c>
      <c r="M72" s="3" t="s">
        <v>448</v>
      </c>
      <c r="N72"/>
    </row>
    <row r="73" spans="1:14" hidden="1" x14ac:dyDescent="0.25">
      <c r="A73" s="1" t="str">
        <f>VLOOKUP(Table2[[#This Row],[Prod Line ]],Lists!A:E,5,0)</f>
        <v>b</v>
      </c>
      <c r="B73" s="1">
        <v>44124</v>
      </c>
      <c r="C73" s="1">
        <v>44122</v>
      </c>
      <c r="D73" s="1" t="s">
        <v>58</v>
      </c>
      <c r="E73" s="2" t="s">
        <v>406</v>
      </c>
      <c r="F73" s="1"/>
      <c r="G73" s="2">
        <v>4</v>
      </c>
      <c r="H73" s="1"/>
      <c r="I73" t="s">
        <v>1</v>
      </c>
      <c r="J73" t="s">
        <v>64</v>
      </c>
      <c r="K73" t="s">
        <v>22</v>
      </c>
      <c r="L73" t="s">
        <v>344</v>
      </c>
      <c r="M73" s="3"/>
      <c r="N73"/>
    </row>
    <row r="74" spans="1:14" hidden="1" x14ac:dyDescent="0.25">
      <c r="A74" s="1" t="str">
        <f>VLOOKUP(Table2[[#This Row],[Prod Line ]],Lists!A:E,5,0)</f>
        <v>b</v>
      </c>
      <c r="B74" s="1">
        <v>44124</v>
      </c>
      <c r="C74" s="1">
        <v>44122</v>
      </c>
      <c r="D74" s="1" t="s">
        <v>58</v>
      </c>
      <c r="E74" s="2" t="s">
        <v>405</v>
      </c>
      <c r="F74" s="1"/>
      <c r="G74" s="2">
        <v>33</v>
      </c>
      <c r="H74" s="1"/>
      <c r="I74" t="s">
        <v>1</v>
      </c>
      <c r="J74" t="s">
        <v>65</v>
      </c>
      <c r="K74" t="s">
        <v>3</v>
      </c>
      <c r="L74" t="s">
        <v>407</v>
      </c>
      <c r="M74" s="3" t="s">
        <v>451</v>
      </c>
      <c r="N74"/>
    </row>
    <row r="75" spans="1:14" hidden="1" x14ac:dyDescent="0.25">
      <c r="A75" s="1" t="str">
        <f>VLOOKUP(Table2[[#This Row],[Prod Line ]],Lists!A:E,5,0)</f>
        <v>b</v>
      </c>
      <c r="B75" s="1">
        <v>44124</v>
      </c>
      <c r="C75" s="1">
        <v>44122</v>
      </c>
      <c r="D75" s="1" t="s">
        <v>58</v>
      </c>
      <c r="E75" s="2" t="s">
        <v>405</v>
      </c>
      <c r="F75" s="1"/>
      <c r="G75" s="2">
        <v>23</v>
      </c>
      <c r="H75" s="1"/>
      <c r="I75" t="s">
        <v>1</v>
      </c>
      <c r="J75" t="s">
        <v>2</v>
      </c>
      <c r="K75" t="s">
        <v>19</v>
      </c>
      <c r="L75" t="s">
        <v>349</v>
      </c>
      <c r="M75" s="3" t="s">
        <v>452</v>
      </c>
      <c r="N75"/>
    </row>
    <row r="76" spans="1:14" hidden="1" x14ac:dyDescent="0.25">
      <c r="A76" s="1" t="str">
        <f>VLOOKUP(Table2[[#This Row],[Prod Line ]],Lists!A:E,5,0)</f>
        <v>b</v>
      </c>
      <c r="B76" s="1">
        <v>44124</v>
      </c>
      <c r="C76" s="1">
        <v>44122</v>
      </c>
      <c r="D76" s="1" t="s">
        <v>58</v>
      </c>
      <c r="E76" s="2" t="s">
        <v>404</v>
      </c>
      <c r="F76" s="1"/>
      <c r="G76" s="2">
        <v>3</v>
      </c>
      <c r="H76" s="1"/>
      <c r="I76" t="s">
        <v>1</v>
      </c>
      <c r="J76" t="s">
        <v>2</v>
      </c>
      <c r="K76" t="s">
        <v>19</v>
      </c>
      <c r="L76" t="s">
        <v>349</v>
      </c>
      <c r="M76" s="3"/>
      <c r="N76"/>
    </row>
    <row r="77" spans="1:14" hidden="1" x14ac:dyDescent="0.25">
      <c r="A77" s="1" t="str">
        <f>VLOOKUP(Table2[[#This Row],[Prod Line ]],Lists!A:E,5,0)</f>
        <v>d</v>
      </c>
      <c r="B77" s="1">
        <v>44126</v>
      </c>
      <c r="C77" s="1">
        <v>44124</v>
      </c>
      <c r="D77" s="1" t="s">
        <v>62</v>
      </c>
      <c r="E77" s="2" t="s">
        <v>405</v>
      </c>
      <c r="F77" s="1"/>
      <c r="G77" s="2">
        <v>30</v>
      </c>
      <c r="H77" s="1"/>
      <c r="I77" t="s">
        <v>0</v>
      </c>
      <c r="J77" t="s">
        <v>65</v>
      </c>
      <c r="K77" t="s">
        <v>394</v>
      </c>
      <c r="L77" t="s">
        <v>70</v>
      </c>
      <c r="M77" s="3" t="s">
        <v>455</v>
      </c>
    </row>
    <row r="78" spans="1:14" hidden="1" x14ac:dyDescent="0.25">
      <c r="A78" s="1" t="str">
        <f>VLOOKUP(Table2[[#This Row],[Prod Line ]],Lists!A:E,5,0)</f>
        <v>d</v>
      </c>
      <c r="B78" s="1">
        <v>44126</v>
      </c>
      <c r="C78" s="1">
        <v>44124</v>
      </c>
      <c r="D78" s="1" t="s">
        <v>62</v>
      </c>
      <c r="E78" s="2" t="s">
        <v>405</v>
      </c>
      <c r="F78" s="1"/>
      <c r="G78" s="2">
        <v>19</v>
      </c>
      <c r="H78" s="1"/>
      <c r="I78" t="s">
        <v>0</v>
      </c>
      <c r="J78" t="s">
        <v>26</v>
      </c>
      <c r="K78" t="s">
        <v>393</v>
      </c>
      <c r="L78" t="s">
        <v>70</v>
      </c>
      <c r="M78" s="3" t="s">
        <v>456</v>
      </c>
    </row>
    <row r="79" spans="1:14" hidden="1" x14ac:dyDescent="0.25">
      <c r="A79" s="1" t="str">
        <f>VLOOKUP(Table2[[#This Row],[Prod Line ]],Lists!A:E,5,0)</f>
        <v>b</v>
      </c>
      <c r="B79" s="1">
        <v>44126</v>
      </c>
      <c r="C79" s="1">
        <v>44124</v>
      </c>
      <c r="D79" s="1" t="s">
        <v>58</v>
      </c>
      <c r="E79" s="2" t="s">
        <v>406</v>
      </c>
      <c r="F79" s="1"/>
      <c r="G79" s="2">
        <v>4</v>
      </c>
      <c r="H79" s="1"/>
      <c r="I79" t="s">
        <v>1</v>
      </c>
      <c r="J79" t="s">
        <v>65</v>
      </c>
      <c r="K79" t="s">
        <v>27</v>
      </c>
      <c r="L79" t="s">
        <v>441</v>
      </c>
      <c r="M79" s="3"/>
      <c r="N79"/>
    </row>
    <row r="80" spans="1:14" hidden="1" x14ac:dyDescent="0.25">
      <c r="A80" s="1" t="str">
        <f>VLOOKUP(Table2[[#This Row],[Prod Line ]],Lists!A:E,5,0)</f>
        <v>b</v>
      </c>
      <c r="B80" s="1">
        <v>44126</v>
      </c>
      <c r="C80" s="1">
        <v>44124</v>
      </c>
      <c r="D80" s="1" t="s">
        <v>58</v>
      </c>
      <c r="E80" s="2" t="s">
        <v>404</v>
      </c>
      <c r="F80" s="1"/>
      <c r="G80" s="2">
        <v>11</v>
      </c>
      <c r="H80" s="1"/>
      <c r="I80" t="s">
        <v>1</v>
      </c>
      <c r="J80" t="s">
        <v>2</v>
      </c>
      <c r="K80" t="s">
        <v>19</v>
      </c>
      <c r="L80" t="s">
        <v>349</v>
      </c>
      <c r="M80" s="3" t="s">
        <v>408</v>
      </c>
      <c r="N80"/>
    </row>
    <row r="81" spans="1:14" hidden="1" x14ac:dyDescent="0.25">
      <c r="A81" s="1" t="str">
        <f>VLOOKUP(Table2[[#This Row],[Prod Line ]],Lists!A:E,5,0)</f>
        <v>c</v>
      </c>
      <c r="B81" s="1">
        <v>44127</v>
      </c>
      <c r="C81" s="1">
        <v>44125</v>
      </c>
      <c r="D81" s="1" t="s">
        <v>60</v>
      </c>
      <c r="E81" s="2" t="s">
        <v>405</v>
      </c>
      <c r="F81" s="1"/>
      <c r="G81" s="2">
        <v>15</v>
      </c>
      <c r="H81" s="1"/>
      <c r="I81" t="s">
        <v>1</v>
      </c>
      <c r="J81" t="s">
        <v>64</v>
      </c>
      <c r="K81" t="s">
        <v>379</v>
      </c>
      <c r="L81" t="s">
        <v>345</v>
      </c>
      <c r="M81" s="3"/>
      <c r="N81"/>
    </row>
    <row r="82" spans="1:14" hidden="1" x14ac:dyDescent="0.25">
      <c r="A82" s="1" t="str">
        <f>VLOOKUP(Table2[[#This Row],[Prod Line ]],Lists!A:E,5,0)</f>
        <v>c</v>
      </c>
      <c r="B82" s="1">
        <v>44127</v>
      </c>
      <c r="C82" s="1">
        <v>44125</v>
      </c>
      <c r="D82" s="1" t="s">
        <v>60</v>
      </c>
      <c r="E82" s="2" t="s">
        <v>405</v>
      </c>
      <c r="F82" s="1"/>
      <c r="G82" s="2">
        <v>20</v>
      </c>
      <c r="H82" s="1"/>
      <c r="I82" t="s">
        <v>1</v>
      </c>
      <c r="J82" t="s">
        <v>65</v>
      </c>
      <c r="K82" t="s">
        <v>382</v>
      </c>
      <c r="L82" t="s">
        <v>344</v>
      </c>
      <c r="M82" s="3" t="s">
        <v>453</v>
      </c>
      <c r="N82"/>
    </row>
    <row r="83" spans="1:14" hidden="1" x14ac:dyDescent="0.25">
      <c r="A83" s="1" t="str">
        <f>VLOOKUP(Table2[[#This Row],[Prod Line ]],Lists!A:E,5,0)</f>
        <v>a</v>
      </c>
      <c r="B83" s="1">
        <v>44127</v>
      </c>
      <c r="C83" s="1">
        <v>44125</v>
      </c>
      <c r="D83" s="1" t="s">
        <v>56</v>
      </c>
      <c r="E83" s="2" t="s">
        <v>405</v>
      </c>
      <c r="F83" s="1"/>
      <c r="G83" s="2">
        <v>8</v>
      </c>
      <c r="H83" s="1"/>
      <c r="I83" t="s">
        <v>0</v>
      </c>
      <c r="J83" t="s">
        <v>65</v>
      </c>
      <c r="K83" t="s">
        <v>3</v>
      </c>
      <c r="L83" t="s">
        <v>70</v>
      </c>
      <c r="M83" s="3" t="s">
        <v>454</v>
      </c>
    </row>
    <row r="84" spans="1:14" hidden="1" x14ac:dyDescent="0.25">
      <c r="A84" s="1" t="str">
        <f>VLOOKUP(Table2[[#This Row],[Prod Line ]],Lists!A:E,5,0)</f>
        <v>d</v>
      </c>
      <c r="B84" s="1">
        <v>44127</v>
      </c>
      <c r="C84" s="1">
        <v>44125</v>
      </c>
      <c r="D84" s="1" t="s">
        <v>62</v>
      </c>
      <c r="E84" s="2" t="s">
        <v>404</v>
      </c>
      <c r="F84" s="1"/>
      <c r="G84" s="2">
        <v>10</v>
      </c>
      <c r="H84" s="1"/>
      <c r="I84" t="s">
        <v>0</v>
      </c>
      <c r="J84" t="s">
        <v>65</v>
      </c>
      <c r="K84" t="s">
        <v>394</v>
      </c>
      <c r="L84" t="s">
        <v>70</v>
      </c>
      <c r="M84" s="3" t="s">
        <v>457</v>
      </c>
    </row>
    <row r="85" spans="1:14" hidden="1" x14ac:dyDescent="0.25">
      <c r="A85" s="1" t="str">
        <f>VLOOKUP(Table2[[#This Row],[Prod Line ]],Lists!A:E,5,0)</f>
        <v>d</v>
      </c>
      <c r="B85" s="1">
        <v>44127</v>
      </c>
      <c r="C85" s="1">
        <v>44125</v>
      </c>
      <c r="D85" s="1" t="s">
        <v>62</v>
      </c>
      <c r="E85" s="2" t="s">
        <v>404</v>
      </c>
      <c r="F85" s="1"/>
      <c r="G85" s="2">
        <v>24</v>
      </c>
      <c r="H85" s="1"/>
      <c r="I85" t="s">
        <v>1</v>
      </c>
      <c r="J85" t="s">
        <v>5</v>
      </c>
      <c r="K85" t="s">
        <v>397</v>
      </c>
      <c r="L85" t="s">
        <v>407</v>
      </c>
      <c r="M85" s="3" t="s">
        <v>458</v>
      </c>
      <c r="N85"/>
    </row>
    <row r="86" spans="1:14" hidden="1" x14ac:dyDescent="0.25">
      <c r="A86" s="1" t="str">
        <f>VLOOKUP(Table2[[#This Row],[Prod Line ]],Lists!A:E,5,0)</f>
        <v>b</v>
      </c>
      <c r="B86" s="1">
        <v>44127</v>
      </c>
      <c r="C86" s="1">
        <v>44125</v>
      </c>
      <c r="D86" s="1" t="s">
        <v>58</v>
      </c>
      <c r="E86" s="2" t="s">
        <v>404</v>
      </c>
      <c r="F86" s="1"/>
      <c r="G86" s="2">
        <v>10</v>
      </c>
      <c r="H86" s="1"/>
      <c r="I86" t="s">
        <v>1</v>
      </c>
      <c r="J86" t="s">
        <v>2</v>
      </c>
      <c r="K86" t="s">
        <v>19</v>
      </c>
      <c r="L86" t="s">
        <v>349</v>
      </c>
      <c r="M86" s="3" t="s">
        <v>408</v>
      </c>
      <c r="N86"/>
    </row>
    <row r="87" spans="1:14" hidden="1" x14ac:dyDescent="0.25">
      <c r="A87" s="1" t="str">
        <f>VLOOKUP(Table2[[#This Row],[Prod Line ]],Lists!A:E,5,0)</f>
        <v>b</v>
      </c>
      <c r="B87" s="1">
        <v>44127</v>
      </c>
      <c r="C87" s="1">
        <v>44125</v>
      </c>
      <c r="D87" s="1" t="s">
        <v>58</v>
      </c>
      <c r="E87" s="2" t="s">
        <v>404</v>
      </c>
      <c r="F87" s="1"/>
      <c r="G87" s="2">
        <v>2</v>
      </c>
      <c r="H87" s="1"/>
      <c r="I87" t="s">
        <v>1</v>
      </c>
      <c r="J87" t="s">
        <v>64</v>
      </c>
      <c r="K87" t="s">
        <v>21</v>
      </c>
      <c r="L87" t="s">
        <v>407</v>
      </c>
      <c r="M87" s="3" t="s">
        <v>462</v>
      </c>
      <c r="N87"/>
    </row>
    <row r="88" spans="1:14" hidden="1" x14ac:dyDescent="0.25">
      <c r="A88" s="1" t="str">
        <f>VLOOKUP(Table2[[#This Row],[Prod Line ]],Lists!A:E,5,0)</f>
        <v>b</v>
      </c>
      <c r="B88" s="1">
        <v>44127</v>
      </c>
      <c r="C88" s="1">
        <v>44125</v>
      </c>
      <c r="D88" s="1" t="s">
        <v>58</v>
      </c>
      <c r="E88" s="2" t="s">
        <v>405</v>
      </c>
      <c r="F88" s="1"/>
      <c r="G88" s="2">
        <v>15</v>
      </c>
      <c r="H88" s="1" t="s">
        <v>75</v>
      </c>
      <c r="I88" t="s">
        <v>1</v>
      </c>
      <c r="J88" t="s">
        <v>65</v>
      </c>
      <c r="K88" t="s">
        <v>28</v>
      </c>
      <c r="L88" t="s">
        <v>407</v>
      </c>
      <c r="M88" s="3" t="s">
        <v>463</v>
      </c>
      <c r="N88"/>
    </row>
    <row r="89" spans="1:14" hidden="1" x14ac:dyDescent="0.25">
      <c r="A89" s="1" t="str">
        <f>VLOOKUP(Table2[[#This Row],[Prod Line ]],Lists!A:E,5,0)</f>
        <v>d</v>
      </c>
      <c r="B89" s="1">
        <v>44128</v>
      </c>
      <c r="C89" s="1">
        <v>44126</v>
      </c>
      <c r="D89" s="1" t="s">
        <v>62</v>
      </c>
      <c r="E89" s="2" t="s">
        <v>404</v>
      </c>
      <c r="F89" s="1"/>
      <c r="G89" s="2">
        <v>14</v>
      </c>
      <c r="H89" s="1"/>
      <c r="I89" t="s">
        <v>1</v>
      </c>
      <c r="J89" t="s">
        <v>64</v>
      </c>
      <c r="K89" t="s">
        <v>379</v>
      </c>
      <c r="L89" t="s">
        <v>407</v>
      </c>
      <c r="M89" s="3" t="s">
        <v>459</v>
      </c>
      <c r="N89"/>
    </row>
    <row r="90" spans="1:14" hidden="1" x14ac:dyDescent="0.25">
      <c r="A90" s="1" t="str">
        <f>VLOOKUP(Table2[[#This Row],[Prod Line ]],Lists!A:E,5,0)</f>
        <v>d</v>
      </c>
      <c r="B90" s="1">
        <v>44128</v>
      </c>
      <c r="C90" s="1">
        <v>44126</v>
      </c>
      <c r="D90" s="1" t="s">
        <v>62</v>
      </c>
      <c r="E90" s="2" t="s">
        <v>404</v>
      </c>
      <c r="F90" s="1"/>
      <c r="G90" s="2">
        <v>10</v>
      </c>
      <c r="H90" s="1"/>
      <c r="I90" t="s">
        <v>1</v>
      </c>
      <c r="J90" t="s">
        <v>2</v>
      </c>
      <c r="K90" t="s">
        <v>19</v>
      </c>
      <c r="L90" t="s">
        <v>349</v>
      </c>
      <c r="M90" s="3" t="s">
        <v>460</v>
      </c>
      <c r="N90"/>
    </row>
    <row r="91" spans="1:14" hidden="1" x14ac:dyDescent="0.25">
      <c r="A91" s="1" t="str">
        <f>VLOOKUP(Table2[[#This Row],[Prod Line ]],Lists!A:E,5,0)</f>
        <v>d</v>
      </c>
      <c r="B91" s="1">
        <v>44128</v>
      </c>
      <c r="C91" s="1">
        <v>44126</v>
      </c>
      <c r="D91" s="1" t="s">
        <v>62</v>
      </c>
      <c r="E91" s="2" t="s">
        <v>405</v>
      </c>
      <c r="F91" s="1"/>
      <c r="G91" s="2">
        <v>22</v>
      </c>
      <c r="H91" s="1"/>
      <c r="I91" t="s">
        <v>1</v>
      </c>
      <c r="J91" t="s">
        <v>2</v>
      </c>
      <c r="K91" t="s">
        <v>17</v>
      </c>
      <c r="L91" t="s">
        <v>407</v>
      </c>
      <c r="M91" s="3" t="s">
        <v>461</v>
      </c>
      <c r="N91"/>
    </row>
    <row r="92" spans="1:14" hidden="1" x14ac:dyDescent="0.25">
      <c r="A92" s="1" t="str">
        <f>VLOOKUP(Table2[[#This Row],[Prod Line ]],Lists!A:E,5,0)</f>
        <v>b</v>
      </c>
      <c r="B92" s="1">
        <v>44128</v>
      </c>
      <c r="C92" s="1">
        <v>44126</v>
      </c>
      <c r="D92" s="1" t="s">
        <v>58</v>
      </c>
      <c r="E92" s="2" t="s">
        <v>406</v>
      </c>
      <c r="F92" s="1"/>
      <c r="G92" s="2">
        <v>9</v>
      </c>
      <c r="H92" s="1" t="s">
        <v>75</v>
      </c>
      <c r="I92" t="s">
        <v>1</v>
      </c>
      <c r="J92" t="s">
        <v>5</v>
      </c>
      <c r="K92" t="s">
        <v>36</v>
      </c>
      <c r="L92" t="s">
        <v>407</v>
      </c>
      <c r="M92" s="3" t="s">
        <v>464</v>
      </c>
      <c r="N92"/>
    </row>
    <row r="93" spans="1:14" hidden="1" x14ac:dyDescent="0.25">
      <c r="A93" s="1" t="str">
        <f>VLOOKUP(Table2[[#This Row],[Prod Line ]],Lists!A:E,5,0)</f>
        <v>b</v>
      </c>
      <c r="B93" s="1">
        <v>44128</v>
      </c>
      <c r="C93" s="1">
        <v>44126</v>
      </c>
      <c r="D93" s="1" t="s">
        <v>58</v>
      </c>
      <c r="E93" s="2" t="s">
        <v>406</v>
      </c>
      <c r="F93" s="1"/>
      <c r="G93" s="2">
        <v>9</v>
      </c>
      <c r="H93" s="1"/>
      <c r="I93" t="s">
        <v>1</v>
      </c>
      <c r="J93" t="s">
        <v>64</v>
      </c>
      <c r="K93" t="s">
        <v>22</v>
      </c>
      <c r="L93" t="s">
        <v>407</v>
      </c>
      <c r="M93" s="3" t="s">
        <v>465</v>
      </c>
      <c r="N93"/>
    </row>
    <row r="94" spans="1:14" hidden="1" x14ac:dyDescent="0.25">
      <c r="A94" s="1" t="str">
        <f>VLOOKUP(Table2[[#This Row],[Prod Line ]],Lists!A:E,5,0)</f>
        <v>b</v>
      </c>
      <c r="B94" s="1">
        <v>44128</v>
      </c>
      <c r="C94" s="1">
        <v>44126</v>
      </c>
      <c r="D94" s="1" t="s">
        <v>58</v>
      </c>
      <c r="E94" s="2" t="s">
        <v>404</v>
      </c>
      <c r="F94" s="1"/>
      <c r="G94" s="2">
        <v>5</v>
      </c>
      <c r="H94" s="1"/>
      <c r="I94" t="s">
        <v>1</v>
      </c>
      <c r="J94" t="s">
        <v>64</v>
      </c>
      <c r="K94" t="s">
        <v>22</v>
      </c>
      <c r="L94" t="s">
        <v>407</v>
      </c>
      <c r="M94" s="3" t="s">
        <v>465</v>
      </c>
      <c r="N94"/>
    </row>
    <row r="95" spans="1:14" hidden="1" x14ac:dyDescent="0.25">
      <c r="A95" s="1" t="str">
        <f>VLOOKUP(Table2[[#This Row],[Prod Line ]],Lists!A:E,5,0)</f>
        <v>b</v>
      </c>
      <c r="B95" s="1">
        <v>44128</v>
      </c>
      <c r="C95" s="1">
        <v>44126</v>
      </c>
      <c r="D95" s="1" t="s">
        <v>58</v>
      </c>
      <c r="E95" s="2" t="s">
        <v>404</v>
      </c>
      <c r="F95" s="1"/>
      <c r="G95" s="2">
        <v>18</v>
      </c>
      <c r="H95" s="1"/>
      <c r="I95" t="s">
        <v>1</v>
      </c>
      <c r="J95" t="s">
        <v>2</v>
      </c>
      <c r="K95" t="s">
        <v>19</v>
      </c>
      <c r="L95" t="s">
        <v>349</v>
      </c>
      <c r="M95" s="3" t="s">
        <v>466</v>
      </c>
      <c r="N95"/>
    </row>
    <row r="96" spans="1:14" hidden="1" x14ac:dyDescent="0.25">
      <c r="A96" s="1" t="str">
        <f>VLOOKUP(Table2[[#This Row],[Prod Line ]],Lists!A:E,5,0)</f>
        <v>b</v>
      </c>
      <c r="B96" s="1">
        <v>44128</v>
      </c>
      <c r="C96" s="1">
        <v>44126</v>
      </c>
      <c r="D96" s="1" t="s">
        <v>58</v>
      </c>
      <c r="E96" s="2" t="s">
        <v>404</v>
      </c>
      <c r="F96" s="1"/>
      <c r="G96" s="2">
        <v>25</v>
      </c>
      <c r="H96" s="1"/>
      <c r="I96" t="s">
        <v>1</v>
      </c>
      <c r="J96" t="s">
        <v>65</v>
      </c>
      <c r="K96" t="s">
        <v>28</v>
      </c>
      <c r="L96" t="s">
        <v>407</v>
      </c>
      <c r="M96" s="3" t="s">
        <v>467</v>
      </c>
      <c r="N96"/>
    </row>
    <row r="97" spans="1:14" hidden="1" x14ac:dyDescent="0.25">
      <c r="A97" s="1" t="str">
        <f>VLOOKUP(Table2[[#This Row],[Prod Line ]],Lists!A:E,5,0)</f>
        <v>d</v>
      </c>
      <c r="B97" s="1">
        <v>44144</v>
      </c>
      <c r="C97" s="1">
        <v>44142</v>
      </c>
      <c r="D97" s="1" t="s">
        <v>62</v>
      </c>
      <c r="E97" s="2" t="s">
        <v>404</v>
      </c>
      <c r="F97" s="1"/>
      <c r="G97" s="2">
        <v>12</v>
      </c>
      <c r="H97" s="1"/>
      <c r="I97" t="s">
        <v>1</v>
      </c>
      <c r="J97" t="s">
        <v>5</v>
      </c>
      <c r="K97" t="s">
        <v>395</v>
      </c>
      <c r="L97" t="s">
        <v>407</v>
      </c>
      <c r="M97" s="3" t="s">
        <v>481</v>
      </c>
      <c r="N97"/>
    </row>
    <row r="98" spans="1:14" hidden="1" x14ac:dyDescent="0.25">
      <c r="A98" s="1" t="str">
        <f>VLOOKUP(Table2[[#This Row],[Prod Line ]],Lists!A:E,5,0)</f>
        <v>b</v>
      </c>
      <c r="B98" s="1">
        <v>44144</v>
      </c>
      <c r="C98" s="1">
        <v>44142</v>
      </c>
      <c r="D98" s="1" t="s">
        <v>58</v>
      </c>
      <c r="E98" s="2" t="s">
        <v>406</v>
      </c>
      <c r="F98" s="1"/>
      <c r="G98" s="2">
        <v>4</v>
      </c>
      <c r="H98" s="1"/>
      <c r="I98" t="s">
        <v>0</v>
      </c>
      <c r="J98" t="s">
        <v>65</v>
      </c>
      <c r="K98" t="s">
        <v>27</v>
      </c>
      <c r="L98" t="s">
        <v>70</v>
      </c>
      <c r="M98" s="3" t="s">
        <v>482</v>
      </c>
    </row>
    <row r="99" spans="1:14" hidden="1" x14ac:dyDescent="0.25">
      <c r="A99" s="1" t="str">
        <f>VLOOKUP(Table2[[#This Row],[Prod Line ]],Lists!A:E,5,0)</f>
        <v>b</v>
      </c>
      <c r="B99" s="1">
        <v>44144</v>
      </c>
      <c r="C99" s="1">
        <v>44142</v>
      </c>
      <c r="D99" s="1" t="s">
        <v>58</v>
      </c>
      <c r="E99" s="2" t="s">
        <v>404</v>
      </c>
      <c r="F99" s="1"/>
      <c r="G99" s="2">
        <v>6</v>
      </c>
      <c r="H99" s="1"/>
      <c r="I99" t="s">
        <v>1</v>
      </c>
      <c r="J99" t="s">
        <v>2</v>
      </c>
      <c r="K99" t="s">
        <v>19</v>
      </c>
      <c r="L99" t="s">
        <v>349</v>
      </c>
      <c r="M99" s="3"/>
      <c r="N99"/>
    </row>
    <row r="100" spans="1:14" hidden="1" x14ac:dyDescent="0.25">
      <c r="A100" s="1" t="str">
        <f>VLOOKUP(Table2[[#This Row],[Prod Line ]],Lists!A:E,5,0)</f>
        <v>b</v>
      </c>
      <c r="B100" s="1">
        <v>44144</v>
      </c>
      <c r="C100" s="1">
        <v>44142</v>
      </c>
      <c r="D100" s="1" t="s">
        <v>58</v>
      </c>
      <c r="E100" s="2" t="s">
        <v>405</v>
      </c>
      <c r="F100" s="1"/>
      <c r="G100" s="2">
        <v>5</v>
      </c>
      <c r="H100" s="1"/>
      <c r="I100" t="s">
        <v>1</v>
      </c>
      <c r="J100" t="s">
        <v>65</v>
      </c>
      <c r="K100" t="s">
        <v>27</v>
      </c>
      <c r="L100" t="s">
        <v>441</v>
      </c>
      <c r="M100" s="3"/>
      <c r="N100"/>
    </row>
    <row r="101" spans="1:14" hidden="1" x14ac:dyDescent="0.25">
      <c r="A101" s="1" t="str">
        <f>VLOOKUP(Table2[[#This Row],[Prod Line ]],Lists!A:E,5,0)</f>
        <v>b</v>
      </c>
      <c r="B101" s="1">
        <v>44144</v>
      </c>
      <c r="C101" s="1">
        <v>44142</v>
      </c>
      <c r="D101" s="1" t="s">
        <v>58</v>
      </c>
      <c r="E101" s="2" t="s">
        <v>405</v>
      </c>
      <c r="F101" s="1"/>
      <c r="G101" s="2">
        <v>20</v>
      </c>
      <c r="H101" s="1"/>
      <c r="I101" t="s">
        <v>0</v>
      </c>
      <c r="J101" t="s">
        <v>66</v>
      </c>
      <c r="K101" t="s">
        <v>4</v>
      </c>
      <c r="L101" t="s">
        <v>70</v>
      </c>
      <c r="M101" s="3" t="s">
        <v>483</v>
      </c>
    </row>
    <row r="102" spans="1:14" hidden="1" x14ac:dyDescent="0.25">
      <c r="A102" s="1" t="str">
        <f>VLOOKUP(Table2[[#This Row],[Prod Line ]],Lists!A:E,5,0)</f>
        <v>a</v>
      </c>
      <c r="B102" s="1">
        <v>44145</v>
      </c>
      <c r="C102" s="1">
        <v>44144</v>
      </c>
      <c r="D102" s="1" t="s">
        <v>56</v>
      </c>
      <c r="E102" s="2" t="s">
        <v>404</v>
      </c>
      <c r="F102" s="1"/>
      <c r="G102" s="2">
        <v>85</v>
      </c>
      <c r="H102" s="1"/>
      <c r="I102" t="s">
        <v>0</v>
      </c>
      <c r="J102" t="s">
        <v>2</v>
      </c>
      <c r="K102" t="s">
        <v>13</v>
      </c>
      <c r="L102" t="s">
        <v>70</v>
      </c>
      <c r="M102" s="3" t="s">
        <v>468</v>
      </c>
    </row>
    <row r="103" spans="1:14" hidden="1" x14ac:dyDescent="0.25">
      <c r="A103" s="1" t="str">
        <f>VLOOKUP(Table2[[#This Row],[Prod Line ]],Lists!A:E,5,0)</f>
        <v>a</v>
      </c>
      <c r="B103" s="1">
        <v>44145</v>
      </c>
      <c r="C103" s="1">
        <v>44144</v>
      </c>
      <c r="D103" s="1" t="s">
        <v>56</v>
      </c>
      <c r="E103" s="2" t="s">
        <v>404</v>
      </c>
      <c r="F103" s="1"/>
      <c r="G103" s="2">
        <v>100</v>
      </c>
      <c r="H103" s="1"/>
      <c r="I103" t="s">
        <v>0</v>
      </c>
      <c r="J103" t="s">
        <v>26</v>
      </c>
      <c r="K103" t="s">
        <v>26</v>
      </c>
      <c r="L103" t="s">
        <v>82</v>
      </c>
      <c r="M103" s="3" t="s">
        <v>469</v>
      </c>
    </row>
    <row r="104" spans="1:14" hidden="1" x14ac:dyDescent="0.25">
      <c r="A104" s="1" t="str">
        <f>VLOOKUP(Table2[[#This Row],[Prod Line ]],Lists!A:E,5,0)</f>
        <v>b</v>
      </c>
      <c r="B104" s="1">
        <v>44145</v>
      </c>
      <c r="C104" s="1">
        <v>44144</v>
      </c>
      <c r="D104" s="1" t="s">
        <v>58</v>
      </c>
      <c r="E104" s="2" t="s">
        <v>404</v>
      </c>
      <c r="F104" s="1"/>
      <c r="G104" s="2">
        <v>14</v>
      </c>
      <c r="H104" s="1" t="s">
        <v>75</v>
      </c>
      <c r="I104" t="s">
        <v>0</v>
      </c>
      <c r="J104" t="s">
        <v>5</v>
      </c>
      <c r="K104" t="s">
        <v>37</v>
      </c>
      <c r="L104" t="s">
        <v>70</v>
      </c>
      <c r="M104" s="3" t="s">
        <v>485</v>
      </c>
    </row>
    <row r="105" spans="1:14" hidden="1" x14ac:dyDescent="0.25">
      <c r="A105" s="1" t="str">
        <f>VLOOKUP(Table2[[#This Row],[Prod Line ]],Lists!A:E,5,0)</f>
        <v>c</v>
      </c>
      <c r="B105" s="1">
        <v>44145</v>
      </c>
      <c r="C105" s="1">
        <v>44144</v>
      </c>
      <c r="D105" s="1" t="s">
        <v>60</v>
      </c>
      <c r="E105" s="2" t="s">
        <v>405</v>
      </c>
      <c r="F105" s="1"/>
      <c r="G105" s="2">
        <v>65</v>
      </c>
      <c r="H105" s="1"/>
      <c r="I105" t="s">
        <v>0</v>
      </c>
      <c r="J105" t="s">
        <v>2</v>
      </c>
      <c r="K105" t="s">
        <v>378</v>
      </c>
      <c r="L105" t="s">
        <v>70</v>
      </c>
      <c r="M105" s="3" t="s">
        <v>472</v>
      </c>
    </row>
    <row r="106" spans="1:14" hidden="1" x14ac:dyDescent="0.25">
      <c r="A106" s="1" t="str">
        <f>VLOOKUP(Table2[[#This Row],[Prod Line ]],Lists!A:E,5,0)</f>
        <v>d</v>
      </c>
      <c r="B106" s="1">
        <v>44145</v>
      </c>
      <c r="C106" s="1">
        <v>44143</v>
      </c>
      <c r="D106" s="1" t="s">
        <v>62</v>
      </c>
      <c r="E106" s="2" t="s">
        <v>404</v>
      </c>
      <c r="F106" s="1"/>
      <c r="G106" s="2">
        <v>10</v>
      </c>
      <c r="H106" s="1"/>
      <c r="I106" t="s">
        <v>1</v>
      </c>
      <c r="J106" t="s">
        <v>5</v>
      </c>
      <c r="K106" t="s">
        <v>395</v>
      </c>
      <c r="L106" t="s">
        <v>407</v>
      </c>
      <c r="M106" s="3" t="s">
        <v>481</v>
      </c>
      <c r="N106"/>
    </row>
    <row r="107" spans="1:14" hidden="1" x14ac:dyDescent="0.25">
      <c r="A107" s="1" t="str">
        <f>VLOOKUP(Table2[[#This Row],[Prod Line ]],Lists!A:E,5,0)</f>
        <v>b</v>
      </c>
      <c r="B107" s="1">
        <v>44145</v>
      </c>
      <c r="C107" s="1">
        <v>44143</v>
      </c>
      <c r="D107" s="1" t="s">
        <v>58</v>
      </c>
      <c r="E107" s="2" t="s">
        <v>404</v>
      </c>
      <c r="F107" s="1"/>
      <c r="G107" s="2">
        <v>10</v>
      </c>
      <c r="H107" s="1" t="s">
        <v>75</v>
      </c>
      <c r="I107" t="s">
        <v>1</v>
      </c>
      <c r="J107" t="s">
        <v>5</v>
      </c>
      <c r="K107" t="s">
        <v>38</v>
      </c>
      <c r="L107" t="s">
        <v>407</v>
      </c>
      <c r="M107" s="3" t="s">
        <v>460</v>
      </c>
      <c r="N107"/>
    </row>
    <row r="108" spans="1:14" hidden="1" x14ac:dyDescent="0.25">
      <c r="A108" s="1" t="str">
        <f>VLOOKUP(Table2[[#This Row],[Prod Line ]],Lists!A:E,5,0)</f>
        <v>c</v>
      </c>
      <c r="B108" s="1">
        <v>44145</v>
      </c>
      <c r="C108" s="1">
        <v>44144</v>
      </c>
      <c r="D108" s="1" t="s">
        <v>60</v>
      </c>
      <c r="E108" s="2" t="s">
        <v>405</v>
      </c>
      <c r="F108" s="1"/>
      <c r="G108" s="2">
        <v>17</v>
      </c>
      <c r="H108" s="1"/>
      <c r="I108" t="s">
        <v>0</v>
      </c>
      <c r="J108" t="s">
        <v>2</v>
      </c>
      <c r="K108" t="s">
        <v>14</v>
      </c>
      <c r="L108" t="s">
        <v>70</v>
      </c>
      <c r="M108" s="3" t="s">
        <v>474</v>
      </c>
    </row>
    <row r="109" spans="1:14" hidden="1" x14ac:dyDescent="0.25">
      <c r="A109" s="1" t="str">
        <f>VLOOKUP(Table2[[#This Row],[Prod Line ]],Lists!A:E,5,0)</f>
        <v>a</v>
      </c>
      <c r="B109" s="1">
        <v>44147</v>
      </c>
      <c r="C109" s="1">
        <v>44145</v>
      </c>
      <c r="D109" s="1" t="s">
        <v>56</v>
      </c>
      <c r="E109" s="2" t="s">
        <v>404</v>
      </c>
      <c r="F109" s="1"/>
      <c r="G109" s="2">
        <v>30</v>
      </c>
      <c r="H109" s="1" t="s">
        <v>75</v>
      </c>
      <c r="I109" t="s">
        <v>0</v>
      </c>
      <c r="J109" t="s">
        <v>64</v>
      </c>
      <c r="K109" t="s">
        <v>363</v>
      </c>
      <c r="L109" t="s">
        <v>70</v>
      </c>
      <c r="M109" s="3" t="s">
        <v>470</v>
      </c>
    </row>
    <row r="110" spans="1:14" hidden="1" x14ac:dyDescent="0.25">
      <c r="A110" s="1" t="str">
        <f>VLOOKUP(Table2[[#This Row],[Prod Line ]],Lists!A:E,5,0)</f>
        <v>a</v>
      </c>
      <c r="B110" s="1">
        <v>44147</v>
      </c>
      <c r="C110" s="1">
        <v>44145</v>
      </c>
      <c r="D110" s="1" t="s">
        <v>56</v>
      </c>
      <c r="E110" s="2" t="s">
        <v>405</v>
      </c>
      <c r="F110" s="1"/>
      <c r="G110" s="2">
        <v>15</v>
      </c>
      <c r="H110" s="1"/>
      <c r="I110" t="s">
        <v>1</v>
      </c>
      <c r="J110" t="s">
        <v>2</v>
      </c>
      <c r="K110" t="s">
        <v>13</v>
      </c>
      <c r="L110" t="s">
        <v>407</v>
      </c>
      <c r="M110" s="3" t="s">
        <v>471</v>
      </c>
      <c r="N110"/>
    </row>
    <row r="111" spans="1:14" hidden="1" x14ac:dyDescent="0.25">
      <c r="A111" s="1" t="str">
        <f>VLOOKUP(Table2[[#This Row],[Prod Line ]],Lists!A:E,5,0)</f>
        <v>c</v>
      </c>
      <c r="B111" s="1">
        <v>44147</v>
      </c>
      <c r="C111" s="1">
        <v>44145</v>
      </c>
      <c r="D111" s="1" t="s">
        <v>60</v>
      </c>
      <c r="E111" s="2" t="s">
        <v>404</v>
      </c>
      <c r="F111" s="1"/>
      <c r="G111" s="2">
        <v>24</v>
      </c>
      <c r="H111" s="1"/>
      <c r="I111" t="s">
        <v>0</v>
      </c>
      <c r="J111" t="s">
        <v>2</v>
      </c>
      <c r="K111" t="s">
        <v>378</v>
      </c>
      <c r="L111" t="s">
        <v>70</v>
      </c>
      <c r="M111" s="3" t="s">
        <v>475</v>
      </c>
    </row>
    <row r="112" spans="1:14" hidden="1" x14ac:dyDescent="0.25">
      <c r="A112" s="1" t="str">
        <f>VLOOKUP(Table2[[#This Row],[Prod Line ]],Lists!A:E,5,0)</f>
        <v>c</v>
      </c>
      <c r="B112" s="1">
        <v>44147</v>
      </c>
      <c r="C112" s="1">
        <v>44145</v>
      </c>
      <c r="D112" s="1" t="s">
        <v>60</v>
      </c>
      <c r="E112" s="2" t="s">
        <v>404</v>
      </c>
      <c r="F112" s="1"/>
      <c r="G112" s="2">
        <v>22</v>
      </c>
      <c r="H112" s="1"/>
      <c r="I112" t="s">
        <v>0</v>
      </c>
      <c r="J112" t="s">
        <v>2</v>
      </c>
      <c r="K112" t="s">
        <v>378</v>
      </c>
      <c r="L112" t="s">
        <v>70</v>
      </c>
      <c r="M112" s="3" t="s">
        <v>476</v>
      </c>
    </row>
    <row r="113" spans="1:14" hidden="1" x14ac:dyDescent="0.25">
      <c r="A113" s="1" t="str">
        <f>VLOOKUP(Table2[[#This Row],[Prod Line ]],Lists!A:E,5,0)</f>
        <v>c</v>
      </c>
      <c r="B113" s="1">
        <v>44147</v>
      </c>
      <c r="C113" s="1">
        <v>44145</v>
      </c>
      <c r="D113" s="1" t="s">
        <v>60</v>
      </c>
      <c r="E113" s="2" t="s">
        <v>404</v>
      </c>
      <c r="F113" s="1"/>
      <c r="G113" s="2">
        <v>10</v>
      </c>
      <c r="H113" s="1"/>
      <c r="I113" t="s">
        <v>1</v>
      </c>
      <c r="J113" t="s">
        <v>2</v>
      </c>
      <c r="K113" t="s">
        <v>378</v>
      </c>
      <c r="L113" t="s">
        <v>349</v>
      </c>
      <c r="M113" s="3"/>
      <c r="N113"/>
    </row>
    <row r="114" spans="1:14" hidden="1" x14ac:dyDescent="0.25">
      <c r="A114" s="1" t="str">
        <f>VLOOKUP(Table2[[#This Row],[Prod Line ]],Lists!A:E,5,0)</f>
        <v>c</v>
      </c>
      <c r="B114" s="1">
        <v>44147</v>
      </c>
      <c r="C114" s="1">
        <v>44145</v>
      </c>
      <c r="D114" s="1" t="s">
        <v>60</v>
      </c>
      <c r="E114" s="2" t="s">
        <v>404</v>
      </c>
      <c r="F114" s="1"/>
      <c r="G114" s="2">
        <v>10</v>
      </c>
      <c r="H114" s="1"/>
      <c r="I114" t="s">
        <v>0</v>
      </c>
      <c r="J114" t="s">
        <v>2</v>
      </c>
      <c r="K114" t="s">
        <v>378</v>
      </c>
      <c r="L114" t="s">
        <v>70</v>
      </c>
      <c r="M114" s="3" t="s">
        <v>477</v>
      </c>
    </row>
    <row r="115" spans="1:14" hidden="1" x14ac:dyDescent="0.25">
      <c r="A115" s="1" t="str">
        <f>VLOOKUP(Table2[[#This Row],[Prod Line ]],Lists!A:E,5,0)</f>
        <v>b</v>
      </c>
      <c r="B115" s="1">
        <v>44147</v>
      </c>
      <c r="C115" s="1">
        <v>44145</v>
      </c>
      <c r="D115" s="1" t="s">
        <v>58</v>
      </c>
      <c r="E115" s="2" t="s">
        <v>404</v>
      </c>
      <c r="F115" s="1"/>
      <c r="G115" s="2">
        <v>6</v>
      </c>
      <c r="H115" s="1"/>
      <c r="I115" t="s">
        <v>1</v>
      </c>
      <c r="J115" t="s">
        <v>66</v>
      </c>
      <c r="K115" t="s">
        <v>4</v>
      </c>
      <c r="L115" t="s">
        <v>407</v>
      </c>
      <c r="M115" s="3" t="s">
        <v>486</v>
      </c>
      <c r="N115"/>
    </row>
    <row r="116" spans="1:14" hidden="1" x14ac:dyDescent="0.25">
      <c r="A116" s="1" t="str">
        <f>VLOOKUP(Table2[[#This Row],[Prod Line ]],Lists!A:E,5,0)</f>
        <v>b</v>
      </c>
      <c r="B116" s="1">
        <v>44147</v>
      </c>
      <c r="C116" s="1">
        <v>44145</v>
      </c>
      <c r="D116" s="1" t="s">
        <v>58</v>
      </c>
      <c r="E116" s="2" t="s">
        <v>404</v>
      </c>
      <c r="F116" s="1"/>
      <c r="G116" s="2">
        <v>8</v>
      </c>
      <c r="H116" s="1"/>
      <c r="I116" t="s">
        <v>1</v>
      </c>
      <c r="J116" t="s">
        <v>2</v>
      </c>
      <c r="K116" t="s">
        <v>19</v>
      </c>
      <c r="L116" t="s">
        <v>349</v>
      </c>
      <c r="M116" s="3" t="s">
        <v>487</v>
      </c>
      <c r="N116"/>
    </row>
    <row r="117" spans="1:14" hidden="1" x14ac:dyDescent="0.25">
      <c r="A117" s="1" t="str">
        <f>VLOOKUP(Table2[[#This Row],[Prod Line ]],Lists!A:E,5,0)</f>
        <v>a</v>
      </c>
      <c r="B117" s="1">
        <v>44148</v>
      </c>
      <c r="C117" s="1">
        <v>44146</v>
      </c>
      <c r="D117" s="1" t="s">
        <v>56</v>
      </c>
      <c r="E117" s="2" t="s">
        <v>404</v>
      </c>
      <c r="F117" s="1"/>
      <c r="G117" s="2">
        <v>7</v>
      </c>
      <c r="H117" s="1"/>
      <c r="I117" t="s">
        <v>0</v>
      </c>
      <c r="J117" t="s">
        <v>2</v>
      </c>
      <c r="K117" t="s">
        <v>19</v>
      </c>
      <c r="L117" t="s">
        <v>69</v>
      </c>
      <c r="M117" s="3" t="s">
        <v>472</v>
      </c>
    </row>
    <row r="118" spans="1:14" hidden="1" x14ac:dyDescent="0.25">
      <c r="A118" s="1" t="str">
        <f>VLOOKUP(Table2[[#This Row],[Prod Line ]],Lists!A:E,5,0)</f>
        <v>b</v>
      </c>
      <c r="B118" s="1">
        <v>44148</v>
      </c>
      <c r="C118" s="1">
        <v>44146</v>
      </c>
      <c r="D118" s="1" t="s">
        <v>58</v>
      </c>
      <c r="E118" s="2" t="s">
        <v>406</v>
      </c>
      <c r="F118" s="1"/>
      <c r="G118" s="2">
        <v>8</v>
      </c>
      <c r="H118" s="1"/>
      <c r="I118" t="s">
        <v>0</v>
      </c>
      <c r="J118" t="s">
        <v>64</v>
      </c>
      <c r="K118" t="s">
        <v>24</v>
      </c>
      <c r="L118" t="s">
        <v>70</v>
      </c>
      <c r="M118" s="3" t="s">
        <v>488</v>
      </c>
    </row>
    <row r="119" spans="1:14" hidden="1" x14ac:dyDescent="0.25">
      <c r="A119" s="1" t="str">
        <f>VLOOKUP(Table2[[#This Row],[Prod Line ]],Lists!A:E,5,0)</f>
        <v>d</v>
      </c>
      <c r="B119" s="1">
        <v>44148</v>
      </c>
      <c r="C119" s="1">
        <v>44146</v>
      </c>
      <c r="D119" s="1" t="s">
        <v>62</v>
      </c>
      <c r="E119" s="2" t="s">
        <v>404</v>
      </c>
      <c r="F119" s="1"/>
      <c r="G119" s="2">
        <v>7</v>
      </c>
      <c r="H119" s="1"/>
      <c r="I119" t="s">
        <v>1</v>
      </c>
      <c r="J119" t="s">
        <v>5</v>
      </c>
      <c r="K119" t="s">
        <v>395</v>
      </c>
      <c r="L119" t="s">
        <v>407</v>
      </c>
      <c r="M119" s="3" t="s">
        <v>481</v>
      </c>
      <c r="N119"/>
    </row>
    <row r="120" spans="1:14" hidden="1" x14ac:dyDescent="0.25">
      <c r="A120" s="1" t="str">
        <f>VLOOKUP(Table2[[#This Row],[Prod Line ]],Lists!A:E,5,0)</f>
        <v>b</v>
      </c>
      <c r="B120" s="1">
        <v>44148</v>
      </c>
      <c r="C120" s="1">
        <v>44146</v>
      </c>
      <c r="D120" s="1" t="s">
        <v>58</v>
      </c>
      <c r="E120" s="2" t="s">
        <v>406</v>
      </c>
      <c r="F120" s="1"/>
      <c r="G120" s="2">
        <v>8</v>
      </c>
      <c r="H120" s="1"/>
      <c r="I120" t="s">
        <v>1</v>
      </c>
      <c r="J120" t="s">
        <v>64</v>
      </c>
      <c r="K120" t="s">
        <v>24</v>
      </c>
      <c r="L120" t="s">
        <v>441</v>
      </c>
      <c r="M120" s="3"/>
      <c r="N120"/>
    </row>
    <row r="121" spans="1:14" hidden="1" x14ac:dyDescent="0.25">
      <c r="A121" s="1" t="str">
        <f>VLOOKUP(Table2[[#This Row],[Prod Line ]],Lists!A:E,5,0)</f>
        <v>c</v>
      </c>
      <c r="B121" s="1">
        <v>44148</v>
      </c>
      <c r="C121" s="1">
        <v>44146</v>
      </c>
      <c r="D121" s="1" t="s">
        <v>60</v>
      </c>
      <c r="E121" s="2" t="s">
        <v>404</v>
      </c>
      <c r="F121" s="1"/>
      <c r="G121" s="2">
        <v>27</v>
      </c>
      <c r="H121" s="1"/>
      <c r="I121" t="s">
        <v>0</v>
      </c>
      <c r="J121" t="s">
        <v>2</v>
      </c>
      <c r="K121" t="s">
        <v>377</v>
      </c>
      <c r="L121" t="s">
        <v>70</v>
      </c>
      <c r="M121" s="3" t="s">
        <v>478</v>
      </c>
    </row>
    <row r="122" spans="1:14" hidden="1" x14ac:dyDescent="0.25">
      <c r="A122" s="1" t="str">
        <f>VLOOKUP(Table2[[#This Row],[Prod Line ]],Lists!A:E,5,0)</f>
        <v>a</v>
      </c>
      <c r="B122" s="1">
        <v>44149</v>
      </c>
      <c r="C122" s="1">
        <v>44147</v>
      </c>
      <c r="D122" s="1" t="s">
        <v>56</v>
      </c>
      <c r="E122" s="2" t="s">
        <v>404</v>
      </c>
      <c r="F122" s="1"/>
      <c r="G122" s="2">
        <v>17</v>
      </c>
      <c r="H122" s="1"/>
      <c r="I122" t="s">
        <v>0</v>
      </c>
      <c r="J122" t="s">
        <v>64</v>
      </c>
      <c r="K122" t="s">
        <v>371</v>
      </c>
      <c r="L122" t="s">
        <v>70</v>
      </c>
      <c r="M122" s="3" t="s">
        <v>473</v>
      </c>
    </row>
    <row r="123" spans="1:14" hidden="1" x14ac:dyDescent="0.25">
      <c r="A123" s="1" t="str">
        <f>VLOOKUP(Table2[[#This Row],[Prod Line ]],Lists!A:E,5,0)</f>
        <v>c</v>
      </c>
      <c r="B123" s="1">
        <v>44149</v>
      </c>
      <c r="C123" s="1">
        <v>44147</v>
      </c>
      <c r="D123" s="1" t="s">
        <v>60</v>
      </c>
      <c r="E123" s="2" t="s">
        <v>404</v>
      </c>
      <c r="F123" s="1"/>
      <c r="G123" s="2">
        <v>33</v>
      </c>
      <c r="H123" s="1"/>
      <c r="I123" t="s">
        <v>1</v>
      </c>
      <c r="J123" t="s">
        <v>2</v>
      </c>
      <c r="K123" t="s">
        <v>378</v>
      </c>
      <c r="L123" t="s">
        <v>349</v>
      </c>
      <c r="M123" s="3" t="s">
        <v>479</v>
      </c>
      <c r="N123"/>
    </row>
    <row r="124" spans="1:14" hidden="1" x14ac:dyDescent="0.25">
      <c r="A124" s="1" t="str">
        <f>VLOOKUP(Table2[[#This Row],[Prod Line ]],Lists!A:E,5,0)</f>
        <v>c</v>
      </c>
      <c r="B124" s="1">
        <v>44149</v>
      </c>
      <c r="C124" s="1">
        <v>44147</v>
      </c>
      <c r="D124" s="1" t="s">
        <v>60</v>
      </c>
      <c r="E124" s="2" t="s">
        <v>405</v>
      </c>
      <c r="F124" s="1"/>
      <c r="G124" s="2">
        <v>107</v>
      </c>
      <c r="H124" s="1"/>
      <c r="I124" t="s">
        <v>1</v>
      </c>
      <c r="J124" t="s">
        <v>2</v>
      </c>
      <c r="K124" t="s">
        <v>378</v>
      </c>
      <c r="L124" t="s">
        <v>349</v>
      </c>
      <c r="M124" s="3" t="s">
        <v>480</v>
      </c>
      <c r="N124"/>
    </row>
    <row r="125" spans="1:14" hidden="1" x14ac:dyDescent="0.25">
      <c r="A125" s="1" t="str">
        <f>VLOOKUP(Table2[[#This Row],[Prod Line ]],Lists!A:E,5,0)</f>
        <v>d</v>
      </c>
      <c r="B125" s="1">
        <v>44149</v>
      </c>
      <c r="C125" s="1">
        <v>44147</v>
      </c>
      <c r="D125" s="1" t="s">
        <v>62</v>
      </c>
      <c r="E125" s="2" t="s">
        <v>404</v>
      </c>
      <c r="F125" s="1"/>
      <c r="G125" s="2">
        <v>45</v>
      </c>
      <c r="H125" s="1"/>
      <c r="I125" t="s">
        <v>1</v>
      </c>
      <c r="J125" t="s">
        <v>2</v>
      </c>
      <c r="K125" t="s">
        <v>19</v>
      </c>
      <c r="L125" t="s">
        <v>407</v>
      </c>
      <c r="M125" s="3" t="s">
        <v>437</v>
      </c>
      <c r="N125"/>
    </row>
    <row r="126" spans="1:14" hidden="1" x14ac:dyDescent="0.25">
      <c r="A126" s="1" t="str">
        <f>VLOOKUP(Table2[[#This Row],[Prod Line ]],Lists!A:E,5,0)</f>
        <v>b</v>
      </c>
      <c r="B126" s="1">
        <v>44149</v>
      </c>
      <c r="C126" s="1">
        <v>44147</v>
      </c>
      <c r="D126" s="1" t="s">
        <v>58</v>
      </c>
      <c r="E126" s="2" t="s">
        <v>404</v>
      </c>
      <c r="F126" s="1"/>
      <c r="G126" s="2">
        <v>21</v>
      </c>
      <c r="H126" s="1"/>
      <c r="I126" t="s">
        <v>1</v>
      </c>
      <c r="J126" t="s">
        <v>2</v>
      </c>
      <c r="K126" t="s">
        <v>19</v>
      </c>
      <c r="L126" t="s">
        <v>349</v>
      </c>
      <c r="M126" s="3" t="s">
        <v>489</v>
      </c>
      <c r="N126"/>
    </row>
    <row r="127" spans="1:14" hidden="1" x14ac:dyDescent="0.25">
      <c r="A127" s="1" t="str">
        <f>VLOOKUP(Table2[[#This Row],[Prod Line ]],Lists!A:E,5,0)</f>
        <v>b</v>
      </c>
      <c r="B127" s="1">
        <v>44149</v>
      </c>
      <c r="C127" s="1">
        <v>44147</v>
      </c>
      <c r="D127" s="1" t="s">
        <v>58</v>
      </c>
      <c r="E127" s="2" t="s">
        <v>405</v>
      </c>
      <c r="F127" s="1"/>
      <c r="G127" s="2">
        <v>5</v>
      </c>
      <c r="H127" s="1"/>
      <c r="I127" t="s">
        <v>1</v>
      </c>
      <c r="J127" t="s">
        <v>2</v>
      </c>
      <c r="K127" t="s">
        <v>19</v>
      </c>
      <c r="L127" t="s">
        <v>349</v>
      </c>
      <c r="M127" s="3"/>
      <c r="N127"/>
    </row>
    <row r="128" spans="1:14" hidden="1" x14ac:dyDescent="0.25">
      <c r="A128" s="1" t="str">
        <f>VLOOKUP(Table2[[#This Row],[Prod Line ]],Lists!A:E,5,0)</f>
        <v>b</v>
      </c>
      <c r="B128" s="1">
        <v>44149</v>
      </c>
      <c r="C128" s="1">
        <v>44147</v>
      </c>
      <c r="D128" s="1" t="s">
        <v>58</v>
      </c>
      <c r="E128" s="2" t="s">
        <v>405</v>
      </c>
      <c r="F128" s="1"/>
      <c r="G128" s="2">
        <v>3</v>
      </c>
      <c r="H128" s="1"/>
      <c r="I128" t="s">
        <v>1</v>
      </c>
      <c r="J128" t="s">
        <v>65</v>
      </c>
      <c r="K128" t="s">
        <v>27</v>
      </c>
      <c r="L128" t="s">
        <v>407</v>
      </c>
      <c r="M128" s="3" t="s">
        <v>441</v>
      </c>
      <c r="N128"/>
    </row>
    <row r="129" spans="1:14" hidden="1" x14ac:dyDescent="0.25">
      <c r="A129" s="1" t="str">
        <f>VLOOKUP(Table2[[#This Row],[Prod Line ]],Lists!A:E,5,0)</f>
        <v>a</v>
      </c>
      <c r="B129" s="1">
        <v>44151</v>
      </c>
      <c r="C129" s="1">
        <v>44149</v>
      </c>
      <c r="D129" s="1" t="s">
        <v>56</v>
      </c>
      <c r="E129" s="2" t="s">
        <v>404</v>
      </c>
      <c r="F129" s="1"/>
      <c r="G129" s="2">
        <v>36</v>
      </c>
      <c r="H129" s="1"/>
      <c r="I129" t="s">
        <v>0</v>
      </c>
      <c r="J129" t="s">
        <v>26</v>
      </c>
      <c r="K129" t="s">
        <v>26</v>
      </c>
      <c r="L129" t="s">
        <v>70</v>
      </c>
      <c r="M129" s="3" t="s">
        <v>490</v>
      </c>
    </row>
    <row r="130" spans="1:14" hidden="1" x14ac:dyDescent="0.25">
      <c r="A130" s="1" t="str">
        <f>VLOOKUP(Table2[[#This Row],[Prod Line ]],Lists!A:E,5,0)</f>
        <v>a</v>
      </c>
      <c r="B130" s="1">
        <v>44151</v>
      </c>
      <c r="C130" s="1">
        <v>44149</v>
      </c>
      <c r="D130" s="1" t="s">
        <v>56</v>
      </c>
      <c r="E130" s="2" t="s">
        <v>404</v>
      </c>
      <c r="F130" s="1"/>
      <c r="G130" s="2">
        <v>8</v>
      </c>
      <c r="H130" s="1"/>
      <c r="I130" t="s">
        <v>1</v>
      </c>
      <c r="J130" t="s">
        <v>64</v>
      </c>
      <c r="K130" t="s">
        <v>365</v>
      </c>
      <c r="L130" t="s">
        <v>407</v>
      </c>
      <c r="M130" s="3" t="s">
        <v>491</v>
      </c>
      <c r="N130"/>
    </row>
    <row r="131" spans="1:14" hidden="1" x14ac:dyDescent="0.25">
      <c r="A131" s="1" t="str">
        <f>VLOOKUP(Table2[[#This Row],[Prod Line ]],Lists!A:E,5,0)</f>
        <v>d</v>
      </c>
      <c r="B131" s="1">
        <v>44151</v>
      </c>
      <c r="C131" s="1">
        <v>44149</v>
      </c>
      <c r="D131" s="1" t="s">
        <v>62</v>
      </c>
      <c r="E131" s="2" t="s">
        <v>405</v>
      </c>
      <c r="F131" s="1"/>
      <c r="G131" s="2">
        <v>8</v>
      </c>
      <c r="H131" s="1"/>
      <c r="I131" t="s">
        <v>1</v>
      </c>
      <c r="J131" t="s">
        <v>64</v>
      </c>
      <c r="K131" t="s">
        <v>379</v>
      </c>
      <c r="L131" t="s">
        <v>407</v>
      </c>
      <c r="M131" s="3" t="s">
        <v>492</v>
      </c>
      <c r="N131"/>
    </row>
    <row r="132" spans="1:14" hidden="1" x14ac:dyDescent="0.25">
      <c r="A132" s="1" t="str">
        <f>VLOOKUP(Table2[[#This Row],[Prod Line ]],Lists!A:E,5,0)</f>
        <v>d</v>
      </c>
      <c r="B132" s="1">
        <v>44151</v>
      </c>
      <c r="C132" s="1">
        <v>44149</v>
      </c>
      <c r="D132" s="1" t="s">
        <v>62</v>
      </c>
      <c r="E132" s="2" t="s">
        <v>406</v>
      </c>
      <c r="F132" s="1"/>
      <c r="G132" s="2">
        <v>15</v>
      </c>
      <c r="H132" s="1"/>
      <c r="I132" t="s">
        <v>1</v>
      </c>
      <c r="J132" t="s">
        <v>64</v>
      </c>
      <c r="K132" t="s">
        <v>379</v>
      </c>
      <c r="L132" t="s">
        <v>407</v>
      </c>
      <c r="M132" s="3" t="s">
        <v>492</v>
      </c>
      <c r="N132"/>
    </row>
    <row r="133" spans="1:14" hidden="1" x14ac:dyDescent="0.25">
      <c r="A133" s="1" t="str">
        <f>VLOOKUP(Table2[[#This Row],[Prod Line ]],Lists!A:E,5,0)</f>
        <v>c</v>
      </c>
      <c r="B133" s="1">
        <v>44151</v>
      </c>
      <c r="C133" s="1">
        <v>44149</v>
      </c>
      <c r="D133" s="1" t="s">
        <v>60</v>
      </c>
      <c r="E133" s="2" t="s">
        <v>404</v>
      </c>
      <c r="F133" s="1"/>
      <c r="G133" s="2">
        <v>50</v>
      </c>
      <c r="H133" s="1"/>
      <c r="I133" t="s">
        <v>0</v>
      </c>
      <c r="J133" t="s">
        <v>65</v>
      </c>
      <c r="K133" t="s">
        <v>3</v>
      </c>
      <c r="L133" t="s">
        <v>70</v>
      </c>
      <c r="M133" s="3"/>
    </row>
    <row r="134" spans="1:14" hidden="1" x14ac:dyDescent="0.25">
      <c r="A134" s="1" t="str">
        <f>VLOOKUP(Table2[[#This Row],[Prod Line ]],Lists!A:E,5,0)</f>
        <v>c</v>
      </c>
      <c r="B134" s="1">
        <v>44151</v>
      </c>
      <c r="C134" s="1">
        <v>44149</v>
      </c>
      <c r="D134" s="1" t="s">
        <v>60</v>
      </c>
      <c r="E134" s="2" t="s">
        <v>405</v>
      </c>
      <c r="F134" s="1"/>
      <c r="G134" s="2">
        <v>14</v>
      </c>
      <c r="H134" s="1"/>
      <c r="I134" t="s">
        <v>1</v>
      </c>
      <c r="J134" t="s">
        <v>2</v>
      </c>
      <c r="K134" t="s">
        <v>378</v>
      </c>
      <c r="L134" t="s">
        <v>345</v>
      </c>
      <c r="M134" s="3"/>
      <c r="N134"/>
    </row>
    <row r="135" spans="1:14" hidden="1" x14ac:dyDescent="0.25">
      <c r="A135" s="1" t="str">
        <f>VLOOKUP(Table2[[#This Row],[Prod Line ]],Lists!A:E,5,0)</f>
        <v>b</v>
      </c>
      <c r="B135" s="1">
        <v>44151</v>
      </c>
      <c r="C135" s="1">
        <v>44149</v>
      </c>
      <c r="D135" s="1" t="s">
        <v>58</v>
      </c>
      <c r="E135" s="2" t="s">
        <v>406</v>
      </c>
      <c r="F135" s="1"/>
      <c r="G135" s="2">
        <v>7</v>
      </c>
      <c r="H135" s="1"/>
      <c r="I135" t="s">
        <v>1</v>
      </c>
      <c r="J135" t="s">
        <v>65</v>
      </c>
      <c r="K135" t="s">
        <v>27</v>
      </c>
      <c r="L135" t="s">
        <v>441</v>
      </c>
      <c r="M135" s="3"/>
      <c r="N135"/>
    </row>
    <row r="136" spans="1:14" hidden="1" x14ac:dyDescent="0.25">
      <c r="A136" s="1" t="str">
        <f>VLOOKUP(Table2[[#This Row],[Prod Line ]],Lists!A:E,5,0)</f>
        <v>d</v>
      </c>
      <c r="B136" s="1">
        <v>44152</v>
      </c>
      <c r="C136" s="1">
        <v>44150</v>
      </c>
      <c r="D136" s="1" t="s">
        <v>62</v>
      </c>
      <c r="E136" s="2" t="s">
        <v>405</v>
      </c>
      <c r="F136" s="1"/>
      <c r="G136" s="2">
        <v>20</v>
      </c>
      <c r="H136" s="1"/>
      <c r="I136" t="s">
        <v>1</v>
      </c>
      <c r="J136" t="s">
        <v>2</v>
      </c>
      <c r="K136" t="s">
        <v>19</v>
      </c>
      <c r="L136" t="s">
        <v>407</v>
      </c>
      <c r="M136" s="3" t="s">
        <v>493</v>
      </c>
      <c r="N136"/>
    </row>
    <row r="137" spans="1:14" hidden="1" x14ac:dyDescent="0.25">
      <c r="A137" s="1" t="str">
        <f>VLOOKUP(Table2[[#This Row],[Prod Line ]],Lists!A:E,5,0)</f>
        <v>b</v>
      </c>
      <c r="B137" s="1">
        <v>44152</v>
      </c>
      <c r="C137" s="1">
        <v>44150</v>
      </c>
      <c r="D137" s="1" t="s">
        <v>58</v>
      </c>
      <c r="E137" s="2" t="s">
        <v>404</v>
      </c>
      <c r="F137" s="1"/>
      <c r="G137" s="2">
        <v>6</v>
      </c>
      <c r="H137" s="1"/>
      <c r="I137" t="s">
        <v>1</v>
      </c>
      <c r="J137" t="s">
        <v>65</v>
      </c>
      <c r="K137" t="s">
        <v>3</v>
      </c>
      <c r="L137" t="s">
        <v>407</v>
      </c>
      <c r="M137" s="3" t="s">
        <v>494</v>
      </c>
      <c r="N137"/>
    </row>
    <row r="138" spans="1:14" hidden="1" x14ac:dyDescent="0.25">
      <c r="A138" s="1" t="str">
        <f>VLOOKUP(Table2[[#This Row],[Prod Line ]],Lists!A:E,5,0)</f>
        <v>c</v>
      </c>
      <c r="B138" s="1">
        <v>44152</v>
      </c>
      <c r="C138" s="1">
        <v>44150</v>
      </c>
      <c r="D138" s="1" t="s">
        <v>60</v>
      </c>
      <c r="E138" s="2" t="s">
        <v>405</v>
      </c>
      <c r="F138" s="1"/>
      <c r="G138" s="2">
        <v>42</v>
      </c>
      <c r="H138" s="1"/>
      <c r="I138" t="s">
        <v>1</v>
      </c>
      <c r="J138" t="s">
        <v>2</v>
      </c>
      <c r="K138" t="s">
        <v>378</v>
      </c>
      <c r="L138" t="s">
        <v>349</v>
      </c>
      <c r="M138" s="3" t="s">
        <v>495</v>
      </c>
      <c r="N138"/>
    </row>
    <row r="139" spans="1:14" hidden="1" x14ac:dyDescent="0.25">
      <c r="A139" s="1" t="str">
        <f>VLOOKUP(Table2[[#This Row],[Prod Line ]],Lists!A:E,5,0)</f>
        <v>c</v>
      </c>
      <c r="B139" s="1">
        <v>44152</v>
      </c>
      <c r="C139" s="1">
        <v>44150</v>
      </c>
      <c r="D139" s="1" t="s">
        <v>60</v>
      </c>
      <c r="E139" s="2" t="s">
        <v>405</v>
      </c>
      <c r="F139" s="1"/>
      <c r="G139" s="2">
        <v>47</v>
      </c>
      <c r="H139" s="1"/>
      <c r="I139" t="s">
        <v>1</v>
      </c>
      <c r="J139" t="s">
        <v>2</v>
      </c>
      <c r="K139" t="s">
        <v>378</v>
      </c>
      <c r="L139" t="s">
        <v>345</v>
      </c>
      <c r="M139" s="3" t="s">
        <v>496</v>
      </c>
      <c r="N139"/>
    </row>
    <row r="140" spans="1:14" hidden="1" x14ac:dyDescent="0.25">
      <c r="A140" s="1" t="str">
        <f>VLOOKUP(Table2[[#This Row],[Prod Line ]],Lists!A:E,5,0)</f>
        <v>c</v>
      </c>
      <c r="B140" s="1">
        <v>44152</v>
      </c>
      <c r="C140" s="1">
        <v>44150</v>
      </c>
      <c r="D140" s="1" t="s">
        <v>60</v>
      </c>
      <c r="E140" s="2" t="s">
        <v>405</v>
      </c>
      <c r="F140" s="1"/>
      <c r="G140" s="2">
        <v>49</v>
      </c>
      <c r="H140" s="1"/>
      <c r="I140" t="s">
        <v>1</v>
      </c>
      <c r="J140" t="s">
        <v>2</v>
      </c>
      <c r="K140" t="s">
        <v>378</v>
      </c>
      <c r="L140" t="s">
        <v>349</v>
      </c>
      <c r="M140" s="3" t="s">
        <v>497</v>
      </c>
      <c r="N140"/>
    </row>
    <row r="141" spans="1:14" hidden="1" x14ac:dyDescent="0.25">
      <c r="A141" s="1" t="str">
        <f>VLOOKUP(Table2[[#This Row],[Prod Line ]],Lists!A:E,5,0)</f>
        <v>c</v>
      </c>
      <c r="B141" s="1">
        <v>44152</v>
      </c>
      <c r="C141" s="1">
        <v>44150</v>
      </c>
      <c r="D141" s="1" t="s">
        <v>60</v>
      </c>
      <c r="E141" s="2" t="s">
        <v>405</v>
      </c>
      <c r="F141" s="1"/>
      <c r="G141" s="2">
        <v>29</v>
      </c>
      <c r="H141" s="1"/>
      <c r="I141" t="s">
        <v>1</v>
      </c>
      <c r="J141" t="s">
        <v>2</v>
      </c>
      <c r="K141" t="s">
        <v>378</v>
      </c>
      <c r="L141" t="s">
        <v>349</v>
      </c>
      <c r="M141" s="3" t="s">
        <v>498</v>
      </c>
      <c r="N141"/>
    </row>
    <row r="142" spans="1:14" hidden="1" x14ac:dyDescent="0.25">
      <c r="A142" s="1" t="str">
        <f>VLOOKUP(Table2[[#This Row],[Prod Line ]],Lists!A:E,5,0)</f>
        <v>c</v>
      </c>
      <c r="B142" s="1">
        <v>44152</v>
      </c>
      <c r="C142" s="1">
        <v>44150</v>
      </c>
      <c r="D142" s="1" t="s">
        <v>60</v>
      </c>
      <c r="E142" s="2" t="s">
        <v>404</v>
      </c>
      <c r="F142" s="1"/>
      <c r="G142" s="2">
        <v>25</v>
      </c>
      <c r="H142" s="1"/>
      <c r="I142" t="s">
        <v>1</v>
      </c>
      <c r="J142" t="s">
        <v>65</v>
      </c>
      <c r="K142" t="s">
        <v>26</v>
      </c>
      <c r="L142" t="s">
        <v>430</v>
      </c>
      <c r="M142" s="3" t="s">
        <v>499</v>
      </c>
      <c r="N142"/>
    </row>
    <row r="143" spans="1:14" hidden="1" x14ac:dyDescent="0.25">
      <c r="A143" s="1" t="str">
        <f>VLOOKUP(Table2[[#This Row],[Prod Line ]],Lists!A:E,5,0)</f>
        <v>a</v>
      </c>
      <c r="B143" s="1">
        <v>44154</v>
      </c>
      <c r="C143" s="1">
        <v>44152</v>
      </c>
      <c r="D143" s="1" t="s">
        <v>56</v>
      </c>
      <c r="E143" s="2" t="s">
        <v>404</v>
      </c>
      <c r="F143" s="1"/>
      <c r="G143" s="2">
        <v>13</v>
      </c>
      <c r="H143" s="1"/>
      <c r="I143" t="s">
        <v>0</v>
      </c>
      <c r="J143" t="s">
        <v>26</v>
      </c>
      <c r="K143" t="s">
        <v>26</v>
      </c>
      <c r="L143" t="s">
        <v>70</v>
      </c>
      <c r="M143" s="3" t="s">
        <v>500</v>
      </c>
    </row>
    <row r="144" spans="1:14" hidden="1" x14ac:dyDescent="0.25">
      <c r="A144" s="1" t="str">
        <f>VLOOKUP(Table2[[#This Row],[Prod Line ]],Lists!A:E,5,0)</f>
        <v>a</v>
      </c>
      <c r="B144" s="1">
        <v>44154</v>
      </c>
      <c r="C144" s="1">
        <v>44152</v>
      </c>
      <c r="D144" s="1" t="s">
        <v>56</v>
      </c>
      <c r="E144" s="2" t="s">
        <v>404</v>
      </c>
      <c r="F144" s="1"/>
      <c r="G144" s="2">
        <v>7</v>
      </c>
      <c r="H144" s="1"/>
      <c r="I144" t="s">
        <v>0</v>
      </c>
      <c r="J144" t="s">
        <v>501</v>
      </c>
      <c r="K144" t="s">
        <v>32</v>
      </c>
      <c r="L144" t="s">
        <v>70</v>
      </c>
      <c r="M144" s="3" t="s">
        <v>502</v>
      </c>
    </row>
    <row r="145" spans="1:14" hidden="1" x14ac:dyDescent="0.25">
      <c r="A145" s="1" t="str">
        <f>VLOOKUP(Table2[[#This Row],[Prod Line ]],Lists!A:E,5,0)</f>
        <v>b</v>
      </c>
      <c r="B145" s="1">
        <v>44154</v>
      </c>
      <c r="C145" s="1">
        <v>44152</v>
      </c>
      <c r="D145" s="1" t="s">
        <v>58</v>
      </c>
      <c r="E145" s="2" t="s">
        <v>404</v>
      </c>
      <c r="F145" s="1"/>
      <c r="G145" s="2">
        <v>5</v>
      </c>
      <c r="H145" s="1"/>
      <c r="I145" t="s">
        <v>0</v>
      </c>
      <c r="J145" t="s">
        <v>503</v>
      </c>
      <c r="K145" t="s">
        <v>22</v>
      </c>
      <c r="L145" t="s">
        <v>70</v>
      </c>
      <c r="M145" s="3" t="s">
        <v>504</v>
      </c>
    </row>
    <row r="146" spans="1:14" hidden="1" x14ac:dyDescent="0.25">
      <c r="A146" s="1" t="str">
        <f>VLOOKUP(Table2[[#This Row],[Prod Line ]],Lists!A:E,5,0)</f>
        <v>b</v>
      </c>
      <c r="B146" s="1">
        <v>44154</v>
      </c>
      <c r="C146" s="1">
        <v>44152</v>
      </c>
      <c r="D146" s="1" t="s">
        <v>58</v>
      </c>
      <c r="E146" s="2" t="s">
        <v>404</v>
      </c>
      <c r="F146" s="1"/>
      <c r="G146" s="2">
        <v>6</v>
      </c>
      <c r="H146" s="1"/>
      <c r="I146" t="s">
        <v>0</v>
      </c>
      <c r="J146" t="s">
        <v>26</v>
      </c>
      <c r="K146" t="s">
        <v>25</v>
      </c>
      <c r="L146" t="s">
        <v>70</v>
      </c>
      <c r="M146" s="3" t="s">
        <v>505</v>
      </c>
    </row>
    <row r="147" spans="1:14" hidden="1" x14ac:dyDescent="0.25">
      <c r="A147" s="1" t="str">
        <f>VLOOKUP(Table2[[#This Row],[Prod Line ]],Lists!A:E,5,0)</f>
        <v>b</v>
      </c>
      <c r="B147" s="1">
        <v>44154</v>
      </c>
      <c r="C147" s="1">
        <v>44152</v>
      </c>
      <c r="D147" s="1" t="s">
        <v>58</v>
      </c>
      <c r="E147" s="2" t="s">
        <v>405</v>
      </c>
      <c r="F147" s="1"/>
      <c r="G147" s="2">
        <v>11</v>
      </c>
      <c r="H147" s="1"/>
      <c r="I147" t="s">
        <v>0</v>
      </c>
      <c r="J147" t="s">
        <v>5</v>
      </c>
      <c r="L147" t="s">
        <v>70</v>
      </c>
      <c r="M147" s="3" t="s">
        <v>506</v>
      </c>
    </row>
    <row r="148" spans="1:14" hidden="1" x14ac:dyDescent="0.25">
      <c r="A148" s="1" t="str">
        <f>VLOOKUP(Table2[[#This Row],[Prod Line ]],Lists!A:E,5,0)</f>
        <v>b</v>
      </c>
      <c r="B148" s="1">
        <v>44154</v>
      </c>
      <c r="C148" s="1">
        <v>44152</v>
      </c>
      <c r="D148" s="1" t="s">
        <v>58</v>
      </c>
      <c r="E148" s="2" t="s">
        <v>404</v>
      </c>
      <c r="F148" s="1"/>
      <c r="G148" s="2">
        <v>31</v>
      </c>
      <c r="H148" s="1"/>
      <c r="I148" t="s">
        <v>1</v>
      </c>
      <c r="J148" t="s">
        <v>64</v>
      </c>
      <c r="K148" t="s">
        <v>19</v>
      </c>
      <c r="L148" t="s">
        <v>349</v>
      </c>
      <c r="M148" s="3" t="s">
        <v>507</v>
      </c>
      <c r="N148"/>
    </row>
    <row r="149" spans="1:14" hidden="1" x14ac:dyDescent="0.25">
      <c r="A149" s="1" t="str">
        <f>VLOOKUP(Table2[[#This Row],[Prod Line ]],Lists!A:E,5,0)</f>
        <v>c</v>
      </c>
      <c r="B149" s="1">
        <v>44154</v>
      </c>
      <c r="C149" s="1">
        <v>44152</v>
      </c>
      <c r="D149" s="1" t="s">
        <v>60</v>
      </c>
      <c r="E149" s="2" t="s">
        <v>405</v>
      </c>
      <c r="F149" s="1"/>
      <c r="G149" s="2">
        <v>14</v>
      </c>
      <c r="H149" s="1"/>
      <c r="I149" t="s">
        <v>1</v>
      </c>
      <c r="J149" t="s">
        <v>2</v>
      </c>
      <c r="K149" t="s">
        <v>19</v>
      </c>
      <c r="L149" t="s">
        <v>349</v>
      </c>
      <c r="M149" s="3" t="s">
        <v>508</v>
      </c>
      <c r="N149"/>
    </row>
    <row r="150" spans="1:14" hidden="1" x14ac:dyDescent="0.25">
      <c r="A150" s="1" t="str">
        <f>VLOOKUP(Table2[[#This Row],[Prod Line ]],Lists!A:E,5,0)</f>
        <v>c</v>
      </c>
      <c r="B150" s="1">
        <v>44154</v>
      </c>
      <c r="C150" s="1">
        <v>44152</v>
      </c>
      <c r="D150" s="1" t="s">
        <v>60</v>
      </c>
      <c r="E150" s="2" t="s">
        <v>405</v>
      </c>
      <c r="F150" s="1"/>
      <c r="G150" s="2">
        <v>53</v>
      </c>
      <c r="H150" s="1"/>
      <c r="I150" t="s">
        <v>1</v>
      </c>
      <c r="J150" t="s">
        <v>64</v>
      </c>
      <c r="K150" t="s">
        <v>19</v>
      </c>
      <c r="L150" t="s">
        <v>349</v>
      </c>
      <c r="M150" s="3" t="s">
        <v>509</v>
      </c>
      <c r="N150"/>
    </row>
    <row r="151" spans="1:14" hidden="1" x14ac:dyDescent="0.25">
      <c r="A151" s="1" t="str">
        <f>VLOOKUP(Table2[[#This Row],[Prod Line ]],Lists!A:E,5,0)</f>
        <v>d</v>
      </c>
      <c r="B151" s="1">
        <v>44154</v>
      </c>
      <c r="C151" s="1">
        <v>44152</v>
      </c>
      <c r="D151" s="1" t="s">
        <v>62</v>
      </c>
      <c r="E151" s="2" t="s">
        <v>404</v>
      </c>
      <c r="F151" s="1"/>
      <c r="G151" s="2">
        <v>60</v>
      </c>
      <c r="H151" s="1"/>
      <c r="I151" t="s">
        <v>1</v>
      </c>
      <c r="J151" t="s">
        <v>2</v>
      </c>
      <c r="K151" t="s">
        <v>19</v>
      </c>
      <c r="L151" t="s">
        <v>510</v>
      </c>
      <c r="M151" s="3" t="s">
        <v>511</v>
      </c>
      <c r="N151"/>
    </row>
    <row r="152" spans="1:14" hidden="1" x14ac:dyDescent="0.25">
      <c r="A152" s="1" t="str">
        <f>VLOOKUP(Table2[[#This Row],[Prod Line ]],Lists!A:E,5,0)</f>
        <v>d</v>
      </c>
      <c r="B152" s="1">
        <v>44154</v>
      </c>
      <c r="C152" s="1">
        <v>44152</v>
      </c>
      <c r="D152" s="1" t="s">
        <v>62</v>
      </c>
      <c r="E152" s="2" t="s">
        <v>405</v>
      </c>
      <c r="F152" s="1"/>
      <c r="G152" s="2">
        <v>11</v>
      </c>
      <c r="H152" s="1"/>
      <c r="I152" t="s">
        <v>1</v>
      </c>
      <c r="J152" t="s">
        <v>64</v>
      </c>
      <c r="K152" t="s">
        <v>19</v>
      </c>
      <c r="L152" t="s">
        <v>512</v>
      </c>
      <c r="M152" s="3" t="s">
        <v>513</v>
      </c>
      <c r="N152"/>
    </row>
    <row r="153" spans="1:14" hidden="1" x14ac:dyDescent="0.25">
      <c r="A153" s="1" t="str">
        <f>VLOOKUP(Table2[[#This Row],[Prod Line ]],Lists!A:E,5,0)</f>
        <v>b</v>
      </c>
      <c r="B153" s="1">
        <v>44154</v>
      </c>
      <c r="C153" s="1">
        <v>44152</v>
      </c>
      <c r="D153" s="1" t="s">
        <v>58</v>
      </c>
      <c r="E153" s="2" t="s">
        <v>404</v>
      </c>
      <c r="F153" s="1"/>
      <c r="G153" s="2">
        <v>6</v>
      </c>
      <c r="H153" s="1"/>
      <c r="I153" t="s">
        <v>1</v>
      </c>
      <c r="J153" t="s">
        <v>503</v>
      </c>
      <c r="K153" t="s">
        <v>503</v>
      </c>
      <c r="L153" t="s">
        <v>407</v>
      </c>
      <c r="M153" s="3" t="s">
        <v>514</v>
      </c>
      <c r="N153"/>
    </row>
    <row r="154" spans="1:14" hidden="1" x14ac:dyDescent="0.25">
      <c r="A154" s="1" t="str">
        <f>VLOOKUP(Table2[[#This Row],[Prod Line ]],Lists!A:E,5,0)</f>
        <v>b</v>
      </c>
      <c r="B154" s="1">
        <v>44154</v>
      </c>
      <c r="C154" s="1">
        <v>44152</v>
      </c>
      <c r="D154" s="1" t="s">
        <v>58</v>
      </c>
      <c r="E154" s="2" t="s">
        <v>404</v>
      </c>
      <c r="F154" s="1"/>
      <c r="G154" s="2">
        <v>5</v>
      </c>
      <c r="H154" s="1"/>
      <c r="I154" t="s">
        <v>0</v>
      </c>
      <c r="J154" t="s">
        <v>503</v>
      </c>
      <c r="K154" t="s">
        <v>503</v>
      </c>
      <c r="L154" t="s">
        <v>70</v>
      </c>
      <c r="M154" s="3" t="s">
        <v>488</v>
      </c>
    </row>
    <row r="155" spans="1:14" hidden="1" x14ac:dyDescent="0.25">
      <c r="A155" s="1" t="str">
        <f>VLOOKUP(Table2[[#This Row],[Prod Line ]],Lists!A:E,5,0)</f>
        <v>d</v>
      </c>
      <c r="B155" s="1">
        <v>44154</v>
      </c>
      <c r="C155" s="1">
        <v>44152</v>
      </c>
      <c r="D155" s="1" t="s">
        <v>62</v>
      </c>
      <c r="E155" s="2" t="s">
        <v>406</v>
      </c>
      <c r="F155" s="1"/>
      <c r="G155" s="2">
        <v>4</v>
      </c>
      <c r="H155" s="1"/>
      <c r="I155" t="s">
        <v>1</v>
      </c>
      <c r="J155" t="s">
        <v>2</v>
      </c>
      <c r="K155" t="s">
        <v>19</v>
      </c>
      <c r="L155" t="s">
        <v>72</v>
      </c>
      <c r="M155" s="3" t="s">
        <v>515</v>
      </c>
      <c r="N155"/>
    </row>
    <row r="156" spans="1:14" hidden="1" x14ac:dyDescent="0.25">
      <c r="A156" s="1" t="str">
        <f>VLOOKUP(Table2[[#This Row],[Prod Line ]],Lists!A:E,5,0)</f>
        <v>d</v>
      </c>
      <c r="B156" s="1">
        <v>44154</v>
      </c>
      <c r="C156" s="1">
        <v>44152</v>
      </c>
      <c r="D156" s="1" t="s">
        <v>62</v>
      </c>
      <c r="E156" s="2" t="s">
        <v>405</v>
      </c>
      <c r="F156" s="1"/>
      <c r="G156" s="2">
        <v>4</v>
      </c>
      <c r="H156" s="1"/>
      <c r="I156" t="s">
        <v>0</v>
      </c>
      <c r="J156" t="s">
        <v>2</v>
      </c>
      <c r="K156" t="s">
        <v>19</v>
      </c>
      <c r="L156" t="s">
        <v>70</v>
      </c>
      <c r="M156" s="3" t="s">
        <v>516</v>
      </c>
    </row>
    <row r="157" spans="1:14" hidden="1" x14ac:dyDescent="0.25">
      <c r="A157" s="1" t="str">
        <f>VLOOKUP(Table2[[#This Row],[Prod Line ]],Lists!A:E,5,0)</f>
        <v>c</v>
      </c>
      <c r="B157" s="1">
        <v>44154</v>
      </c>
      <c r="C157" s="1">
        <v>44152</v>
      </c>
      <c r="D157" s="1" t="s">
        <v>60</v>
      </c>
      <c r="E157" s="2" t="s">
        <v>404</v>
      </c>
      <c r="F157" s="1"/>
      <c r="G157" s="2">
        <v>31</v>
      </c>
      <c r="H157" s="1"/>
      <c r="I157" t="s">
        <v>1</v>
      </c>
      <c r="J157" t="s">
        <v>64</v>
      </c>
      <c r="K157" t="s">
        <v>379</v>
      </c>
      <c r="L157" t="s">
        <v>349</v>
      </c>
      <c r="M157" s="3" t="s">
        <v>517</v>
      </c>
      <c r="N157"/>
    </row>
    <row r="158" spans="1:14" hidden="1" x14ac:dyDescent="0.25">
      <c r="A158" s="1" t="str">
        <f>VLOOKUP(Table2[[#This Row],[Prod Line ]],Lists!A:E,5,0)</f>
        <v>c</v>
      </c>
      <c r="B158" s="1">
        <v>44154</v>
      </c>
      <c r="C158" s="1">
        <v>44152</v>
      </c>
      <c r="D158" s="1" t="s">
        <v>60</v>
      </c>
      <c r="E158" s="2" t="s">
        <v>404</v>
      </c>
      <c r="F158" s="1"/>
      <c r="G158" s="2">
        <v>11</v>
      </c>
      <c r="H158" s="1"/>
      <c r="I158" t="s">
        <v>1</v>
      </c>
      <c r="J158" t="s">
        <v>26</v>
      </c>
      <c r="K158" t="s">
        <v>26</v>
      </c>
      <c r="L158" t="s">
        <v>430</v>
      </c>
      <c r="M158" s="3"/>
      <c r="N158"/>
    </row>
    <row r="159" spans="1:14" hidden="1" x14ac:dyDescent="0.25">
      <c r="A159" s="1" t="str">
        <f>VLOOKUP(Table2[[#This Row],[Prod Line ]],Lists!A:E,5,0)</f>
        <v>a</v>
      </c>
      <c r="B159" s="1">
        <v>44154</v>
      </c>
      <c r="C159" s="1">
        <v>44153</v>
      </c>
      <c r="D159" s="1" t="s">
        <v>56</v>
      </c>
      <c r="E159" s="2" t="s">
        <v>405</v>
      </c>
      <c r="F159" s="1"/>
      <c r="G159" s="2">
        <v>11</v>
      </c>
      <c r="H159" s="1"/>
      <c r="I159" t="s">
        <v>1</v>
      </c>
      <c r="J159" t="s">
        <v>5</v>
      </c>
      <c r="K159" t="s">
        <v>376</v>
      </c>
      <c r="L159" t="s">
        <v>70</v>
      </c>
      <c r="M159" s="3" t="s">
        <v>518</v>
      </c>
      <c r="N159"/>
    </row>
    <row r="160" spans="1:14" hidden="1" x14ac:dyDescent="0.25">
      <c r="A160" s="1" t="str">
        <f>VLOOKUP(Table2[[#This Row],[Prod Line ]],Lists!A:E,5,0)</f>
        <v>c</v>
      </c>
      <c r="B160" s="1">
        <v>44154</v>
      </c>
      <c r="C160" s="1">
        <v>44153</v>
      </c>
      <c r="D160" s="1" t="s">
        <v>60</v>
      </c>
      <c r="E160" s="2" t="s">
        <v>405</v>
      </c>
      <c r="F160" s="1"/>
      <c r="G160" s="2">
        <v>40</v>
      </c>
      <c r="H160" s="1"/>
      <c r="I160" t="s">
        <v>1</v>
      </c>
      <c r="J160" t="s">
        <v>2</v>
      </c>
      <c r="K160" t="s">
        <v>19</v>
      </c>
      <c r="L160" t="s">
        <v>407</v>
      </c>
      <c r="M160" s="3" t="s">
        <v>519</v>
      </c>
      <c r="N160"/>
    </row>
    <row r="161" spans="1:14" hidden="1" x14ac:dyDescent="0.25">
      <c r="A161" s="1" t="str">
        <f>VLOOKUP(Table2[[#This Row],[Prod Line ]],Lists!A:E,5,0)</f>
        <v>c</v>
      </c>
      <c r="B161" s="1">
        <v>44155</v>
      </c>
      <c r="C161" s="1">
        <v>44154</v>
      </c>
      <c r="D161" s="1" t="s">
        <v>60</v>
      </c>
      <c r="E161" s="2" t="s">
        <v>405</v>
      </c>
      <c r="F161" s="1"/>
      <c r="G161" s="2">
        <v>28</v>
      </c>
      <c r="H161" s="1"/>
      <c r="I161" t="s">
        <v>1</v>
      </c>
      <c r="J161" t="s">
        <v>2</v>
      </c>
      <c r="K161" t="s">
        <v>19</v>
      </c>
      <c r="L161" t="s">
        <v>407</v>
      </c>
      <c r="M161" s="3" t="s">
        <v>519</v>
      </c>
      <c r="N161"/>
    </row>
    <row r="162" spans="1:14" hidden="1" x14ac:dyDescent="0.25">
      <c r="A162" s="1" t="str">
        <f>VLOOKUP(Table2[[#This Row],[Prod Line ]],Lists!A:E,5,0)</f>
        <v>b</v>
      </c>
      <c r="B162" s="1">
        <v>44155</v>
      </c>
      <c r="C162" s="1">
        <v>44153</v>
      </c>
      <c r="D162" s="1" t="s">
        <v>58</v>
      </c>
      <c r="E162" s="2" t="s">
        <v>404</v>
      </c>
      <c r="F162" s="1"/>
      <c r="G162" s="2">
        <v>3</v>
      </c>
      <c r="H162" s="1"/>
      <c r="I162" t="s">
        <v>1</v>
      </c>
      <c r="J162" t="s">
        <v>64</v>
      </c>
      <c r="K162" t="s">
        <v>21</v>
      </c>
      <c r="L162" t="s">
        <v>344</v>
      </c>
      <c r="M162" s="3" t="s">
        <v>520</v>
      </c>
      <c r="N162"/>
    </row>
    <row r="163" spans="1:14" hidden="1" x14ac:dyDescent="0.25">
      <c r="A163" s="1" t="str">
        <f>VLOOKUP(Table2[[#This Row],[Prod Line ]],Lists!A:E,5,0)</f>
        <v>b</v>
      </c>
      <c r="B163" s="1">
        <v>44155</v>
      </c>
      <c r="C163" s="1">
        <v>44153</v>
      </c>
      <c r="D163" s="1" t="s">
        <v>58</v>
      </c>
      <c r="E163" s="2" t="s">
        <v>404</v>
      </c>
      <c r="F163" s="1"/>
      <c r="G163" s="2">
        <v>18</v>
      </c>
      <c r="H163" s="1"/>
      <c r="I163" t="s">
        <v>1</v>
      </c>
      <c r="J163" t="s">
        <v>5</v>
      </c>
      <c r="K163" t="s">
        <v>38</v>
      </c>
      <c r="L163" t="s">
        <v>70</v>
      </c>
      <c r="M163" s="3" t="s">
        <v>521</v>
      </c>
      <c r="N163"/>
    </row>
    <row r="164" spans="1:14" hidden="1" x14ac:dyDescent="0.25">
      <c r="A164" s="1" t="str">
        <f>VLOOKUP(Table2[[#This Row],[Prod Line ]],Lists!A:E,5,0)</f>
        <v>d</v>
      </c>
      <c r="B164" s="1">
        <v>44155</v>
      </c>
      <c r="C164" s="1">
        <v>44153</v>
      </c>
      <c r="D164" s="1" t="s">
        <v>62</v>
      </c>
      <c r="E164" s="2" t="s">
        <v>404</v>
      </c>
      <c r="F164" s="1"/>
      <c r="G164" s="2">
        <v>15</v>
      </c>
      <c r="H164" s="1"/>
      <c r="I164" t="s">
        <v>1</v>
      </c>
      <c r="J164" t="s">
        <v>2</v>
      </c>
      <c r="K164" t="s">
        <v>19</v>
      </c>
      <c r="L164" t="s">
        <v>407</v>
      </c>
      <c r="M164" s="3" t="s">
        <v>522</v>
      </c>
      <c r="N164"/>
    </row>
    <row r="165" spans="1:14" hidden="1" x14ac:dyDescent="0.25">
      <c r="A165" s="1" t="str">
        <f>VLOOKUP(Table2[[#This Row],[Prod Line ]],Lists!A:E,5,0)</f>
        <v>d</v>
      </c>
      <c r="B165" s="1">
        <v>44155</v>
      </c>
      <c r="C165" s="1">
        <v>44153</v>
      </c>
      <c r="D165" s="1" t="s">
        <v>62</v>
      </c>
      <c r="E165" s="2" t="s">
        <v>404</v>
      </c>
      <c r="F165" s="1"/>
      <c r="G165" s="2">
        <v>25</v>
      </c>
      <c r="H165" s="1"/>
      <c r="I165" t="s">
        <v>1</v>
      </c>
      <c r="J165" t="s">
        <v>2</v>
      </c>
      <c r="K165" t="s">
        <v>19</v>
      </c>
      <c r="L165" t="s">
        <v>407</v>
      </c>
      <c r="M165" s="3" t="s">
        <v>523</v>
      </c>
      <c r="N165"/>
    </row>
    <row r="166" spans="1:14" hidden="1" x14ac:dyDescent="0.25">
      <c r="A166" s="1" t="str">
        <f>VLOOKUP(Table2[[#This Row],[Prod Line ]],Lists!A:E,5,0)</f>
        <v>d</v>
      </c>
      <c r="B166" s="1">
        <v>44155</v>
      </c>
      <c r="C166" s="1">
        <v>44153</v>
      </c>
      <c r="D166" s="1" t="s">
        <v>62</v>
      </c>
      <c r="E166" s="2" t="s">
        <v>405</v>
      </c>
      <c r="F166" s="1"/>
      <c r="G166" s="2">
        <v>5</v>
      </c>
      <c r="H166" s="1"/>
      <c r="I166" t="s">
        <v>1</v>
      </c>
      <c r="J166" t="s">
        <v>2</v>
      </c>
      <c r="K166" t="s">
        <v>19</v>
      </c>
      <c r="L166" t="s">
        <v>407</v>
      </c>
      <c r="M166" s="3" t="s">
        <v>524</v>
      </c>
      <c r="N166"/>
    </row>
    <row r="167" spans="1:14" hidden="1" x14ac:dyDescent="0.25">
      <c r="A167" s="1" t="str">
        <f>VLOOKUP(Table2[[#This Row],[Prod Line ]],Lists!A:E,5,0)</f>
        <v>d</v>
      </c>
      <c r="B167" s="1">
        <v>44155</v>
      </c>
      <c r="C167" s="1">
        <v>44153</v>
      </c>
      <c r="D167" s="1" t="s">
        <v>62</v>
      </c>
      <c r="E167" s="2" t="s">
        <v>405</v>
      </c>
      <c r="F167" s="1"/>
      <c r="G167" s="2">
        <v>5</v>
      </c>
      <c r="H167" s="1"/>
      <c r="I167" t="s">
        <v>1</v>
      </c>
      <c r="J167" t="s">
        <v>5</v>
      </c>
      <c r="L167" t="s">
        <v>407</v>
      </c>
      <c r="M167" s="3" t="s">
        <v>525</v>
      </c>
      <c r="N167"/>
    </row>
    <row r="168" spans="1:14" hidden="1" x14ac:dyDescent="0.25">
      <c r="A168" s="1" t="str">
        <f>VLOOKUP(Table2[[#This Row],[Prod Line ]],Lists!A:E,5,0)</f>
        <v>d</v>
      </c>
      <c r="B168" s="1">
        <v>44155</v>
      </c>
      <c r="C168" s="1">
        <v>44153</v>
      </c>
      <c r="D168" s="1" t="s">
        <v>62</v>
      </c>
      <c r="E168" s="2" t="s">
        <v>405</v>
      </c>
      <c r="F168" s="1"/>
      <c r="G168" s="2">
        <v>8</v>
      </c>
      <c r="H168" s="1"/>
      <c r="I168" t="s">
        <v>1</v>
      </c>
      <c r="J168" t="s">
        <v>2</v>
      </c>
      <c r="K168" t="s">
        <v>19</v>
      </c>
      <c r="L168" t="s">
        <v>407</v>
      </c>
      <c r="M168" s="3" t="s">
        <v>522</v>
      </c>
      <c r="N168"/>
    </row>
    <row r="169" spans="1:14" hidden="1" x14ac:dyDescent="0.25">
      <c r="A169" s="1" t="str">
        <f>VLOOKUP(Table2[[#This Row],[Prod Line ]],Lists!A:E,5,0)</f>
        <v>d</v>
      </c>
      <c r="B169" s="1">
        <v>44155</v>
      </c>
      <c r="C169" s="1">
        <v>44153</v>
      </c>
      <c r="D169" s="1" t="s">
        <v>62</v>
      </c>
      <c r="E169" s="2" t="s">
        <v>406</v>
      </c>
      <c r="F169" s="1"/>
      <c r="G169" s="2">
        <v>18</v>
      </c>
      <c r="H169" s="1"/>
      <c r="I169" t="s">
        <v>1</v>
      </c>
      <c r="J169" t="s">
        <v>2</v>
      </c>
      <c r="K169" t="s">
        <v>19</v>
      </c>
      <c r="L169" t="s">
        <v>407</v>
      </c>
      <c r="M169" s="3" t="s">
        <v>526</v>
      </c>
      <c r="N169"/>
    </row>
    <row r="170" spans="1:14" hidden="1" x14ac:dyDescent="0.25">
      <c r="A170" s="1" t="str">
        <f>VLOOKUP(Table2[[#This Row],[Prod Line ]],Lists!A:E,5,0)</f>
        <v>d</v>
      </c>
      <c r="B170" s="1">
        <v>44155</v>
      </c>
      <c r="C170" s="1">
        <v>44154</v>
      </c>
      <c r="D170" s="1" t="s">
        <v>62</v>
      </c>
      <c r="E170" s="2" t="s">
        <v>404</v>
      </c>
      <c r="F170" s="1"/>
      <c r="G170" s="2">
        <v>20</v>
      </c>
      <c r="H170" s="1" t="s">
        <v>75</v>
      </c>
      <c r="I170" t="s">
        <v>1</v>
      </c>
      <c r="L170" t="s">
        <v>407</v>
      </c>
      <c r="M170" t="s">
        <v>530</v>
      </c>
      <c r="N170"/>
    </row>
    <row r="171" spans="1:14" hidden="1" x14ac:dyDescent="0.25">
      <c r="A171" s="1" t="str">
        <f>VLOOKUP(Table2[[#This Row],[Prod Line ]],Lists!A:E,5,0)</f>
        <v>a</v>
      </c>
      <c r="B171" s="1">
        <v>44156</v>
      </c>
      <c r="C171" s="1">
        <v>44154</v>
      </c>
      <c r="D171" s="1" t="s">
        <v>56</v>
      </c>
      <c r="E171" s="2" t="s">
        <v>404</v>
      </c>
      <c r="F171" s="1"/>
      <c r="G171" s="2">
        <v>20</v>
      </c>
      <c r="H171" s="1"/>
      <c r="I171" t="s">
        <v>1</v>
      </c>
      <c r="J171" t="s">
        <v>5</v>
      </c>
      <c r="K171" t="s">
        <v>376</v>
      </c>
      <c r="L171" t="s">
        <v>407</v>
      </c>
      <c r="M171" s="3" t="s">
        <v>527</v>
      </c>
      <c r="N171"/>
    </row>
    <row r="172" spans="1:14" hidden="1" x14ac:dyDescent="0.25">
      <c r="A172" s="1" t="str">
        <f>VLOOKUP(Table2[[#This Row],[Prod Line ]],Lists!A:E,5,0)</f>
        <v>c</v>
      </c>
      <c r="B172" s="1">
        <v>44156</v>
      </c>
      <c r="C172" s="1">
        <v>44154</v>
      </c>
      <c r="D172" s="1" t="s">
        <v>60</v>
      </c>
      <c r="E172" s="2" t="s">
        <v>404</v>
      </c>
      <c r="F172" s="1"/>
      <c r="G172" s="2">
        <v>43</v>
      </c>
      <c r="H172" s="1"/>
      <c r="I172" t="s">
        <v>1</v>
      </c>
      <c r="J172" t="s">
        <v>2</v>
      </c>
      <c r="K172" t="s">
        <v>19</v>
      </c>
      <c r="L172" t="s">
        <v>407</v>
      </c>
      <c r="M172" s="3" t="s">
        <v>533</v>
      </c>
      <c r="N172"/>
    </row>
    <row r="173" spans="1:14" hidden="1" x14ac:dyDescent="0.25">
      <c r="A173" s="1" t="str">
        <f>VLOOKUP(Table2[[#This Row],[Prod Line ]],Lists!A:E,5,0)</f>
        <v>c</v>
      </c>
      <c r="B173" s="1">
        <v>44156</v>
      </c>
      <c r="C173" s="1">
        <v>44154</v>
      </c>
      <c r="D173" s="1" t="s">
        <v>60</v>
      </c>
      <c r="E173" s="2" t="s">
        <v>405</v>
      </c>
      <c r="F173" s="1"/>
      <c r="G173" s="2">
        <v>28</v>
      </c>
      <c r="H173" s="1"/>
      <c r="I173" t="s">
        <v>1</v>
      </c>
      <c r="J173" t="s">
        <v>2</v>
      </c>
      <c r="K173" t="s">
        <v>378</v>
      </c>
      <c r="L173" t="s">
        <v>407</v>
      </c>
      <c r="M173" s="3" t="s">
        <v>532</v>
      </c>
      <c r="N173"/>
    </row>
    <row r="174" spans="1:14" hidden="1" x14ac:dyDescent="0.25">
      <c r="A174" s="1" t="str">
        <f>VLOOKUP(Table2[[#This Row],[Prod Line ]],Lists!A:E,5,0)</f>
        <v>b</v>
      </c>
      <c r="B174" s="1">
        <v>44156</v>
      </c>
      <c r="C174" s="1">
        <v>44154</v>
      </c>
      <c r="D174" s="1" t="s">
        <v>58</v>
      </c>
      <c r="E174" s="2" t="s">
        <v>404</v>
      </c>
      <c r="F174" s="1"/>
      <c r="G174" s="2">
        <v>3</v>
      </c>
      <c r="H174" s="1"/>
      <c r="I174" t="s">
        <v>1</v>
      </c>
      <c r="J174" t="s">
        <v>2</v>
      </c>
      <c r="K174" t="s">
        <v>19</v>
      </c>
      <c r="L174" t="s">
        <v>407</v>
      </c>
      <c r="M174" s="3" t="s">
        <v>528</v>
      </c>
      <c r="N174"/>
    </row>
    <row r="175" spans="1:14" hidden="1" x14ac:dyDescent="0.25">
      <c r="A175" s="1" t="str">
        <f>VLOOKUP(Table2[[#This Row],[Prod Line ]],Lists!A:E,5,0)</f>
        <v>d</v>
      </c>
      <c r="B175" s="1">
        <v>44156</v>
      </c>
      <c r="C175" s="1">
        <v>44154</v>
      </c>
      <c r="D175" s="1" t="s">
        <v>62</v>
      </c>
      <c r="E175" s="2" t="s">
        <v>405</v>
      </c>
      <c r="F175" s="1"/>
      <c r="G175" s="2">
        <v>11</v>
      </c>
      <c r="H175" s="1"/>
      <c r="I175" t="s">
        <v>1</v>
      </c>
      <c r="J175" t="s">
        <v>64</v>
      </c>
      <c r="K175" t="s">
        <v>379</v>
      </c>
      <c r="L175" t="s">
        <v>407</v>
      </c>
      <c r="M175" s="3" t="s">
        <v>529</v>
      </c>
      <c r="N175"/>
    </row>
    <row r="176" spans="1:14" hidden="1" x14ac:dyDescent="0.25">
      <c r="A176" s="1" t="str">
        <f>VLOOKUP(Table2[[#This Row],[Prod Line ]],Lists!A:E,5,0)</f>
        <v>c</v>
      </c>
      <c r="B176" s="1">
        <v>44156</v>
      </c>
      <c r="C176" s="1">
        <v>44154</v>
      </c>
      <c r="D176" s="1" t="s">
        <v>358</v>
      </c>
      <c r="E176" s="2" t="s">
        <v>405</v>
      </c>
      <c r="F176" s="1"/>
      <c r="G176" s="2">
        <v>3</v>
      </c>
      <c r="H176" s="1"/>
      <c r="I176" t="s">
        <v>1</v>
      </c>
      <c r="J176" t="s">
        <v>64</v>
      </c>
      <c r="L176" t="s">
        <v>430</v>
      </c>
      <c r="M176" s="3" t="s">
        <v>531</v>
      </c>
      <c r="N176"/>
    </row>
    <row r="177" spans="1:14" hidden="1" x14ac:dyDescent="0.25">
      <c r="A177" s="1" t="str">
        <f>VLOOKUP(Table2[[#This Row],[Prod Line ]],Lists!A:E,5,0)</f>
        <v>b</v>
      </c>
      <c r="B177" s="1">
        <v>44158</v>
      </c>
      <c r="C177" s="1">
        <v>44156</v>
      </c>
      <c r="D177" s="1" t="s">
        <v>58</v>
      </c>
      <c r="E177" s="2" t="s">
        <v>405</v>
      </c>
      <c r="F177" s="1"/>
      <c r="G177" s="2">
        <v>7</v>
      </c>
      <c r="H177" s="1"/>
      <c r="I177" t="s">
        <v>1</v>
      </c>
      <c r="J177" t="s">
        <v>2</v>
      </c>
      <c r="K177" t="s">
        <v>19</v>
      </c>
      <c r="L177" t="s">
        <v>407</v>
      </c>
      <c r="M177" s="3" t="s">
        <v>534</v>
      </c>
      <c r="N177"/>
    </row>
    <row r="178" spans="1:14" hidden="1" x14ac:dyDescent="0.25">
      <c r="A178" s="1" t="str">
        <f>VLOOKUP(Table2[[#This Row],[Prod Line ]],Lists!A:E,5,0)</f>
        <v>b</v>
      </c>
      <c r="B178" s="1">
        <v>44158</v>
      </c>
      <c r="C178" s="1">
        <v>44156</v>
      </c>
      <c r="D178" s="1" t="s">
        <v>58</v>
      </c>
      <c r="E178" s="2" t="s">
        <v>406</v>
      </c>
      <c r="F178" s="1"/>
      <c r="G178" s="2">
        <v>6</v>
      </c>
      <c r="H178" s="1"/>
      <c r="I178" t="s">
        <v>1</v>
      </c>
      <c r="J178" t="s">
        <v>65</v>
      </c>
      <c r="L178" t="s">
        <v>407</v>
      </c>
      <c r="M178" s="3" t="s">
        <v>535</v>
      </c>
      <c r="N178"/>
    </row>
    <row r="179" spans="1:14" hidden="1" x14ac:dyDescent="0.25">
      <c r="A179" s="1" t="str">
        <f>VLOOKUP(Table2[[#This Row],[Prod Line ]],Lists!A:E,5,0)</f>
        <v>c</v>
      </c>
      <c r="B179" s="1">
        <v>44159</v>
      </c>
      <c r="C179" s="1">
        <v>44157</v>
      </c>
      <c r="D179" s="1" t="s">
        <v>60</v>
      </c>
      <c r="E179" s="2" t="s">
        <v>404</v>
      </c>
      <c r="F179" s="1"/>
      <c r="G179" s="2">
        <v>12</v>
      </c>
      <c r="H179" s="1"/>
      <c r="I179" t="s">
        <v>0</v>
      </c>
      <c r="J179" t="s">
        <v>2</v>
      </c>
      <c r="K179" t="s">
        <v>19</v>
      </c>
      <c r="L179" t="s">
        <v>70</v>
      </c>
      <c r="M179" s="3" t="s">
        <v>536</v>
      </c>
    </row>
    <row r="180" spans="1:14" hidden="1" x14ac:dyDescent="0.25">
      <c r="A180" s="1" t="str">
        <f>VLOOKUP(Table2[[#This Row],[Prod Line ]],Lists!A:E,5,0)</f>
        <v>d</v>
      </c>
      <c r="B180" s="1">
        <v>44159</v>
      </c>
      <c r="C180" s="1">
        <v>44157</v>
      </c>
      <c r="D180" s="1" t="s">
        <v>62</v>
      </c>
      <c r="E180" s="2" t="s">
        <v>405</v>
      </c>
      <c r="F180" s="1"/>
      <c r="G180" s="2">
        <v>5</v>
      </c>
      <c r="H180" s="1"/>
      <c r="I180" t="s">
        <v>1</v>
      </c>
      <c r="J180" t="s">
        <v>64</v>
      </c>
      <c r="K180" t="s">
        <v>379</v>
      </c>
      <c r="L180" t="s">
        <v>407</v>
      </c>
      <c r="M180" s="3" t="s">
        <v>537</v>
      </c>
      <c r="N180"/>
    </row>
    <row r="181" spans="1:14" hidden="1" x14ac:dyDescent="0.25">
      <c r="A181" s="1" t="str">
        <f>VLOOKUP(Table2[[#This Row],[Prod Line ]],Lists!A:E,5,0)</f>
        <v>d</v>
      </c>
      <c r="B181" s="1">
        <v>44159</v>
      </c>
      <c r="C181" s="1">
        <v>44157</v>
      </c>
      <c r="D181" s="1" t="s">
        <v>62</v>
      </c>
      <c r="E181" s="2" t="s">
        <v>405</v>
      </c>
      <c r="F181" s="1"/>
      <c r="G181" s="2">
        <v>11</v>
      </c>
      <c r="H181" s="1"/>
      <c r="I181" t="s">
        <v>1</v>
      </c>
      <c r="J181" t="s">
        <v>2</v>
      </c>
      <c r="K181" t="s">
        <v>19</v>
      </c>
      <c r="L181" t="s">
        <v>407</v>
      </c>
      <c r="M181" s="3" t="s">
        <v>522</v>
      </c>
      <c r="N181"/>
    </row>
    <row r="182" spans="1:14" hidden="1" x14ac:dyDescent="0.25">
      <c r="A182" s="1" t="str">
        <f>VLOOKUP(Table2[[#This Row],[Prod Line ]],Lists!A:E,5,0)</f>
        <v>b</v>
      </c>
      <c r="B182" s="1">
        <v>44159</v>
      </c>
      <c r="C182" s="1">
        <v>44157</v>
      </c>
      <c r="D182" s="1" t="s">
        <v>58</v>
      </c>
      <c r="E182" s="2" t="s">
        <v>404</v>
      </c>
      <c r="F182" s="1"/>
      <c r="G182" s="2">
        <v>26</v>
      </c>
      <c r="H182" s="1"/>
      <c r="I182" t="s">
        <v>1</v>
      </c>
      <c r="J182" t="s">
        <v>5</v>
      </c>
      <c r="K182" t="s">
        <v>39</v>
      </c>
      <c r="L182" t="s">
        <v>407</v>
      </c>
      <c r="M182" s="3" t="s">
        <v>538</v>
      </c>
      <c r="N182"/>
    </row>
    <row r="183" spans="1:14" hidden="1" x14ac:dyDescent="0.25">
      <c r="A183" s="1" t="str">
        <f>VLOOKUP(Table2[[#This Row],[Prod Line ]],Lists!A:E,5,0)</f>
        <v>a</v>
      </c>
      <c r="B183" s="1">
        <v>44160</v>
      </c>
      <c r="C183" s="1">
        <v>44158</v>
      </c>
      <c r="D183" s="1" t="s">
        <v>56</v>
      </c>
      <c r="E183" s="2" t="s">
        <v>404</v>
      </c>
      <c r="F183" s="1"/>
      <c r="G183" s="2">
        <v>20</v>
      </c>
      <c r="H183" s="1"/>
      <c r="I183" t="s">
        <v>0</v>
      </c>
      <c r="J183" t="s">
        <v>67</v>
      </c>
      <c r="K183" t="s">
        <v>67</v>
      </c>
      <c r="L183" t="s">
        <v>70</v>
      </c>
      <c r="M183" s="3" t="s">
        <v>539</v>
      </c>
    </row>
    <row r="184" spans="1:14" hidden="1" x14ac:dyDescent="0.25">
      <c r="A184" s="1" t="str">
        <f>VLOOKUP(Table2[[#This Row],[Prod Line ]],Lists!A:E,5,0)</f>
        <v>a</v>
      </c>
      <c r="B184" s="1">
        <v>44160</v>
      </c>
      <c r="C184" s="1">
        <v>44158</v>
      </c>
      <c r="D184" s="1" t="s">
        <v>56</v>
      </c>
      <c r="E184" s="2" t="s">
        <v>404</v>
      </c>
      <c r="F184" s="1"/>
      <c r="G184" s="2">
        <v>5</v>
      </c>
      <c r="H184" s="1"/>
      <c r="I184" t="s">
        <v>1</v>
      </c>
      <c r="J184" t="s">
        <v>67</v>
      </c>
      <c r="K184" t="s">
        <v>67</v>
      </c>
      <c r="L184" t="s">
        <v>407</v>
      </c>
      <c r="M184" s="3" t="s">
        <v>540</v>
      </c>
      <c r="N184"/>
    </row>
    <row r="185" spans="1:14" hidden="1" x14ac:dyDescent="0.25">
      <c r="A185" s="1" t="str">
        <f>VLOOKUP(Table2[[#This Row],[Prod Line ]],Lists!A:E,5,0)</f>
        <v>c</v>
      </c>
      <c r="B185" s="1">
        <v>44160</v>
      </c>
      <c r="C185" s="1">
        <v>44157</v>
      </c>
      <c r="D185" s="1" t="s">
        <v>60</v>
      </c>
      <c r="E185" s="2" t="s">
        <v>405</v>
      </c>
      <c r="F185" s="1"/>
      <c r="G185" s="2">
        <v>20</v>
      </c>
      <c r="H185" s="1"/>
      <c r="I185" t="s">
        <v>1</v>
      </c>
      <c r="J185" t="s">
        <v>2</v>
      </c>
      <c r="K185" t="s">
        <v>19</v>
      </c>
      <c r="L185" t="s">
        <v>407</v>
      </c>
      <c r="M185" s="3" t="s">
        <v>541</v>
      </c>
      <c r="N185"/>
    </row>
    <row r="186" spans="1:14" hidden="1" x14ac:dyDescent="0.25">
      <c r="A186" s="1" t="str">
        <f>VLOOKUP(Table2[[#This Row],[Prod Line ]],Lists!A:E,5,0)</f>
        <v>d</v>
      </c>
      <c r="B186" s="1">
        <v>44160</v>
      </c>
      <c r="C186" s="1">
        <v>44158</v>
      </c>
      <c r="D186" s="1" t="s">
        <v>62</v>
      </c>
      <c r="E186" s="2" t="s">
        <v>404</v>
      </c>
      <c r="F186" s="1"/>
      <c r="G186" s="2">
        <v>8</v>
      </c>
      <c r="H186" s="1"/>
      <c r="I186" t="s">
        <v>0</v>
      </c>
      <c r="J186" t="s">
        <v>2</v>
      </c>
      <c r="K186" t="s">
        <v>17</v>
      </c>
      <c r="L186" t="s">
        <v>70</v>
      </c>
      <c r="M186" s="3" t="s">
        <v>542</v>
      </c>
    </row>
    <row r="187" spans="1:14" hidden="1" x14ac:dyDescent="0.25">
      <c r="A187" s="1" t="str">
        <f>VLOOKUP(Table2[[#This Row],[Prod Line ]],Lists!A:E,5,0)</f>
        <v>d</v>
      </c>
      <c r="B187" s="1">
        <v>44160</v>
      </c>
      <c r="C187" s="1">
        <v>44158</v>
      </c>
      <c r="D187" s="1" t="s">
        <v>62</v>
      </c>
      <c r="E187" s="2" t="s">
        <v>404</v>
      </c>
      <c r="F187" s="1"/>
      <c r="G187" s="2">
        <v>10</v>
      </c>
      <c r="H187" s="1"/>
      <c r="I187" t="s">
        <v>1</v>
      </c>
      <c r="J187" t="s">
        <v>2</v>
      </c>
      <c r="K187" t="s">
        <v>19</v>
      </c>
      <c r="L187" t="s">
        <v>407</v>
      </c>
      <c r="M187" s="3" t="s">
        <v>543</v>
      </c>
      <c r="N187"/>
    </row>
    <row r="188" spans="1:14" hidden="1" x14ac:dyDescent="0.25">
      <c r="A188" s="1" t="str">
        <f>VLOOKUP(Table2[[#This Row],[Prod Line ]],Lists!A:E,5,0)</f>
        <v>d</v>
      </c>
      <c r="B188" s="1">
        <v>44160</v>
      </c>
      <c r="C188" s="1">
        <v>44158</v>
      </c>
      <c r="D188" s="1" t="s">
        <v>62</v>
      </c>
      <c r="E188" s="2" t="s">
        <v>406</v>
      </c>
      <c r="F188" s="1"/>
      <c r="G188" s="2">
        <v>10</v>
      </c>
      <c r="H188" s="1"/>
      <c r="I188" t="s">
        <v>1</v>
      </c>
      <c r="J188" t="s">
        <v>64</v>
      </c>
      <c r="K188" t="s">
        <v>379</v>
      </c>
      <c r="L188" t="s">
        <v>407</v>
      </c>
      <c r="M188" s="3" t="s">
        <v>537</v>
      </c>
      <c r="N188"/>
    </row>
    <row r="189" spans="1:14" hidden="1" x14ac:dyDescent="0.25">
      <c r="A189" s="1" t="str">
        <f>VLOOKUP(Table2[[#This Row],[Prod Line ]],Lists!A:E,5,0)</f>
        <v>d</v>
      </c>
      <c r="B189" s="1">
        <v>44160</v>
      </c>
      <c r="C189" s="1">
        <v>44158</v>
      </c>
      <c r="D189" s="1" t="s">
        <v>62</v>
      </c>
      <c r="E189" s="2" t="s">
        <v>406</v>
      </c>
      <c r="F189" s="1"/>
      <c r="G189" s="2">
        <v>3</v>
      </c>
      <c r="H189" s="1"/>
      <c r="I189" t="s">
        <v>1</v>
      </c>
      <c r="J189" t="s">
        <v>2</v>
      </c>
      <c r="K189" t="s">
        <v>19</v>
      </c>
      <c r="L189" t="s">
        <v>407</v>
      </c>
      <c r="M189" s="3" t="s">
        <v>544</v>
      </c>
      <c r="N189"/>
    </row>
    <row r="190" spans="1:14" hidden="1" x14ac:dyDescent="0.25">
      <c r="A190" s="1" t="str">
        <f>VLOOKUP(Table2[[#This Row],[Prod Line ]],Lists!A:E,5,0)</f>
        <v>b</v>
      </c>
      <c r="B190" s="1">
        <v>44160</v>
      </c>
      <c r="C190" s="1">
        <v>44159</v>
      </c>
      <c r="D190" s="1" t="s">
        <v>58</v>
      </c>
      <c r="E190" s="2" t="s">
        <v>404</v>
      </c>
      <c r="F190" s="1"/>
      <c r="G190" s="2">
        <v>8</v>
      </c>
      <c r="H190" s="1"/>
      <c r="I190" t="s">
        <v>1</v>
      </c>
      <c r="J190" t="s">
        <v>2</v>
      </c>
      <c r="L190" t="s">
        <v>407</v>
      </c>
      <c r="M190" s="3" t="s">
        <v>546</v>
      </c>
      <c r="N190"/>
    </row>
    <row r="191" spans="1:14" hidden="1" x14ac:dyDescent="0.25">
      <c r="A191" s="1" t="str">
        <f>VLOOKUP(Table2[[#This Row],[Prod Line ]],Lists!A:E,5,0)</f>
        <v>c</v>
      </c>
      <c r="B191" s="1">
        <v>44163</v>
      </c>
      <c r="C191" s="1">
        <v>44159</v>
      </c>
      <c r="D191" s="1" t="s">
        <v>60</v>
      </c>
      <c r="E191" s="2" t="s">
        <v>404</v>
      </c>
      <c r="F191" s="1"/>
      <c r="G191" s="2">
        <v>10</v>
      </c>
      <c r="H191" s="1"/>
      <c r="I191" t="s">
        <v>1</v>
      </c>
      <c r="J191" t="s">
        <v>64</v>
      </c>
      <c r="K191" t="s">
        <v>380</v>
      </c>
      <c r="L191" t="s">
        <v>407</v>
      </c>
      <c r="M191" s="3" t="s">
        <v>545</v>
      </c>
      <c r="N191"/>
    </row>
    <row r="192" spans="1:14" hidden="1" x14ac:dyDescent="0.25">
      <c r="A192" s="1" t="str">
        <f>VLOOKUP(Table2[[#This Row],[Prod Line ]],Lists!A:E,5,0)</f>
        <v>d</v>
      </c>
      <c r="B192" s="1">
        <v>44163</v>
      </c>
      <c r="C192" s="1">
        <v>44160</v>
      </c>
      <c r="D192" s="1" t="s">
        <v>62</v>
      </c>
      <c r="E192" s="2" t="s">
        <v>406</v>
      </c>
      <c r="F192" s="1"/>
      <c r="G192" s="2">
        <v>3</v>
      </c>
      <c r="H192" s="1"/>
      <c r="I192" t="s">
        <v>1</v>
      </c>
      <c r="J192" t="s">
        <v>64</v>
      </c>
      <c r="L192" t="s">
        <v>407</v>
      </c>
      <c r="M192" s="3" t="s">
        <v>431</v>
      </c>
      <c r="N192"/>
    </row>
    <row r="193" spans="1:14" hidden="1" x14ac:dyDescent="0.25">
      <c r="A193" s="1" t="str">
        <f>VLOOKUP(Table2[[#This Row],[Prod Line ]],Lists!A:E,5,0)</f>
        <v>a</v>
      </c>
      <c r="B193" s="1">
        <v>44163</v>
      </c>
      <c r="C193" s="1">
        <v>44160</v>
      </c>
      <c r="D193" s="1" t="s">
        <v>56</v>
      </c>
      <c r="E193" s="2" t="s">
        <v>404</v>
      </c>
      <c r="F193" s="1"/>
      <c r="G193" s="2">
        <v>30</v>
      </c>
      <c r="H193" s="1"/>
      <c r="I193" t="s">
        <v>1</v>
      </c>
      <c r="J193" t="s">
        <v>2</v>
      </c>
      <c r="K193" t="s">
        <v>19</v>
      </c>
      <c r="L193" t="s">
        <v>349</v>
      </c>
      <c r="M193" s="3" t="s">
        <v>547</v>
      </c>
      <c r="N193"/>
    </row>
    <row r="194" spans="1:14" hidden="1" x14ac:dyDescent="0.25">
      <c r="A194" s="1" t="str">
        <f>VLOOKUP(Table2[[#This Row],[Prod Line ]],Lists!A:E,5,0)</f>
        <v>a</v>
      </c>
      <c r="B194" s="1">
        <v>44163</v>
      </c>
      <c r="C194" s="1">
        <v>44160</v>
      </c>
      <c r="D194" s="1" t="s">
        <v>56</v>
      </c>
      <c r="E194" s="2" t="s">
        <v>404</v>
      </c>
      <c r="F194" s="1"/>
      <c r="G194" s="2">
        <v>10</v>
      </c>
      <c r="H194" s="1"/>
      <c r="I194" t="s">
        <v>1</v>
      </c>
      <c r="J194" t="s">
        <v>64</v>
      </c>
      <c r="K194" t="s">
        <v>370</v>
      </c>
      <c r="L194" t="s">
        <v>407</v>
      </c>
      <c r="M194" s="3" t="s">
        <v>548</v>
      </c>
      <c r="N194"/>
    </row>
    <row r="195" spans="1:14" hidden="1" x14ac:dyDescent="0.25">
      <c r="A195" s="1" t="str">
        <f>VLOOKUP(Table2[[#This Row],[Prod Line ]],Lists!A:E,5,0)</f>
        <v>b</v>
      </c>
      <c r="B195" s="1">
        <v>44163</v>
      </c>
      <c r="C195" s="1">
        <v>44160</v>
      </c>
      <c r="D195" s="1" t="s">
        <v>58</v>
      </c>
      <c r="E195" s="2" t="s">
        <v>404</v>
      </c>
      <c r="F195" s="1"/>
      <c r="G195" s="2">
        <v>7</v>
      </c>
      <c r="H195" s="1"/>
      <c r="I195" t="s">
        <v>1</v>
      </c>
      <c r="J195" t="s">
        <v>2</v>
      </c>
      <c r="K195" t="s">
        <v>19</v>
      </c>
      <c r="L195" t="s">
        <v>72</v>
      </c>
      <c r="M195" s="3" t="s">
        <v>549</v>
      </c>
      <c r="N195"/>
    </row>
    <row r="196" spans="1:14" hidden="1" x14ac:dyDescent="0.25">
      <c r="A196" s="1" t="str">
        <f>VLOOKUP(Table2[[#This Row],[Prod Line ]],Lists!A:E,5,0)</f>
        <v>c</v>
      </c>
      <c r="B196" s="1">
        <v>44163</v>
      </c>
      <c r="C196" s="1">
        <v>44160</v>
      </c>
      <c r="D196" s="1" t="s">
        <v>60</v>
      </c>
      <c r="E196" s="2" t="s">
        <v>405</v>
      </c>
      <c r="F196" s="1"/>
      <c r="G196" s="2">
        <v>5</v>
      </c>
      <c r="H196" s="1"/>
      <c r="I196" t="s">
        <v>1</v>
      </c>
      <c r="J196" t="s">
        <v>2</v>
      </c>
      <c r="K196" t="s">
        <v>378</v>
      </c>
      <c r="L196" t="s">
        <v>349</v>
      </c>
      <c r="M196" s="3" t="s">
        <v>550</v>
      </c>
      <c r="N196"/>
    </row>
    <row r="197" spans="1:14" hidden="1" x14ac:dyDescent="0.25">
      <c r="A197" s="1" t="str">
        <f>VLOOKUP(Table2[[#This Row],[Prod Line ]],Lists!A:E,5,0)</f>
        <v>c</v>
      </c>
      <c r="B197" s="1">
        <v>44163</v>
      </c>
      <c r="C197" s="1">
        <v>44160</v>
      </c>
      <c r="D197" s="1" t="s">
        <v>60</v>
      </c>
      <c r="E197" s="2" t="s">
        <v>405</v>
      </c>
      <c r="F197" s="1"/>
      <c r="G197" s="2">
        <v>10</v>
      </c>
      <c r="H197" s="1"/>
      <c r="I197" t="s">
        <v>1</v>
      </c>
      <c r="J197" t="s">
        <v>64</v>
      </c>
      <c r="K197" t="s">
        <v>379</v>
      </c>
      <c r="L197" t="s">
        <v>407</v>
      </c>
      <c r="M197" s="3" t="s">
        <v>551</v>
      </c>
      <c r="N197"/>
    </row>
    <row r="198" spans="1:14" hidden="1" x14ac:dyDescent="0.25">
      <c r="A198" s="1" t="str">
        <f>VLOOKUP(Table2[[#This Row],[Prod Line ]],Lists!A:E,5,0)</f>
        <v>d</v>
      </c>
      <c r="B198" s="1">
        <v>44163</v>
      </c>
      <c r="C198" s="1">
        <v>44160</v>
      </c>
      <c r="D198" s="1" t="s">
        <v>62</v>
      </c>
      <c r="E198" s="2" t="s">
        <v>404</v>
      </c>
      <c r="F198" s="1"/>
      <c r="G198" s="2">
        <v>10</v>
      </c>
      <c r="H198" s="1"/>
      <c r="I198" t="s">
        <v>1</v>
      </c>
      <c r="J198" t="s">
        <v>64</v>
      </c>
      <c r="K198" t="s">
        <v>379</v>
      </c>
      <c r="L198" t="s">
        <v>407</v>
      </c>
      <c r="M198" s="3" t="s">
        <v>552</v>
      </c>
      <c r="N198"/>
    </row>
    <row r="199" spans="1:14" hidden="1" x14ac:dyDescent="0.25">
      <c r="A199" s="1" t="str">
        <f>VLOOKUP(Table2[[#This Row],[Prod Line ]],Lists!A:E,5,0)</f>
        <v>d</v>
      </c>
      <c r="B199" s="1">
        <v>44163</v>
      </c>
      <c r="C199" s="1">
        <v>44160</v>
      </c>
      <c r="D199" s="1" t="s">
        <v>62</v>
      </c>
      <c r="E199" s="2" t="s">
        <v>404</v>
      </c>
      <c r="F199" s="1"/>
      <c r="G199" s="2">
        <v>14</v>
      </c>
      <c r="H199" s="1"/>
      <c r="I199" t="s">
        <v>1</v>
      </c>
      <c r="J199" t="s">
        <v>64</v>
      </c>
      <c r="K199" t="s">
        <v>379</v>
      </c>
      <c r="L199" t="s">
        <v>407</v>
      </c>
      <c r="M199" s="3" t="s">
        <v>553</v>
      </c>
      <c r="N199"/>
    </row>
    <row r="200" spans="1:14" hidden="1" x14ac:dyDescent="0.25">
      <c r="A200" s="1" t="str">
        <f>VLOOKUP(Table2[[#This Row],[Prod Line ]],Lists!A:E,5,0)</f>
        <v>b</v>
      </c>
      <c r="B200" s="1">
        <v>44165</v>
      </c>
      <c r="C200" s="1">
        <v>44162</v>
      </c>
      <c r="D200" s="1" t="s">
        <v>58</v>
      </c>
      <c r="E200" s="2" t="s">
        <v>406</v>
      </c>
      <c r="F200" s="1"/>
      <c r="G200" s="2">
        <v>16</v>
      </c>
      <c r="H200" s="1"/>
      <c r="I200" t="s">
        <v>1</v>
      </c>
      <c r="J200" t="s">
        <v>2</v>
      </c>
      <c r="K200" t="s">
        <v>19</v>
      </c>
      <c r="L200" t="s">
        <v>349</v>
      </c>
      <c r="M200" s="3" t="s">
        <v>554</v>
      </c>
      <c r="N200"/>
    </row>
    <row r="201" spans="1:14" hidden="1" x14ac:dyDescent="0.25">
      <c r="A201" s="1" t="str">
        <f>VLOOKUP(Table2[[#This Row],[Prod Line ]],Lists!A:E,5,0)</f>
        <v>a</v>
      </c>
      <c r="B201" s="1">
        <v>44165</v>
      </c>
      <c r="C201" s="1">
        <v>44163</v>
      </c>
      <c r="D201" s="1" t="s">
        <v>56</v>
      </c>
      <c r="E201" s="2" t="s">
        <v>404</v>
      </c>
      <c r="F201" s="1"/>
      <c r="G201" s="2">
        <v>35</v>
      </c>
      <c r="H201" s="1"/>
      <c r="I201" t="s">
        <v>0</v>
      </c>
      <c r="J201" t="s">
        <v>2</v>
      </c>
      <c r="K201" t="s">
        <v>13</v>
      </c>
      <c r="L201" t="s">
        <v>70</v>
      </c>
      <c r="M201" s="3" t="s">
        <v>561</v>
      </c>
    </row>
    <row r="202" spans="1:14" hidden="1" x14ac:dyDescent="0.25">
      <c r="A202" s="1" t="str">
        <f>VLOOKUP(Table2[[#This Row],[Prod Line ]],Lists!A:E,5,0)</f>
        <v>b</v>
      </c>
      <c r="B202" s="1">
        <v>44165</v>
      </c>
      <c r="C202" s="1">
        <v>44162</v>
      </c>
      <c r="D202" s="1" t="s">
        <v>58</v>
      </c>
      <c r="E202" s="2" t="s">
        <v>406</v>
      </c>
      <c r="F202" s="1"/>
      <c r="G202" s="2">
        <v>17</v>
      </c>
      <c r="H202" s="1"/>
      <c r="I202" t="s">
        <v>1</v>
      </c>
      <c r="J202" t="s">
        <v>2</v>
      </c>
      <c r="K202" t="s">
        <v>19</v>
      </c>
      <c r="L202" t="s">
        <v>349</v>
      </c>
      <c r="M202" s="3" t="s">
        <v>556</v>
      </c>
      <c r="N202"/>
    </row>
    <row r="203" spans="1:14" hidden="1" x14ac:dyDescent="0.25">
      <c r="A203" s="1" t="str">
        <f>VLOOKUP(Table2[[#This Row],[Prod Line ]],Lists!A:E,5,0)</f>
        <v>b</v>
      </c>
      <c r="B203" s="1">
        <v>44165</v>
      </c>
      <c r="C203" s="1">
        <v>44163</v>
      </c>
      <c r="D203" s="1" t="s">
        <v>58</v>
      </c>
      <c r="E203" s="2" t="s">
        <v>404</v>
      </c>
      <c r="F203" s="1"/>
      <c r="G203" s="2">
        <v>6</v>
      </c>
      <c r="H203" s="1"/>
      <c r="I203" t="s">
        <v>1</v>
      </c>
      <c r="J203" t="s">
        <v>2</v>
      </c>
      <c r="K203" t="s">
        <v>19</v>
      </c>
      <c r="L203" t="s">
        <v>349</v>
      </c>
      <c r="M203" s="3" t="s">
        <v>557</v>
      </c>
      <c r="N203"/>
    </row>
    <row r="204" spans="1:14" hidden="1" x14ac:dyDescent="0.25">
      <c r="A204" s="1" t="str">
        <f>VLOOKUP(Table2[[#This Row],[Prod Line ]],Lists!A:E,5,0)</f>
        <v>b</v>
      </c>
      <c r="B204" s="1">
        <v>44165</v>
      </c>
      <c r="C204" s="1">
        <v>44162</v>
      </c>
      <c r="D204" s="1" t="s">
        <v>58</v>
      </c>
      <c r="E204" s="2" t="s">
        <v>406</v>
      </c>
      <c r="F204" s="1"/>
      <c r="G204" s="2">
        <v>6</v>
      </c>
      <c r="H204" s="1"/>
      <c r="I204" t="s">
        <v>0</v>
      </c>
      <c r="J204" t="s">
        <v>64</v>
      </c>
      <c r="K204" t="s">
        <v>20</v>
      </c>
      <c r="L204" t="s">
        <v>70</v>
      </c>
      <c r="M204" s="3" t="s">
        <v>555</v>
      </c>
    </row>
    <row r="205" spans="1:14" hidden="1" x14ac:dyDescent="0.25">
      <c r="A205" s="1" t="str">
        <f>VLOOKUP(Table2[[#This Row],[Prod Line ]],Lists!A:E,5,0)</f>
        <v>c</v>
      </c>
      <c r="B205" s="1">
        <v>44165</v>
      </c>
      <c r="C205" s="1">
        <v>44163</v>
      </c>
      <c r="D205" s="1" t="s">
        <v>60</v>
      </c>
      <c r="E205" s="2" t="s">
        <v>404</v>
      </c>
      <c r="F205" s="1"/>
      <c r="G205" s="2">
        <v>9</v>
      </c>
      <c r="H205" s="1"/>
      <c r="I205" t="s">
        <v>0</v>
      </c>
      <c r="J205" t="s">
        <v>2</v>
      </c>
      <c r="K205" t="s">
        <v>378</v>
      </c>
      <c r="L205" t="s">
        <v>70</v>
      </c>
      <c r="M205" s="3" t="s">
        <v>536</v>
      </c>
    </row>
    <row r="206" spans="1:14" hidden="1" x14ac:dyDescent="0.25">
      <c r="A206" s="1" t="str">
        <f>VLOOKUP(Table2[[#This Row],[Prod Line ]],Lists!A:E,5,0)</f>
        <v>d</v>
      </c>
      <c r="B206" s="1">
        <v>44165</v>
      </c>
      <c r="C206" s="1">
        <v>44163</v>
      </c>
      <c r="D206" s="1" t="s">
        <v>62</v>
      </c>
      <c r="E206" s="2" t="s">
        <v>404</v>
      </c>
      <c r="F206" s="1"/>
      <c r="G206" s="2">
        <v>11</v>
      </c>
      <c r="H206" s="1"/>
      <c r="I206" t="s">
        <v>1</v>
      </c>
      <c r="J206" t="s">
        <v>2</v>
      </c>
      <c r="K206" t="s">
        <v>19</v>
      </c>
      <c r="L206" t="s">
        <v>72</v>
      </c>
      <c r="M206" s="3" t="s">
        <v>543</v>
      </c>
      <c r="N206"/>
    </row>
    <row r="207" spans="1:14" hidden="1" x14ac:dyDescent="0.25">
      <c r="A207" s="1" t="str">
        <f>VLOOKUP(Table2[[#This Row],[Prod Line ]],Lists!A:E,5,0)</f>
        <v>d</v>
      </c>
      <c r="B207" s="1">
        <v>44165</v>
      </c>
      <c r="C207" s="1">
        <v>44163</v>
      </c>
      <c r="D207" s="1" t="s">
        <v>62</v>
      </c>
      <c r="E207" s="2" t="s">
        <v>404</v>
      </c>
      <c r="F207" s="1"/>
      <c r="G207" s="2">
        <v>7</v>
      </c>
      <c r="H207" s="1"/>
      <c r="I207" t="s">
        <v>1</v>
      </c>
      <c r="J207" t="s">
        <v>64</v>
      </c>
      <c r="K207" t="s">
        <v>379</v>
      </c>
      <c r="L207" t="s">
        <v>407</v>
      </c>
      <c r="M207" s="3" t="s">
        <v>560</v>
      </c>
      <c r="N207"/>
    </row>
    <row r="208" spans="1:14" hidden="1" x14ac:dyDescent="0.25">
      <c r="A208" s="1" t="str">
        <f>VLOOKUP(Table2[[#This Row],[Prod Line ]],Lists!A:E,5,0)</f>
        <v>d</v>
      </c>
      <c r="B208" s="1">
        <v>44165</v>
      </c>
      <c r="C208" s="1">
        <v>44163</v>
      </c>
      <c r="D208" s="1" t="s">
        <v>62</v>
      </c>
      <c r="E208" s="2" t="s">
        <v>404</v>
      </c>
      <c r="F208" s="1"/>
      <c r="G208" s="2">
        <v>22</v>
      </c>
      <c r="H208" s="1"/>
      <c r="I208" t="s">
        <v>0</v>
      </c>
      <c r="J208" t="s">
        <v>65</v>
      </c>
      <c r="K208" t="s">
        <v>394</v>
      </c>
      <c r="L208" t="s">
        <v>70</v>
      </c>
      <c r="M208" s="3" t="s">
        <v>558</v>
      </c>
    </row>
    <row r="209" spans="1:16" hidden="1" x14ac:dyDescent="0.25">
      <c r="A209" s="1" t="str">
        <f>VLOOKUP(Table2[[#This Row],[Prod Line ]],Lists!A:E,5,0)</f>
        <v>d</v>
      </c>
      <c r="B209" s="1">
        <v>44165</v>
      </c>
      <c r="C209" s="1">
        <v>44163</v>
      </c>
      <c r="D209" s="1" t="s">
        <v>62</v>
      </c>
      <c r="E209" s="2" t="s">
        <v>404</v>
      </c>
      <c r="F209" s="1"/>
      <c r="G209" s="2">
        <v>25</v>
      </c>
      <c r="H209" s="1"/>
      <c r="I209" t="s">
        <v>0</v>
      </c>
      <c r="J209" t="s">
        <v>2</v>
      </c>
      <c r="K209" t="s">
        <v>19</v>
      </c>
      <c r="L209" t="s">
        <v>70</v>
      </c>
      <c r="M209" s="3" t="s">
        <v>559</v>
      </c>
    </row>
    <row r="210" spans="1:16" hidden="1" x14ac:dyDescent="0.25">
      <c r="A210" s="1" t="str">
        <f>VLOOKUP(Table2[[#This Row],[Prod Line ]],Lists!A:E,5,0)</f>
        <v>b</v>
      </c>
      <c r="B210" s="1">
        <v>44165</v>
      </c>
      <c r="C210" s="1">
        <v>44163</v>
      </c>
      <c r="D210" s="1" t="s">
        <v>58</v>
      </c>
      <c r="E210" s="2" t="s">
        <v>406</v>
      </c>
      <c r="F210" s="1"/>
      <c r="G210" s="2">
        <v>10</v>
      </c>
      <c r="H210" s="1"/>
      <c r="I210" t="s">
        <v>1</v>
      </c>
      <c r="J210" t="s">
        <v>64</v>
      </c>
      <c r="K210" t="s">
        <v>21</v>
      </c>
      <c r="L210" t="s">
        <v>407</v>
      </c>
      <c r="M210" s="3" t="s">
        <v>568</v>
      </c>
      <c r="N210"/>
    </row>
    <row r="211" spans="1:16" hidden="1" x14ac:dyDescent="0.25">
      <c r="A211" s="1" t="str">
        <f>VLOOKUP(Table2[[#This Row],[Prod Line ]],Lists!A:E,5,0)</f>
        <v>c</v>
      </c>
      <c r="B211" s="1">
        <v>44165</v>
      </c>
      <c r="C211" s="1">
        <v>44163</v>
      </c>
      <c r="D211" s="1" t="s">
        <v>60</v>
      </c>
      <c r="E211" s="2" t="s">
        <v>405</v>
      </c>
      <c r="F211" s="1"/>
      <c r="G211" s="2">
        <v>15</v>
      </c>
      <c r="H211" s="1"/>
      <c r="I211" t="s">
        <v>1</v>
      </c>
      <c r="J211" t="s">
        <v>65</v>
      </c>
      <c r="K211" t="s">
        <v>382</v>
      </c>
      <c r="L211" t="s">
        <v>72</v>
      </c>
      <c r="M211" s="3" t="s">
        <v>531</v>
      </c>
      <c r="N211"/>
    </row>
    <row r="212" spans="1:16" hidden="1" x14ac:dyDescent="0.25">
      <c r="A212" s="1" t="str">
        <f>VLOOKUP(Table2[[#This Row],[Prod Line ]],Lists!A:E,5,0)</f>
        <v>c</v>
      </c>
      <c r="B212" s="1">
        <v>44165</v>
      </c>
      <c r="C212" s="1">
        <v>44163</v>
      </c>
      <c r="D212" s="1" t="s">
        <v>60</v>
      </c>
      <c r="E212" s="2" t="s">
        <v>405</v>
      </c>
      <c r="F212" s="1"/>
      <c r="G212" s="2">
        <v>7</v>
      </c>
      <c r="H212" s="1"/>
      <c r="I212" t="s">
        <v>1</v>
      </c>
      <c r="J212" t="s">
        <v>64</v>
      </c>
      <c r="K212" t="s">
        <v>379</v>
      </c>
      <c r="L212" t="s">
        <v>344</v>
      </c>
      <c r="M212" s="3" t="s">
        <v>562</v>
      </c>
      <c r="N212"/>
    </row>
    <row r="213" spans="1:16" hidden="1" x14ac:dyDescent="0.25">
      <c r="A213" s="1" t="str">
        <f>VLOOKUP(Table2[[#This Row],[Prod Line ]],Lists!A:E,5,0)</f>
        <v>d</v>
      </c>
      <c r="B213" s="1">
        <v>44166</v>
      </c>
      <c r="C213" s="1">
        <v>44164</v>
      </c>
      <c r="D213" s="1" t="s">
        <v>62</v>
      </c>
      <c r="E213" s="2" t="s">
        <v>404</v>
      </c>
      <c r="F213" s="1"/>
      <c r="G213" s="2">
        <v>13</v>
      </c>
      <c r="H213" s="1"/>
      <c r="I213" t="s">
        <v>1</v>
      </c>
      <c r="J213" t="s">
        <v>2</v>
      </c>
      <c r="K213" t="s">
        <v>19</v>
      </c>
      <c r="L213" t="s">
        <v>349</v>
      </c>
      <c r="M213" s="3" t="s">
        <v>522</v>
      </c>
      <c r="N213"/>
    </row>
    <row r="214" spans="1:16" hidden="1" x14ac:dyDescent="0.25">
      <c r="A214" s="1" t="str">
        <f>VLOOKUP(Table2[[#This Row],[Prod Line ]],Lists!A:E,5,0)</f>
        <v>d</v>
      </c>
      <c r="B214" s="1">
        <v>44166</v>
      </c>
      <c r="C214" s="1">
        <v>44165</v>
      </c>
      <c r="D214" s="1" t="s">
        <v>62</v>
      </c>
      <c r="E214" s="2" t="s">
        <v>406</v>
      </c>
      <c r="F214" s="1"/>
      <c r="G214" s="2">
        <v>22</v>
      </c>
      <c r="H214" s="1"/>
      <c r="I214" t="s">
        <v>1</v>
      </c>
      <c r="J214" t="s">
        <v>2</v>
      </c>
      <c r="K214" t="s">
        <v>13</v>
      </c>
      <c r="L214" t="s">
        <v>407</v>
      </c>
      <c r="M214" s="3" t="s">
        <v>564</v>
      </c>
      <c r="N214"/>
    </row>
    <row r="215" spans="1:16" hidden="1" x14ac:dyDescent="0.25">
      <c r="A215" s="1" t="str">
        <f>VLOOKUP(Table2[[#This Row],[Prod Line ]],Lists!A:E,5,0)</f>
        <v>d</v>
      </c>
      <c r="B215" s="1">
        <v>44166</v>
      </c>
      <c r="C215" s="1">
        <v>44165</v>
      </c>
      <c r="D215" s="1" t="s">
        <v>62</v>
      </c>
      <c r="E215" s="2" t="s">
        <v>406</v>
      </c>
      <c r="F215" s="1"/>
      <c r="G215" s="2">
        <v>20</v>
      </c>
      <c r="H215" s="1"/>
      <c r="I215" t="s">
        <v>1</v>
      </c>
      <c r="J215" t="s">
        <v>64</v>
      </c>
      <c r="K215" t="s">
        <v>379</v>
      </c>
      <c r="L215" t="s">
        <v>349</v>
      </c>
      <c r="M215" s="3" t="s">
        <v>565</v>
      </c>
      <c r="N215"/>
    </row>
    <row r="216" spans="1:16" hidden="1" x14ac:dyDescent="0.25">
      <c r="A216" s="1" t="str">
        <f>VLOOKUP(Table2[[#This Row],[Prod Line ]],Lists!A:E,5,0)</f>
        <v>d</v>
      </c>
      <c r="B216" s="1">
        <v>44166</v>
      </c>
      <c r="C216" s="1">
        <v>44165</v>
      </c>
      <c r="D216" s="1" t="s">
        <v>62</v>
      </c>
      <c r="E216" s="2" t="s">
        <v>406</v>
      </c>
      <c r="F216" s="1"/>
      <c r="G216" s="2">
        <v>13</v>
      </c>
      <c r="H216" s="1"/>
      <c r="I216" t="s">
        <v>1</v>
      </c>
      <c r="J216" t="s">
        <v>64</v>
      </c>
      <c r="K216" t="s">
        <v>379</v>
      </c>
      <c r="L216" t="s">
        <v>407</v>
      </c>
      <c r="M216" s="3" t="s">
        <v>563</v>
      </c>
      <c r="N216"/>
    </row>
    <row r="217" spans="1:16" hidden="1" x14ac:dyDescent="0.25">
      <c r="A217" s="1" t="str">
        <f>VLOOKUP(Table2[[#This Row],[Prod Line ]],Lists!A:E,5,0)</f>
        <v>c</v>
      </c>
      <c r="B217" s="1">
        <v>44166</v>
      </c>
      <c r="C217" s="1">
        <v>44164</v>
      </c>
      <c r="D217" s="1" t="s">
        <v>60</v>
      </c>
      <c r="E217" s="2" t="s">
        <v>404</v>
      </c>
      <c r="F217" s="1"/>
      <c r="G217" s="2">
        <v>25</v>
      </c>
      <c r="H217" s="1"/>
      <c r="I217" t="s">
        <v>1</v>
      </c>
      <c r="J217" t="s">
        <v>2</v>
      </c>
      <c r="K217" t="s">
        <v>378</v>
      </c>
      <c r="L217" t="s">
        <v>72</v>
      </c>
      <c r="M217" s="3" t="s">
        <v>566</v>
      </c>
      <c r="N217"/>
    </row>
    <row r="218" spans="1:16" hidden="1" x14ac:dyDescent="0.25">
      <c r="A218" s="1" t="str">
        <f>VLOOKUP(Table2[[#This Row],[Prod Line ]],Lists!A:E,5,0)</f>
        <v>c</v>
      </c>
      <c r="B218" s="1">
        <v>44166</v>
      </c>
      <c r="C218" s="1">
        <v>44164</v>
      </c>
      <c r="D218" s="1" t="s">
        <v>60</v>
      </c>
      <c r="E218" s="2" t="s">
        <v>405</v>
      </c>
      <c r="F218" s="1"/>
      <c r="G218" s="2">
        <v>12</v>
      </c>
      <c r="H218" s="1"/>
      <c r="I218" t="s">
        <v>1</v>
      </c>
      <c r="J218" t="s">
        <v>2</v>
      </c>
      <c r="K218" t="s">
        <v>378</v>
      </c>
      <c r="L218" t="s">
        <v>72</v>
      </c>
      <c r="M218" s="3" t="s">
        <v>567</v>
      </c>
      <c r="N218"/>
    </row>
    <row r="219" spans="1:16" hidden="1" x14ac:dyDescent="0.25">
      <c r="A219" s="1" t="str">
        <f>VLOOKUP(Table2[[#This Row],[Prod Line ]],Lists!A:E,5,0)</f>
        <v>b</v>
      </c>
      <c r="B219" s="1">
        <v>44168</v>
      </c>
      <c r="C219" s="1">
        <v>44166</v>
      </c>
      <c r="D219" s="1" t="s">
        <v>58</v>
      </c>
      <c r="E219" s="2" t="s">
        <v>404</v>
      </c>
      <c r="F219" s="1"/>
      <c r="G219" s="2">
        <v>13</v>
      </c>
      <c r="H219" s="1"/>
      <c r="I219" t="s">
        <v>1</v>
      </c>
      <c r="J219" t="s">
        <v>2</v>
      </c>
      <c r="K219" t="s">
        <v>19</v>
      </c>
      <c r="L219" t="s">
        <v>349</v>
      </c>
      <c r="M219" s="3" t="s">
        <v>569</v>
      </c>
      <c r="N219"/>
    </row>
    <row r="220" spans="1:16" hidden="1" x14ac:dyDescent="0.25">
      <c r="A220" s="1" t="str">
        <f>VLOOKUP(Table2[[#This Row],[Prod Line ]],Lists!A:E,5,0)</f>
        <v>a</v>
      </c>
      <c r="B220" s="1">
        <v>44168</v>
      </c>
      <c r="C220" s="1">
        <v>44166</v>
      </c>
      <c r="D220" s="1" t="s">
        <v>56</v>
      </c>
      <c r="E220" s="2" t="s">
        <v>404</v>
      </c>
      <c r="F220" s="1"/>
      <c r="G220" s="2">
        <v>11</v>
      </c>
      <c r="H220" s="1"/>
      <c r="I220" t="s">
        <v>0</v>
      </c>
      <c r="J220" t="s">
        <v>64</v>
      </c>
      <c r="K220" t="s">
        <v>364</v>
      </c>
      <c r="L220" t="s">
        <v>70</v>
      </c>
      <c r="M220" s="3" t="s">
        <v>570</v>
      </c>
    </row>
    <row r="221" spans="1:16" hidden="1" x14ac:dyDescent="0.25">
      <c r="A221" s="1" t="str">
        <f>VLOOKUP(Table2[[#This Row],[Prod Line ]],Lists!A:E,5,0)</f>
        <v>a</v>
      </c>
      <c r="B221" s="1">
        <v>44168</v>
      </c>
      <c r="C221" s="1">
        <v>44166</v>
      </c>
      <c r="D221" s="1" t="s">
        <v>56</v>
      </c>
      <c r="E221" s="2" t="s">
        <v>404</v>
      </c>
      <c r="F221" s="1"/>
      <c r="G221" s="2">
        <v>9</v>
      </c>
      <c r="H221" s="1"/>
      <c r="I221" t="s">
        <v>0</v>
      </c>
      <c r="J221" t="s">
        <v>64</v>
      </c>
      <c r="K221" t="s">
        <v>363</v>
      </c>
      <c r="L221" t="s">
        <v>70</v>
      </c>
      <c r="M221" s="3" t="s">
        <v>571</v>
      </c>
    </row>
    <row r="222" spans="1:16" hidden="1" x14ac:dyDescent="0.25">
      <c r="A222" s="1" t="str">
        <f>VLOOKUP(Table2[[#This Row],[Prod Line ]],Lists!A:E,5,0)</f>
        <v>d</v>
      </c>
      <c r="B222" s="1">
        <v>44168</v>
      </c>
      <c r="C222" s="1">
        <v>44166</v>
      </c>
      <c r="D222" s="1" t="s">
        <v>62</v>
      </c>
      <c r="E222" s="2" t="s">
        <v>404</v>
      </c>
      <c r="F222" s="1"/>
      <c r="G222" s="2">
        <v>25</v>
      </c>
      <c r="H222" s="1"/>
      <c r="I222" t="s">
        <v>0</v>
      </c>
      <c r="J222" t="s">
        <v>65</v>
      </c>
      <c r="K222" t="s">
        <v>394</v>
      </c>
      <c r="L222" t="s">
        <v>70</v>
      </c>
      <c r="M222" s="3" t="s">
        <v>579</v>
      </c>
    </row>
    <row r="223" spans="1:16" hidden="1" x14ac:dyDescent="0.25">
      <c r="A223" s="1" t="str">
        <f>VLOOKUP(Table2[[#This Row],[Prod Line ]],Lists!A:E,5,0)</f>
        <v>d</v>
      </c>
      <c r="B223" s="1">
        <v>44168</v>
      </c>
      <c r="C223" s="1">
        <v>44166</v>
      </c>
      <c r="D223" s="1" t="s">
        <v>62</v>
      </c>
      <c r="E223" s="2" t="s">
        <v>404</v>
      </c>
      <c r="F223" s="1"/>
      <c r="G223" s="2">
        <v>13</v>
      </c>
      <c r="H223" s="1"/>
      <c r="I223" t="s">
        <v>1</v>
      </c>
      <c r="J223" t="s">
        <v>2</v>
      </c>
      <c r="K223" t="s">
        <v>19</v>
      </c>
      <c r="L223" t="s">
        <v>72</v>
      </c>
      <c r="M223" s="3" t="s">
        <v>543</v>
      </c>
      <c r="N223"/>
    </row>
    <row r="224" spans="1:16" hidden="1" x14ac:dyDescent="0.25">
      <c r="A224" s="1" t="str">
        <f>VLOOKUP(Table2[[#This Row],[Prod Line ]],Lists!A:E,5,0)</f>
        <v>d</v>
      </c>
      <c r="B224" s="28">
        <v>44168</v>
      </c>
      <c r="C224" s="28">
        <v>44166</v>
      </c>
      <c r="D224" s="28" t="s">
        <v>62</v>
      </c>
      <c r="E224" s="29" t="s">
        <v>404</v>
      </c>
      <c r="F224" s="28"/>
      <c r="G224" s="29">
        <v>10</v>
      </c>
      <c r="H224" s="28"/>
      <c r="I224" s="30" t="s">
        <v>0</v>
      </c>
      <c r="J224" s="30" t="s">
        <v>5</v>
      </c>
      <c r="K224" s="30" t="s">
        <v>397</v>
      </c>
      <c r="L224" s="30" t="s">
        <v>70</v>
      </c>
      <c r="M224" s="31" t="s">
        <v>580</v>
      </c>
      <c r="N224" s="32"/>
      <c r="O224" s="30"/>
      <c r="P224" s="30"/>
    </row>
    <row r="225" spans="1:14" hidden="1" x14ac:dyDescent="0.25">
      <c r="A225" s="1" t="str">
        <f>VLOOKUP(Table2[[#This Row],[Prod Line ]],Lists!A:E,5,0)</f>
        <v>c</v>
      </c>
      <c r="B225" s="1">
        <v>44168</v>
      </c>
      <c r="C225" s="1">
        <v>44166</v>
      </c>
      <c r="D225" s="1" t="s">
        <v>60</v>
      </c>
      <c r="E225" s="2" t="s">
        <v>405</v>
      </c>
      <c r="F225" s="1"/>
      <c r="G225" s="2">
        <v>8</v>
      </c>
      <c r="H225" s="1"/>
      <c r="I225" t="s">
        <v>1</v>
      </c>
      <c r="J225" t="s">
        <v>2</v>
      </c>
      <c r="K225" t="s">
        <v>378</v>
      </c>
      <c r="L225" t="s">
        <v>407</v>
      </c>
      <c r="M225" s="3" t="s">
        <v>577</v>
      </c>
      <c r="N225"/>
    </row>
    <row r="226" spans="1:14" hidden="1" x14ac:dyDescent="0.25">
      <c r="A226" s="1" t="str">
        <f>VLOOKUP(Table2[[#This Row],[Prod Line ]],Lists!A:E,5,0)</f>
        <v>d</v>
      </c>
      <c r="B226" s="1">
        <v>44168</v>
      </c>
      <c r="C226" s="1">
        <v>44166</v>
      </c>
      <c r="D226" s="1" t="s">
        <v>62</v>
      </c>
      <c r="E226" s="2" t="s">
        <v>405</v>
      </c>
      <c r="F226" s="1"/>
      <c r="G226" s="2">
        <v>15</v>
      </c>
      <c r="H226" s="1"/>
      <c r="I226" t="s">
        <v>0</v>
      </c>
      <c r="J226" t="s">
        <v>5</v>
      </c>
      <c r="K226" t="s">
        <v>395</v>
      </c>
      <c r="L226" t="s">
        <v>70</v>
      </c>
      <c r="M226" s="3" t="s">
        <v>572</v>
      </c>
    </row>
    <row r="227" spans="1:14" hidden="1" x14ac:dyDescent="0.25">
      <c r="A227" s="1" t="str">
        <f>VLOOKUP(Table2[[#This Row],[Prod Line ]],Lists!A:E,5,0)</f>
        <v>d</v>
      </c>
      <c r="B227" s="1">
        <v>44168</v>
      </c>
      <c r="C227" s="1">
        <v>44166</v>
      </c>
      <c r="D227" s="1" t="s">
        <v>62</v>
      </c>
      <c r="E227" s="2" t="s">
        <v>405</v>
      </c>
      <c r="F227" s="1"/>
      <c r="G227" s="2">
        <v>45</v>
      </c>
      <c r="H227" s="1"/>
      <c r="I227" t="s">
        <v>1</v>
      </c>
      <c r="J227" t="s">
        <v>2</v>
      </c>
      <c r="K227" t="s">
        <v>19</v>
      </c>
      <c r="L227" t="s">
        <v>407</v>
      </c>
      <c r="M227" s="3" t="s">
        <v>581</v>
      </c>
      <c r="N227"/>
    </row>
    <row r="228" spans="1:14" hidden="1" x14ac:dyDescent="0.25">
      <c r="A228" s="1" t="str">
        <f>VLOOKUP(Table2[[#This Row],[Prod Line ]],Lists!A:E,5,0)</f>
        <v>b</v>
      </c>
      <c r="B228" s="1">
        <v>44169</v>
      </c>
      <c r="C228" s="1">
        <v>44167</v>
      </c>
      <c r="D228" s="1" t="s">
        <v>58</v>
      </c>
      <c r="E228" s="2" t="s">
        <v>404</v>
      </c>
      <c r="F228" s="1"/>
      <c r="G228" s="2">
        <v>9</v>
      </c>
      <c r="H228" s="1"/>
      <c r="I228" t="s">
        <v>1</v>
      </c>
      <c r="J228" t="s">
        <v>65</v>
      </c>
      <c r="K228" t="s">
        <v>28</v>
      </c>
      <c r="L228" t="s">
        <v>407</v>
      </c>
      <c r="M228" s="3" t="s">
        <v>574</v>
      </c>
      <c r="N228"/>
    </row>
    <row r="229" spans="1:14" hidden="1" x14ac:dyDescent="0.25">
      <c r="A229" s="1" t="str">
        <f>VLOOKUP(Table2[[#This Row],[Prod Line ]],Lists!A:E,5,0)</f>
        <v>b</v>
      </c>
      <c r="B229" s="1">
        <v>44169</v>
      </c>
      <c r="C229" s="1">
        <v>44167</v>
      </c>
      <c r="D229" s="1" t="s">
        <v>58</v>
      </c>
      <c r="E229" s="2" t="s">
        <v>404</v>
      </c>
      <c r="F229" s="1"/>
      <c r="G229" s="2">
        <v>3</v>
      </c>
      <c r="H229" s="1"/>
      <c r="I229" t="s">
        <v>1</v>
      </c>
      <c r="J229" t="s">
        <v>2</v>
      </c>
      <c r="K229" t="s">
        <v>19</v>
      </c>
      <c r="L229" t="s">
        <v>407</v>
      </c>
      <c r="M229" s="3" t="s">
        <v>575</v>
      </c>
      <c r="N229"/>
    </row>
    <row r="230" spans="1:14" hidden="1" x14ac:dyDescent="0.25">
      <c r="A230" s="1" t="str">
        <f>VLOOKUP(Table2[[#This Row],[Prod Line ]],Lists!A:E,5,0)</f>
        <v>b</v>
      </c>
      <c r="B230" s="1">
        <v>44169</v>
      </c>
      <c r="C230" s="1">
        <v>44167</v>
      </c>
      <c r="D230" s="1" t="s">
        <v>58</v>
      </c>
      <c r="E230" s="2" t="s">
        <v>406</v>
      </c>
      <c r="F230" s="1"/>
      <c r="G230" s="2">
        <v>6</v>
      </c>
      <c r="H230" s="1"/>
      <c r="I230" t="s">
        <v>1</v>
      </c>
      <c r="J230" t="s">
        <v>65</v>
      </c>
      <c r="K230" t="s">
        <v>27</v>
      </c>
      <c r="L230" t="s">
        <v>407</v>
      </c>
      <c r="M230" s="3" t="s">
        <v>576</v>
      </c>
      <c r="N230"/>
    </row>
    <row r="231" spans="1:14" hidden="1" x14ac:dyDescent="0.25">
      <c r="A231" s="1" t="str">
        <f>VLOOKUP(Table2[[#This Row],[Prod Line ]],Lists!A:E,5,0)</f>
        <v>c</v>
      </c>
      <c r="B231" s="1">
        <v>44169</v>
      </c>
      <c r="C231" s="1">
        <v>44167</v>
      </c>
      <c r="D231" s="1" t="s">
        <v>60</v>
      </c>
      <c r="E231" s="2" t="s">
        <v>405</v>
      </c>
      <c r="F231" s="1"/>
      <c r="G231" s="2">
        <v>50</v>
      </c>
      <c r="H231" s="1"/>
      <c r="I231" t="s">
        <v>1</v>
      </c>
      <c r="J231" t="s">
        <v>65</v>
      </c>
      <c r="K231" t="s">
        <v>3</v>
      </c>
      <c r="L231" t="s">
        <v>407</v>
      </c>
      <c r="M231" s="3" t="s">
        <v>578</v>
      </c>
      <c r="N231"/>
    </row>
    <row r="232" spans="1:14" hidden="1" x14ac:dyDescent="0.25">
      <c r="A232" s="1" t="str">
        <f>VLOOKUP(Table2[[#This Row],[Prod Line ]],Lists!A:E,5,0)</f>
        <v>d</v>
      </c>
      <c r="B232" s="1">
        <v>44169</v>
      </c>
      <c r="C232" s="1">
        <v>44167</v>
      </c>
      <c r="D232" s="1" t="s">
        <v>62</v>
      </c>
      <c r="E232" s="2" t="s">
        <v>406</v>
      </c>
      <c r="F232" s="1"/>
      <c r="G232" s="2">
        <v>3</v>
      </c>
      <c r="H232" s="1"/>
      <c r="I232" t="s">
        <v>1</v>
      </c>
      <c r="J232" t="s">
        <v>64</v>
      </c>
      <c r="K232" t="s">
        <v>379</v>
      </c>
      <c r="L232" t="s">
        <v>407</v>
      </c>
      <c r="M232" s="3" t="s">
        <v>573</v>
      </c>
      <c r="N232"/>
    </row>
    <row r="233" spans="1:14" hidden="1" x14ac:dyDescent="0.25">
      <c r="A233" s="1" t="str">
        <f>VLOOKUP(Table2[[#This Row],[Prod Line ]],Lists!A:E,5,0)</f>
        <v>d</v>
      </c>
      <c r="B233" s="1">
        <v>44169</v>
      </c>
      <c r="C233" s="1">
        <v>44167</v>
      </c>
      <c r="D233" s="1" t="s">
        <v>62</v>
      </c>
      <c r="E233" s="2" t="s">
        <v>404</v>
      </c>
      <c r="F233" s="1"/>
      <c r="G233" s="2">
        <v>15</v>
      </c>
      <c r="H233" s="1"/>
      <c r="I233" t="s">
        <v>1</v>
      </c>
      <c r="J233" t="s">
        <v>2</v>
      </c>
      <c r="K233" t="s">
        <v>19</v>
      </c>
      <c r="L233" t="s">
        <v>72</v>
      </c>
      <c r="M233" s="3" t="s">
        <v>553</v>
      </c>
      <c r="N233"/>
    </row>
    <row r="234" spans="1:14" hidden="1" x14ac:dyDescent="0.25">
      <c r="A234" s="1" t="str">
        <f>VLOOKUP(Table2[[#This Row],[Prod Line ]],Lists!A:E,5,0)</f>
        <v>d</v>
      </c>
      <c r="B234" s="1">
        <v>44169</v>
      </c>
      <c r="C234" s="1">
        <v>44167</v>
      </c>
      <c r="D234" s="1" t="s">
        <v>357</v>
      </c>
      <c r="E234" s="2" t="s">
        <v>404</v>
      </c>
      <c r="F234" s="1"/>
      <c r="G234" s="2">
        <v>10</v>
      </c>
      <c r="H234" s="1"/>
      <c r="I234" t="s">
        <v>0</v>
      </c>
      <c r="J234" t="s">
        <v>5</v>
      </c>
      <c r="K234" t="s">
        <v>395</v>
      </c>
      <c r="L234" t="s">
        <v>70</v>
      </c>
      <c r="M234" s="3" t="s">
        <v>582</v>
      </c>
    </row>
    <row r="235" spans="1:14" hidden="1" x14ac:dyDescent="0.25">
      <c r="A235" s="1" t="str">
        <f>VLOOKUP(Table2[[#This Row],[Prod Line ]],Lists!A:E,5,0)</f>
        <v>d</v>
      </c>
      <c r="B235" s="1">
        <v>44169</v>
      </c>
      <c r="C235" s="1">
        <v>44167</v>
      </c>
      <c r="D235" s="1" t="s">
        <v>62</v>
      </c>
      <c r="E235" s="2" t="s">
        <v>404</v>
      </c>
      <c r="F235" s="1"/>
      <c r="G235" s="2">
        <v>30</v>
      </c>
      <c r="H235" s="1"/>
      <c r="I235" t="s">
        <v>0</v>
      </c>
      <c r="J235" t="s">
        <v>5</v>
      </c>
      <c r="K235" t="s">
        <v>395</v>
      </c>
      <c r="L235" t="s">
        <v>70</v>
      </c>
      <c r="M235" s="3" t="s">
        <v>583</v>
      </c>
    </row>
    <row r="236" spans="1:14" hidden="1" x14ac:dyDescent="0.25">
      <c r="A236" s="1" t="str">
        <f>VLOOKUP(Table2[[#This Row],[Prod Line ]],Lists!A:E,5,0)</f>
        <v>d</v>
      </c>
      <c r="B236" s="1">
        <v>44169</v>
      </c>
      <c r="C236" s="1">
        <v>44167</v>
      </c>
      <c r="D236" s="1" t="s">
        <v>62</v>
      </c>
      <c r="E236" s="2" t="s">
        <v>404</v>
      </c>
      <c r="F236" s="1"/>
      <c r="G236" s="2">
        <v>19</v>
      </c>
      <c r="H236" s="1"/>
      <c r="I236" t="s">
        <v>0</v>
      </c>
      <c r="J236" t="s">
        <v>5</v>
      </c>
      <c r="K236" t="s">
        <v>395</v>
      </c>
      <c r="L236" t="s">
        <v>70</v>
      </c>
      <c r="M236" s="3" t="s">
        <v>584</v>
      </c>
    </row>
    <row r="237" spans="1:14" hidden="1" x14ac:dyDescent="0.25">
      <c r="A237" s="1" t="str">
        <f>VLOOKUP(Table2[[#This Row],[Prod Line ]],Lists!A:E,5,0)</f>
        <v>d</v>
      </c>
      <c r="B237" s="1">
        <v>44169</v>
      </c>
      <c r="C237" s="1">
        <v>44167</v>
      </c>
      <c r="D237" s="1" t="s">
        <v>62</v>
      </c>
      <c r="E237" s="2" t="s">
        <v>404</v>
      </c>
      <c r="F237" s="1"/>
      <c r="G237" s="2">
        <v>46</v>
      </c>
      <c r="H237" s="1"/>
      <c r="I237" t="s">
        <v>1</v>
      </c>
      <c r="J237" t="s">
        <v>67</v>
      </c>
      <c r="K237" t="s">
        <v>67</v>
      </c>
      <c r="L237" t="s">
        <v>72</v>
      </c>
      <c r="M237" s="3" t="s">
        <v>585</v>
      </c>
      <c r="N237"/>
    </row>
    <row r="238" spans="1:14" hidden="1" x14ac:dyDescent="0.25">
      <c r="A238" s="1" t="str">
        <f>VLOOKUP(Table2[[#This Row],[Prod Line ]],Lists!A:E,5,0)</f>
        <v>d</v>
      </c>
      <c r="B238" s="1">
        <v>44170</v>
      </c>
      <c r="C238" s="1">
        <v>44168</v>
      </c>
      <c r="D238" s="1" t="s">
        <v>62</v>
      </c>
      <c r="E238" s="2" t="s">
        <v>406</v>
      </c>
      <c r="F238" s="1"/>
      <c r="G238" s="2">
        <v>6</v>
      </c>
      <c r="H238" s="1"/>
      <c r="I238" t="s">
        <v>0</v>
      </c>
      <c r="J238" t="s">
        <v>5</v>
      </c>
      <c r="K238" t="s">
        <v>397</v>
      </c>
      <c r="L238" t="s">
        <v>70</v>
      </c>
      <c r="M238" s="3" t="s">
        <v>586</v>
      </c>
    </row>
    <row r="239" spans="1:14" hidden="1" x14ac:dyDescent="0.25">
      <c r="A239" s="1" t="str">
        <f>VLOOKUP(Table2[[#This Row],[Prod Line ]],Lists!A:E,5,0)</f>
        <v>b</v>
      </c>
      <c r="B239" s="1">
        <v>44170</v>
      </c>
      <c r="C239" s="1">
        <v>44168</v>
      </c>
      <c r="D239" s="1" t="s">
        <v>58</v>
      </c>
      <c r="E239" s="2" t="s">
        <v>406</v>
      </c>
      <c r="F239" s="1"/>
      <c r="G239" s="2">
        <v>12</v>
      </c>
      <c r="H239" s="1"/>
      <c r="I239" t="s">
        <v>1</v>
      </c>
      <c r="J239" t="s">
        <v>2</v>
      </c>
      <c r="K239" t="s">
        <v>19</v>
      </c>
      <c r="L239" t="s">
        <v>72</v>
      </c>
      <c r="M239" s="3" t="s">
        <v>593</v>
      </c>
      <c r="N239"/>
    </row>
    <row r="240" spans="1:14" hidden="1" x14ac:dyDescent="0.25">
      <c r="A240" s="1" t="str">
        <f>VLOOKUP(Table2[[#This Row],[Prod Line ]],Lists!A:E,5,0)</f>
        <v>b</v>
      </c>
      <c r="B240" s="1">
        <v>44170</v>
      </c>
      <c r="C240" s="1">
        <v>44168</v>
      </c>
      <c r="D240" s="1" t="s">
        <v>58</v>
      </c>
      <c r="E240" s="2" t="s">
        <v>406</v>
      </c>
      <c r="F240" s="1"/>
      <c r="G240" s="2">
        <v>11</v>
      </c>
      <c r="H240" s="1"/>
      <c r="I240" t="s">
        <v>1</v>
      </c>
      <c r="J240" t="s">
        <v>2</v>
      </c>
      <c r="K240" t="s">
        <v>19</v>
      </c>
      <c r="L240" t="s">
        <v>72</v>
      </c>
      <c r="M240" s="3" t="s">
        <v>594</v>
      </c>
      <c r="N240"/>
    </row>
    <row r="241" spans="1:14" hidden="1" x14ac:dyDescent="0.25">
      <c r="A241" s="1" t="str">
        <f>VLOOKUP(Table2[[#This Row],[Prod Line ]],Lists!A:E,5,0)</f>
        <v>b</v>
      </c>
      <c r="B241" s="1">
        <v>44170</v>
      </c>
      <c r="C241" s="1">
        <v>44168</v>
      </c>
      <c r="D241" s="1" t="s">
        <v>58</v>
      </c>
      <c r="E241" s="2" t="s">
        <v>406</v>
      </c>
      <c r="F241" s="1"/>
      <c r="G241" s="2">
        <v>4</v>
      </c>
      <c r="H241" s="1"/>
      <c r="I241" t="s">
        <v>1</v>
      </c>
      <c r="J241" t="s">
        <v>2</v>
      </c>
      <c r="K241" t="s">
        <v>19</v>
      </c>
      <c r="L241" t="s">
        <v>72</v>
      </c>
      <c r="M241" s="3" t="s">
        <v>595</v>
      </c>
      <c r="N241"/>
    </row>
    <row r="242" spans="1:14" hidden="1" x14ac:dyDescent="0.25">
      <c r="A242" s="1" t="str">
        <f>VLOOKUP(Table2[[#This Row],[Prod Line ]],Lists!A:E,5,0)</f>
        <v>d</v>
      </c>
      <c r="B242" s="1">
        <v>44170</v>
      </c>
      <c r="C242" s="1">
        <v>44168</v>
      </c>
      <c r="D242" s="1" t="s">
        <v>62</v>
      </c>
      <c r="E242" s="2" t="s">
        <v>404</v>
      </c>
      <c r="F242" s="1"/>
      <c r="G242" s="2">
        <v>37</v>
      </c>
      <c r="H242" s="1"/>
      <c r="I242" t="s">
        <v>1</v>
      </c>
      <c r="J242" t="s">
        <v>2</v>
      </c>
      <c r="K242" t="s">
        <v>587</v>
      </c>
      <c r="L242" t="s">
        <v>407</v>
      </c>
      <c r="M242" s="3" t="s">
        <v>588</v>
      </c>
      <c r="N242"/>
    </row>
    <row r="243" spans="1:14" hidden="1" x14ac:dyDescent="0.25">
      <c r="A243" s="1" t="str">
        <f>VLOOKUP(Table2[[#This Row],[Prod Line ]],Lists!A:E,5,0)</f>
        <v>d</v>
      </c>
      <c r="B243" s="1">
        <v>44170</v>
      </c>
      <c r="C243" s="1">
        <v>44168</v>
      </c>
      <c r="D243" s="1" t="s">
        <v>62</v>
      </c>
      <c r="E243" s="2" t="s">
        <v>404</v>
      </c>
      <c r="F243" s="1"/>
      <c r="G243" s="2">
        <v>20</v>
      </c>
      <c r="H243" s="1"/>
      <c r="I243" t="s">
        <v>1</v>
      </c>
      <c r="J243" t="s">
        <v>64</v>
      </c>
      <c r="K243" t="s">
        <v>379</v>
      </c>
      <c r="L243" t="s">
        <v>407</v>
      </c>
      <c r="M243" s="3" t="s">
        <v>589</v>
      </c>
      <c r="N243"/>
    </row>
    <row r="244" spans="1:14" hidden="1" x14ac:dyDescent="0.25">
      <c r="A244" s="1" t="str">
        <f>VLOOKUP(Table2[[#This Row],[Prod Line ]],Lists!A:E,5,0)</f>
        <v>d</v>
      </c>
      <c r="B244" s="1">
        <v>44170</v>
      </c>
      <c r="C244" s="1">
        <v>44168</v>
      </c>
      <c r="D244" s="1" t="s">
        <v>62</v>
      </c>
      <c r="E244" s="2" t="s">
        <v>404</v>
      </c>
      <c r="F244" s="1"/>
      <c r="G244" s="2">
        <v>23</v>
      </c>
      <c r="H244" s="1"/>
      <c r="I244" t="s">
        <v>1</v>
      </c>
      <c r="J244" t="s">
        <v>2</v>
      </c>
      <c r="K244" t="s">
        <v>587</v>
      </c>
      <c r="L244" t="s">
        <v>407</v>
      </c>
      <c r="M244" s="3" t="s">
        <v>590</v>
      </c>
      <c r="N244"/>
    </row>
    <row r="245" spans="1:14" hidden="1" x14ac:dyDescent="0.25">
      <c r="A245" s="1" t="str">
        <f>VLOOKUP(Table2[[#This Row],[Prod Line ]],Lists!A:E,5,0)</f>
        <v>c</v>
      </c>
      <c r="B245" s="1">
        <v>44170</v>
      </c>
      <c r="C245" s="1">
        <v>44168</v>
      </c>
      <c r="D245" s="1" t="s">
        <v>60</v>
      </c>
      <c r="E245" s="2" t="s">
        <v>405</v>
      </c>
      <c r="F245" s="1"/>
      <c r="G245" s="2">
        <v>14</v>
      </c>
      <c r="H245" s="1"/>
      <c r="I245" t="s">
        <v>1</v>
      </c>
      <c r="J245" t="s">
        <v>65</v>
      </c>
      <c r="K245" t="s">
        <v>382</v>
      </c>
      <c r="L245" t="s">
        <v>407</v>
      </c>
      <c r="M245" s="3" t="s">
        <v>591</v>
      </c>
      <c r="N245"/>
    </row>
    <row r="246" spans="1:14" hidden="1" x14ac:dyDescent="0.25">
      <c r="A246" s="1" t="str">
        <f>VLOOKUP(Table2[[#This Row],[Prod Line ]],Lists!A:E,5,0)</f>
        <v>b</v>
      </c>
      <c r="B246" s="1">
        <v>44170</v>
      </c>
      <c r="C246" s="1">
        <v>44168</v>
      </c>
      <c r="D246" s="1" t="s">
        <v>58</v>
      </c>
      <c r="E246" s="2" t="s">
        <v>404</v>
      </c>
      <c r="F246" s="1"/>
      <c r="G246" s="2">
        <v>15</v>
      </c>
      <c r="H246" s="1"/>
      <c r="I246" t="s">
        <v>1</v>
      </c>
      <c r="J246" t="s">
        <v>67</v>
      </c>
      <c r="K246" t="s">
        <v>67</v>
      </c>
      <c r="L246" t="s">
        <v>72</v>
      </c>
      <c r="M246" s="3" t="s">
        <v>592</v>
      </c>
      <c r="N246"/>
    </row>
    <row r="247" spans="1:14" hidden="1" x14ac:dyDescent="0.25">
      <c r="A247" s="1" t="str">
        <f>VLOOKUP(Table2[[#This Row],[Prod Line ]],Lists!A:E,5,0)</f>
        <v>d</v>
      </c>
      <c r="B247" s="1">
        <v>44172</v>
      </c>
      <c r="C247" s="1">
        <v>44170</v>
      </c>
      <c r="D247" s="1" t="s">
        <v>62</v>
      </c>
      <c r="E247" s="2" t="s">
        <v>404</v>
      </c>
      <c r="F247" s="1"/>
      <c r="G247" s="2">
        <v>12</v>
      </c>
      <c r="H247" s="1"/>
      <c r="I247" t="s">
        <v>1</v>
      </c>
      <c r="J247" t="s">
        <v>2</v>
      </c>
      <c r="K247" t="s">
        <v>19</v>
      </c>
      <c r="L247" t="s">
        <v>72</v>
      </c>
      <c r="M247" s="3" t="s">
        <v>596</v>
      </c>
      <c r="N247"/>
    </row>
    <row r="248" spans="1:14" hidden="1" x14ac:dyDescent="0.25">
      <c r="A248" s="1" t="str">
        <f>VLOOKUP(Table2[[#This Row],[Prod Line ]],Lists!A:E,5,0)</f>
        <v>d</v>
      </c>
      <c r="B248" s="1">
        <v>44172</v>
      </c>
      <c r="C248" s="1">
        <v>44170</v>
      </c>
      <c r="D248" s="1" t="s">
        <v>62</v>
      </c>
      <c r="E248" s="2" t="s">
        <v>404</v>
      </c>
      <c r="F248" s="1"/>
      <c r="G248" s="2">
        <v>46</v>
      </c>
      <c r="H248" s="1"/>
      <c r="I248" t="s">
        <v>1</v>
      </c>
      <c r="J248" t="s">
        <v>2</v>
      </c>
      <c r="K248" t="s">
        <v>19</v>
      </c>
      <c r="L248" t="s">
        <v>72</v>
      </c>
      <c r="M248" s="3" t="s">
        <v>524</v>
      </c>
      <c r="N248"/>
    </row>
    <row r="249" spans="1:14" hidden="1" x14ac:dyDescent="0.25">
      <c r="A249" s="1" t="str">
        <f>VLOOKUP(Table2[[#This Row],[Prod Line ]],Lists!A:E,5,0)</f>
        <v>d</v>
      </c>
      <c r="B249" s="1">
        <v>44172</v>
      </c>
      <c r="C249" s="1">
        <v>44170</v>
      </c>
      <c r="D249" s="1" t="s">
        <v>62</v>
      </c>
      <c r="E249" s="2" t="s">
        <v>405</v>
      </c>
      <c r="F249" s="1"/>
      <c r="G249" s="2">
        <v>15</v>
      </c>
      <c r="H249" s="1"/>
      <c r="I249" t="s">
        <v>1</v>
      </c>
      <c r="J249" t="s">
        <v>2</v>
      </c>
      <c r="K249" t="s">
        <v>14</v>
      </c>
      <c r="L249" t="s">
        <v>72</v>
      </c>
      <c r="M249" s="3" t="s">
        <v>597</v>
      </c>
      <c r="N249"/>
    </row>
    <row r="250" spans="1:14" hidden="1" x14ac:dyDescent="0.25">
      <c r="A250" s="1" t="str">
        <f>VLOOKUP(Table2[[#This Row],[Prod Line ]],Lists!A:E,5,0)</f>
        <v>d</v>
      </c>
      <c r="B250" s="1">
        <v>44172</v>
      </c>
      <c r="C250" s="1">
        <v>44170</v>
      </c>
      <c r="D250" s="1" t="s">
        <v>62</v>
      </c>
      <c r="E250" s="2" t="s">
        <v>405</v>
      </c>
      <c r="F250" s="1"/>
      <c r="G250" s="2">
        <v>8</v>
      </c>
      <c r="H250" s="1"/>
      <c r="I250" t="s">
        <v>1</v>
      </c>
      <c r="J250" t="s">
        <v>2</v>
      </c>
      <c r="K250" t="s">
        <v>19</v>
      </c>
      <c r="L250" t="s">
        <v>72</v>
      </c>
      <c r="M250" s="3" t="s">
        <v>598</v>
      </c>
      <c r="N250"/>
    </row>
    <row r="251" spans="1:14" hidden="1" x14ac:dyDescent="0.25">
      <c r="A251" s="1" t="str">
        <f>VLOOKUP(Table2[[#This Row],[Prod Line ]],Lists!A:E,5,0)</f>
        <v>d</v>
      </c>
      <c r="B251" s="1">
        <v>44172</v>
      </c>
      <c r="C251" s="1">
        <v>44170</v>
      </c>
      <c r="D251" s="1" t="s">
        <v>62</v>
      </c>
      <c r="E251" s="2" t="s">
        <v>406</v>
      </c>
      <c r="F251" s="1"/>
      <c r="G251" s="2">
        <v>17</v>
      </c>
      <c r="H251" s="1"/>
      <c r="I251" t="s">
        <v>1</v>
      </c>
      <c r="J251" t="s">
        <v>2</v>
      </c>
      <c r="K251" t="s">
        <v>19</v>
      </c>
      <c r="L251" t="s">
        <v>72</v>
      </c>
      <c r="M251" s="3" t="s">
        <v>524</v>
      </c>
      <c r="N251"/>
    </row>
    <row r="252" spans="1:14" hidden="1" x14ac:dyDescent="0.25">
      <c r="A252" s="1" t="str">
        <f>VLOOKUP(Table2[[#This Row],[Prod Line ]],Lists!A:E,5,0)</f>
        <v>a</v>
      </c>
      <c r="B252" s="1">
        <v>44172</v>
      </c>
      <c r="C252" s="1">
        <v>44170</v>
      </c>
      <c r="D252" s="1" t="s">
        <v>56</v>
      </c>
      <c r="E252" s="2" t="s">
        <v>404</v>
      </c>
      <c r="F252" s="1"/>
      <c r="G252" s="2">
        <v>3</v>
      </c>
      <c r="H252" s="1"/>
      <c r="I252" t="s">
        <v>1</v>
      </c>
      <c r="J252" t="s">
        <v>65</v>
      </c>
      <c r="L252" t="s">
        <v>72</v>
      </c>
      <c r="M252" s="3" t="s">
        <v>599</v>
      </c>
      <c r="N252"/>
    </row>
    <row r="253" spans="1:14" hidden="1" x14ac:dyDescent="0.25">
      <c r="A253" s="1" t="str">
        <f>VLOOKUP(Table2[[#This Row],[Prod Line ]],Lists!A:E,5,0)</f>
        <v>a</v>
      </c>
      <c r="B253" s="1">
        <v>44172</v>
      </c>
      <c r="C253" s="1">
        <v>44170</v>
      </c>
      <c r="D253" s="1" t="s">
        <v>56</v>
      </c>
      <c r="E253" s="2" t="s">
        <v>404</v>
      </c>
      <c r="F253" s="1"/>
      <c r="G253" s="2">
        <v>6</v>
      </c>
      <c r="H253" s="1"/>
      <c r="I253" t="s">
        <v>1</v>
      </c>
      <c r="J253" t="s">
        <v>2</v>
      </c>
      <c r="K253" t="s">
        <v>19</v>
      </c>
      <c r="L253" t="s">
        <v>407</v>
      </c>
      <c r="M253" s="3" t="s">
        <v>623</v>
      </c>
      <c r="N253"/>
    </row>
    <row r="254" spans="1:14" hidden="1" x14ac:dyDescent="0.25">
      <c r="A254" s="1" t="str">
        <f>VLOOKUP(Table2[[#This Row],[Prod Line ]],Lists!A:E,5,0)</f>
        <v>c</v>
      </c>
      <c r="B254" s="1">
        <v>44172</v>
      </c>
      <c r="C254" s="1">
        <v>44170</v>
      </c>
      <c r="D254" s="1" t="s">
        <v>60</v>
      </c>
      <c r="E254" s="2" t="s">
        <v>404</v>
      </c>
      <c r="F254" s="1"/>
      <c r="G254" s="2">
        <v>26</v>
      </c>
      <c r="H254" s="1"/>
      <c r="I254" t="s">
        <v>1</v>
      </c>
      <c r="J254" t="s">
        <v>2</v>
      </c>
      <c r="K254" t="s">
        <v>19</v>
      </c>
      <c r="L254" t="s">
        <v>72</v>
      </c>
      <c r="M254" s="3" t="s">
        <v>524</v>
      </c>
      <c r="N254"/>
    </row>
    <row r="255" spans="1:14" hidden="1" x14ac:dyDescent="0.25">
      <c r="A255" s="1" t="str">
        <f>VLOOKUP(Table2[[#This Row],[Prod Line ]],Lists!A:E,5,0)</f>
        <v>c</v>
      </c>
      <c r="B255" s="1">
        <v>44172</v>
      </c>
      <c r="C255" s="1">
        <v>44170</v>
      </c>
      <c r="D255" s="1" t="s">
        <v>60</v>
      </c>
      <c r="E255" s="2" t="s">
        <v>405</v>
      </c>
      <c r="F255" s="1"/>
      <c r="G255" s="2">
        <v>15</v>
      </c>
      <c r="H255" s="1"/>
      <c r="I255" t="s">
        <v>1</v>
      </c>
      <c r="J255" t="s">
        <v>26</v>
      </c>
      <c r="K255" t="s">
        <v>26</v>
      </c>
      <c r="L255" t="s">
        <v>72</v>
      </c>
      <c r="M255" s="3" t="s">
        <v>499</v>
      </c>
      <c r="N255"/>
    </row>
    <row r="256" spans="1:14" hidden="1" x14ac:dyDescent="0.25">
      <c r="A256" s="1" t="str">
        <f>VLOOKUP(Table2[[#This Row],[Prod Line ]],Lists!A:E,5,0)</f>
        <v>c</v>
      </c>
      <c r="B256" s="1">
        <v>44172</v>
      </c>
      <c r="C256" s="1">
        <v>44170</v>
      </c>
      <c r="D256" s="1" t="s">
        <v>60</v>
      </c>
      <c r="E256" s="2" t="s">
        <v>405</v>
      </c>
      <c r="F256" s="1"/>
      <c r="G256" s="2">
        <v>14</v>
      </c>
      <c r="H256" s="1"/>
      <c r="I256" t="s">
        <v>1</v>
      </c>
      <c r="J256" t="s">
        <v>2</v>
      </c>
      <c r="K256" t="s">
        <v>378</v>
      </c>
      <c r="L256" t="s">
        <v>72</v>
      </c>
      <c r="M256" s="3" t="s">
        <v>600</v>
      </c>
      <c r="N256"/>
    </row>
    <row r="257" spans="1:14" hidden="1" x14ac:dyDescent="0.25">
      <c r="A257" s="1" t="str">
        <f>VLOOKUP(Table2[[#This Row],[Prod Line ]],Lists!A:E,5,0)</f>
        <v>b</v>
      </c>
      <c r="B257" s="1">
        <v>44172</v>
      </c>
      <c r="C257" s="1">
        <v>44170</v>
      </c>
      <c r="D257" s="1" t="s">
        <v>58</v>
      </c>
      <c r="E257" s="2" t="s">
        <v>406</v>
      </c>
      <c r="F257" s="1"/>
      <c r="G257" s="2">
        <v>23.5</v>
      </c>
      <c r="H257" s="1"/>
      <c r="I257" t="s">
        <v>0</v>
      </c>
      <c r="J257" t="s">
        <v>64</v>
      </c>
      <c r="K257" t="s">
        <v>21</v>
      </c>
      <c r="L257" t="s">
        <v>70</v>
      </c>
      <c r="M257" s="3" t="s">
        <v>601</v>
      </c>
    </row>
    <row r="258" spans="1:14" hidden="1" x14ac:dyDescent="0.25">
      <c r="A258" s="1" t="str">
        <f>VLOOKUP(Table2[[#This Row],[Prod Line ]],Lists!A:E,5,0)</f>
        <v>b</v>
      </c>
      <c r="B258" s="1">
        <v>44172</v>
      </c>
      <c r="C258" s="1">
        <v>44170</v>
      </c>
      <c r="D258" s="1" t="s">
        <v>58</v>
      </c>
      <c r="E258" s="2" t="s">
        <v>406</v>
      </c>
      <c r="F258" s="1"/>
      <c r="G258" s="2">
        <v>5</v>
      </c>
      <c r="H258" s="1"/>
      <c r="I258" t="s">
        <v>1</v>
      </c>
      <c r="J258" t="s">
        <v>2</v>
      </c>
      <c r="K258" t="s">
        <v>19</v>
      </c>
      <c r="L258" t="s">
        <v>72</v>
      </c>
      <c r="M258" s="3" t="s">
        <v>602</v>
      </c>
      <c r="N258"/>
    </row>
    <row r="259" spans="1:14" hidden="1" x14ac:dyDescent="0.25">
      <c r="A259" s="1" t="str">
        <f>VLOOKUP(Table2[[#This Row],[Prod Line ]],Lists!A:E,5,0)</f>
        <v>b</v>
      </c>
      <c r="B259" s="1">
        <v>44172</v>
      </c>
      <c r="C259" s="1">
        <v>44170</v>
      </c>
      <c r="D259" s="1" t="s">
        <v>58</v>
      </c>
      <c r="E259" s="2" t="s">
        <v>404</v>
      </c>
      <c r="F259" s="1"/>
      <c r="G259" s="2">
        <v>9</v>
      </c>
      <c r="H259" s="1"/>
      <c r="I259" t="s">
        <v>1</v>
      </c>
      <c r="J259" t="s">
        <v>26</v>
      </c>
      <c r="K259" t="s">
        <v>25</v>
      </c>
      <c r="L259" t="s">
        <v>72</v>
      </c>
      <c r="M259" s="3" t="s">
        <v>603</v>
      </c>
      <c r="N259"/>
    </row>
    <row r="260" spans="1:14" hidden="1" x14ac:dyDescent="0.25">
      <c r="A260" s="1" t="str">
        <f>VLOOKUP(Table2[[#This Row],[Prod Line ]],Lists!A:E,5,0)</f>
        <v>b</v>
      </c>
      <c r="B260" s="1">
        <v>44172</v>
      </c>
      <c r="C260" s="1">
        <v>44170</v>
      </c>
      <c r="D260" s="1" t="s">
        <v>58</v>
      </c>
      <c r="E260" s="2" t="s">
        <v>404</v>
      </c>
      <c r="F260" s="1"/>
      <c r="G260" s="2">
        <v>6</v>
      </c>
      <c r="H260" s="1"/>
      <c r="I260" t="s">
        <v>1</v>
      </c>
      <c r="J260" t="s">
        <v>2</v>
      </c>
      <c r="K260" t="s">
        <v>19</v>
      </c>
      <c r="L260" t="s">
        <v>72</v>
      </c>
      <c r="M260" s="3" t="s">
        <v>604</v>
      </c>
      <c r="N260"/>
    </row>
    <row r="261" spans="1:14" hidden="1" x14ac:dyDescent="0.25">
      <c r="A261" s="1" t="str">
        <f>VLOOKUP(Table2[[#This Row],[Prod Line ]],Lists!A:E,5,0)</f>
        <v>b</v>
      </c>
      <c r="B261" s="1">
        <v>44172</v>
      </c>
      <c r="C261" s="1">
        <v>44170</v>
      </c>
      <c r="D261" s="1" t="s">
        <v>58</v>
      </c>
      <c r="E261" s="2" t="s">
        <v>404</v>
      </c>
      <c r="F261" s="1"/>
      <c r="G261" s="2">
        <v>14</v>
      </c>
      <c r="H261" s="1"/>
      <c r="I261" t="s">
        <v>1</v>
      </c>
      <c r="J261" t="s">
        <v>26</v>
      </c>
      <c r="K261" t="s">
        <v>25</v>
      </c>
      <c r="L261" t="s">
        <v>72</v>
      </c>
      <c r="M261" s="3" t="s">
        <v>427</v>
      </c>
      <c r="N261"/>
    </row>
    <row r="262" spans="1:14" hidden="1" x14ac:dyDescent="0.25">
      <c r="A262" s="1" t="str">
        <f>VLOOKUP(Table2[[#This Row],[Prod Line ]],Lists!A:E,5,0)</f>
        <v>b</v>
      </c>
      <c r="B262" s="1">
        <v>44172</v>
      </c>
      <c r="C262" s="1">
        <v>44171</v>
      </c>
      <c r="D262" s="1" t="s">
        <v>58</v>
      </c>
      <c r="E262" s="2" t="s">
        <v>404</v>
      </c>
      <c r="F262" s="1"/>
      <c r="G262" s="2">
        <v>4</v>
      </c>
      <c r="H262" s="1"/>
      <c r="I262" t="s">
        <v>1</v>
      </c>
      <c r="J262" t="s">
        <v>26</v>
      </c>
      <c r="K262" t="s">
        <v>25</v>
      </c>
      <c r="L262" t="s">
        <v>72</v>
      </c>
      <c r="M262" s="3" t="s">
        <v>605</v>
      </c>
      <c r="N262"/>
    </row>
    <row r="263" spans="1:14" hidden="1" x14ac:dyDescent="0.25">
      <c r="A263" s="1" t="str">
        <f>VLOOKUP(Table2[[#This Row],[Prod Line ]],Lists!A:E,5,0)</f>
        <v>c</v>
      </c>
      <c r="B263" s="1">
        <v>44173</v>
      </c>
      <c r="C263" s="1">
        <v>44172</v>
      </c>
      <c r="D263" s="1" t="s">
        <v>60</v>
      </c>
      <c r="E263" s="2" t="s">
        <v>404</v>
      </c>
      <c r="F263" s="1"/>
      <c r="G263" s="2">
        <v>14</v>
      </c>
      <c r="H263" s="1"/>
      <c r="I263" t="s">
        <v>1</v>
      </c>
      <c r="J263" t="s">
        <v>2</v>
      </c>
      <c r="K263" t="s">
        <v>378</v>
      </c>
      <c r="L263" t="s">
        <v>349</v>
      </c>
      <c r="M263" s="3" t="s">
        <v>606</v>
      </c>
      <c r="N263"/>
    </row>
    <row r="264" spans="1:14" hidden="1" x14ac:dyDescent="0.25">
      <c r="A264" s="1" t="str">
        <f>VLOOKUP(Table2[[#This Row],[Prod Line ]],Lists!A:E,5,0)</f>
        <v>c</v>
      </c>
      <c r="B264" s="1">
        <v>44173</v>
      </c>
      <c r="C264" s="1">
        <v>44172</v>
      </c>
      <c r="D264" s="1" t="s">
        <v>60</v>
      </c>
      <c r="E264" s="2" t="s">
        <v>404</v>
      </c>
      <c r="F264" s="1"/>
      <c r="G264" s="2">
        <v>30</v>
      </c>
      <c r="H264" s="1"/>
      <c r="I264" t="s">
        <v>1</v>
      </c>
      <c r="J264" t="s">
        <v>64</v>
      </c>
      <c r="K264" t="s">
        <v>381</v>
      </c>
      <c r="L264" t="s">
        <v>70</v>
      </c>
      <c r="M264" s="3" t="s">
        <v>607</v>
      </c>
      <c r="N264"/>
    </row>
    <row r="265" spans="1:14" hidden="1" x14ac:dyDescent="0.25">
      <c r="A265" s="1" t="str">
        <f>VLOOKUP(Table2[[#This Row],[Prod Line ]],Lists!A:E,5,0)</f>
        <v>a</v>
      </c>
      <c r="B265" s="1">
        <v>44173</v>
      </c>
      <c r="C265" s="1">
        <v>44171</v>
      </c>
      <c r="D265" s="1" t="s">
        <v>56</v>
      </c>
      <c r="E265" s="2" t="s">
        <v>404</v>
      </c>
      <c r="F265" s="1"/>
      <c r="G265" s="2">
        <v>12</v>
      </c>
      <c r="H265" s="1"/>
      <c r="I265" t="s">
        <v>0</v>
      </c>
      <c r="J265" t="s">
        <v>64</v>
      </c>
      <c r="K265" t="s">
        <v>368</v>
      </c>
      <c r="L265" t="s">
        <v>70</v>
      </c>
      <c r="M265" s="3" t="s">
        <v>608</v>
      </c>
    </row>
    <row r="266" spans="1:14" hidden="1" x14ac:dyDescent="0.25">
      <c r="A266" s="1" t="str">
        <f>VLOOKUP(Table2[[#This Row],[Prod Line ]],Lists!A:E,5,0)</f>
        <v>a</v>
      </c>
      <c r="B266" s="1">
        <v>44173</v>
      </c>
      <c r="C266" s="1">
        <v>44171</v>
      </c>
      <c r="D266" s="1" t="s">
        <v>56</v>
      </c>
      <c r="E266" s="2" t="s">
        <v>404</v>
      </c>
      <c r="F266" s="1"/>
      <c r="G266" s="2">
        <v>6</v>
      </c>
      <c r="H266" s="1"/>
      <c r="I266" t="s">
        <v>1</v>
      </c>
      <c r="J266" t="s">
        <v>64</v>
      </c>
      <c r="K266" t="s">
        <v>370</v>
      </c>
      <c r="L266" t="s">
        <v>72</v>
      </c>
      <c r="M266" s="3" t="s">
        <v>609</v>
      </c>
      <c r="N266"/>
    </row>
    <row r="267" spans="1:14" hidden="1" x14ac:dyDescent="0.25">
      <c r="A267" s="1" t="str">
        <f>VLOOKUP(Table2[[#This Row],[Prod Line ]],Lists!A:E,5,0)</f>
        <v>d</v>
      </c>
      <c r="B267" s="1">
        <v>44173</v>
      </c>
      <c r="C267" s="1">
        <v>44171</v>
      </c>
      <c r="D267" s="1" t="s">
        <v>62</v>
      </c>
      <c r="E267" s="2" t="s">
        <v>405</v>
      </c>
      <c r="F267" s="1"/>
      <c r="G267" s="2">
        <v>12</v>
      </c>
      <c r="H267" s="1"/>
      <c r="I267" t="s">
        <v>1</v>
      </c>
      <c r="J267" t="s">
        <v>2</v>
      </c>
      <c r="K267" t="s">
        <v>19</v>
      </c>
      <c r="L267" t="s">
        <v>349</v>
      </c>
      <c r="M267" s="3" t="s">
        <v>557</v>
      </c>
      <c r="N267"/>
    </row>
    <row r="268" spans="1:14" hidden="1" x14ac:dyDescent="0.25">
      <c r="A268" s="1" t="str">
        <f>VLOOKUP(Table2[[#This Row],[Prod Line ]],Lists!A:E,5,0)</f>
        <v>d</v>
      </c>
      <c r="B268" s="1">
        <v>44173</v>
      </c>
      <c r="C268" s="1">
        <v>44171</v>
      </c>
      <c r="D268" s="1" t="s">
        <v>62</v>
      </c>
      <c r="E268" s="2" t="s">
        <v>405</v>
      </c>
      <c r="F268" s="1"/>
      <c r="G268" s="2">
        <v>5</v>
      </c>
      <c r="H268" s="1"/>
      <c r="I268" t="s">
        <v>1</v>
      </c>
      <c r="J268" t="s">
        <v>64</v>
      </c>
      <c r="K268" t="s">
        <v>379</v>
      </c>
      <c r="L268" t="s">
        <v>72</v>
      </c>
      <c r="M268" s="3" t="s">
        <v>610</v>
      </c>
      <c r="N268"/>
    </row>
    <row r="269" spans="1:14" hidden="1" x14ac:dyDescent="0.25">
      <c r="A269" s="1" t="str">
        <f>VLOOKUP(Table2[[#This Row],[Prod Line ]],Lists!A:E,5,0)</f>
        <v>b</v>
      </c>
      <c r="B269" s="1">
        <v>44173</v>
      </c>
      <c r="C269" s="1">
        <v>44171</v>
      </c>
      <c r="D269" s="1" t="s">
        <v>58</v>
      </c>
      <c r="E269" s="2" t="s">
        <v>405</v>
      </c>
      <c r="F269" s="1"/>
      <c r="G269" s="2">
        <v>9</v>
      </c>
      <c r="H269" s="1"/>
      <c r="I269" t="s">
        <v>0</v>
      </c>
      <c r="J269" t="s">
        <v>26</v>
      </c>
      <c r="K269" t="s">
        <v>26</v>
      </c>
      <c r="L269" t="s">
        <v>70</v>
      </c>
      <c r="M269" s="3" t="s">
        <v>611</v>
      </c>
    </row>
    <row r="270" spans="1:14" hidden="1" x14ac:dyDescent="0.25">
      <c r="A270" s="1" t="str">
        <f>VLOOKUP(Table2[[#This Row],[Prod Line ]],Lists!A:E,5,0)</f>
        <v>b</v>
      </c>
      <c r="B270" s="1">
        <v>44173</v>
      </c>
      <c r="C270" s="1">
        <v>44171</v>
      </c>
      <c r="D270" s="1" t="s">
        <v>58</v>
      </c>
      <c r="E270" s="2" t="s">
        <v>405</v>
      </c>
      <c r="F270" s="1"/>
      <c r="G270" s="2">
        <v>5</v>
      </c>
      <c r="H270" s="1"/>
      <c r="I270" t="s">
        <v>1</v>
      </c>
      <c r="J270" t="s">
        <v>26</v>
      </c>
      <c r="K270" t="s">
        <v>25</v>
      </c>
      <c r="L270" t="s">
        <v>441</v>
      </c>
      <c r="M270" s="3" t="s">
        <v>612</v>
      </c>
      <c r="N270"/>
    </row>
    <row r="271" spans="1:14" hidden="1" x14ac:dyDescent="0.25">
      <c r="A271" s="1" t="str">
        <f>VLOOKUP(Table2[[#This Row],[Prod Line ]],Lists!A:E,5,0)</f>
        <v>b</v>
      </c>
      <c r="B271" s="1">
        <v>44173</v>
      </c>
      <c r="C271" s="1">
        <v>44171</v>
      </c>
      <c r="D271" s="1" t="s">
        <v>58</v>
      </c>
      <c r="E271" s="2" t="s">
        <v>405</v>
      </c>
      <c r="F271" s="1"/>
      <c r="G271" s="2">
        <v>2</v>
      </c>
      <c r="H271" s="1"/>
      <c r="I271" t="s">
        <v>1</v>
      </c>
      <c r="J271" t="s">
        <v>2</v>
      </c>
      <c r="K271" t="s">
        <v>19</v>
      </c>
      <c r="L271" t="s">
        <v>349</v>
      </c>
      <c r="M271" s="3" t="s">
        <v>613</v>
      </c>
      <c r="N271"/>
    </row>
    <row r="272" spans="1:14" hidden="1" x14ac:dyDescent="0.25">
      <c r="A272" s="1" t="str">
        <f>VLOOKUP(Table2[[#This Row],[Prod Line ]],Lists!A:E,5,0)</f>
        <v>a</v>
      </c>
      <c r="B272" s="1">
        <v>44175</v>
      </c>
      <c r="C272" s="1">
        <v>44173</v>
      </c>
      <c r="D272" s="1" t="s">
        <v>56</v>
      </c>
      <c r="E272" s="2" t="s">
        <v>404</v>
      </c>
      <c r="F272" s="1"/>
      <c r="G272" s="2">
        <v>32</v>
      </c>
      <c r="H272" s="1"/>
      <c r="I272" t="s">
        <v>0</v>
      </c>
      <c r="J272" t="s">
        <v>64</v>
      </c>
      <c r="K272" t="s">
        <v>380</v>
      </c>
      <c r="L272" t="s">
        <v>70</v>
      </c>
      <c r="M272" s="3" t="s">
        <v>616</v>
      </c>
    </row>
    <row r="273" spans="1:14" hidden="1" x14ac:dyDescent="0.25">
      <c r="A273" s="1" t="str">
        <f>VLOOKUP(Table2[[#This Row],[Prod Line ]],Lists!A:E,5,0)</f>
        <v>d</v>
      </c>
      <c r="B273" s="1">
        <v>44175</v>
      </c>
      <c r="C273" s="1">
        <v>44173</v>
      </c>
      <c r="D273" s="1" t="s">
        <v>62</v>
      </c>
      <c r="E273" s="2" t="s">
        <v>405</v>
      </c>
      <c r="F273" s="1"/>
      <c r="G273" s="2">
        <v>8</v>
      </c>
      <c r="H273" s="1"/>
      <c r="I273" t="s">
        <v>1</v>
      </c>
      <c r="J273" t="s">
        <v>2</v>
      </c>
      <c r="K273" t="s">
        <v>19</v>
      </c>
      <c r="L273" t="s">
        <v>72</v>
      </c>
      <c r="M273" s="3" t="s">
        <v>615</v>
      </c>
      <c r="N273"/>
    </row>
    <row r="274" spans="1:14" hidden="1" x14ac:dyDescent="0.25">
      <c r="A274" s="1" t="str">
        <f>VLOOKUP(Table2[[#This Row],[Prod Line ]],Lists!A:E,5,0)</f>
        <v>a</v>
      </c>
      <c r="B274" s="1">
        <v>44175</v>
      </c>
      <c r="C274" s="1">
        <v>44173</v>
      </c>
      <c r="D274" s="1" t="s">
        <v>56</v>
      </c>
      <c r="E274" s="2" t="s">
        <v>405</v>
      </c>
      <c r="F274" s="1"/>
      <c r="G274" s="2">
        <v>35</v>
      </c>
      <c r="H274" s="1"/>
      <c r="I274" t="s">
        <v>0</v>
      </c>
      <c r="J274" t="s">
        <v>2</v>
      </c>
      <c r="K274" t="s">
        <v>19</v>
      </c>
      <c r="L274" t="s">
        <v>70</v>
      </c>
      <c r="M274" s="3" t="s">
        <v>617</v>
      </c>
    </row>
    <row r="275" spans="1:14" hidden="1" x14ac:dyDescent="0.25">
      <c r="A275" s="1" t="str">
        <f>VLOOKUP(Table2[[#This Row],[Prod Line ]],Lists!A:E,5,0)</f>
        <v>a</v>
      </c>
      <c r="B275" s="1">
        <v>44175</v>
      </c>
      <c r="C275" s="1">
        <v>44173</v>
      </c>
      <c r="D275" s="1" t="s">
        <v>56</v>
      </c>
      <c r="E275" s="2" t="s">
        <v>404</v>
      </c>
      <c r="F275" s="1"/>
      <c r="G275" s="2">
        <v>6</v>
      </c>
      <c r="H275" s="1"/>
      <c r="I275" t="s">
        <v>1</v>
      </c>
      <c r="J275" t="s">
        <v>64</v>
      </c>
      <c r="K275" t="s">
        <v>370</v>
      </c>
      <c r="L275" t="s">
        <v>407</v>
      </c>
      <c r="M275" s="3" t="s">
        <v>624</v>
      </c>
      <c r="N275"/>
    </row>
    <row r="276" spans="1:14" hidden="1" x14ac:dyDescent="0.25">
      <c r="A276" s="1" t="str">
        <f>VLOOKUP(Table2[[#This Row],[Prod Line ]],Lists!A:E,5,0)</f>
        <v>d</v>
      </c>
      <c r="B276" s="1">
        <v>44175</v>
      </c>
      <c r="C276" s="1">
        <v>44173</v>
      </c>
      <c r="D276" s="1" t="s">
        <v>62</v>
      </c>
      <c r="E276" s="2" t="s">
        <v>404</v>
      </c>
      <c r="F276" s="1"/>
      <c r="G276" s="2">
        <v>26</v>
      </c>
      <c r="H276" s="1"/>
      <c r="I276" t="s">
        <v>0</v>
      </c>
      <c r="J276" t="s">
        <v>64</v>
      </c>
      <c r="K276" t="s">
        <v>379</v>
      </c>
      <c r="L276" t="s">
        <v>70</v>
      </c>
      <c r="M276" s="3" t="s">
        <v>614</v>
      </c>
    </row>
    <row r="277" spans="1:14" hidden="1" x14ac:dyDescent="0.25">
      <c r="A277" s="1" t="str">
        <f>VLOOKUP(Table2[[#This Row],[Prod Line ]],Lists!A:E,5,0)</f>
        <v>a</v>
      </c>
      <c r="B277" s="1">
        <v>44175</v>
      </c>
      <c r="C277" s="1">
        <v>44173</v>
      </c>
      <c r="D277" s="1" t="s">
        <v>56</v>
      </c>
      <c r="E277" s="2" t="s">
        <v>405</v>
      </c>
      <c r="F277" s="1"/>
      <c r="G277" s="2">
        <v>20</v>
      </c>
      <c r="H277" s="1"/>
      <c r="I277" t="s">
        <v>1</v>
      </c>
      <c r="J277" t="s">
        <v>2</v>
      </c>
      <c r="K277" t="s">
        <v>19</v>
      </c>
      <c r="L277" t="s">
        <v>72</v>
      </c>
      <c r="M277" s="3" t="s">
        <v>618</v>
      </c>
      <c r="N277"/>
    </row>
    <row r="278" spans="1:14" hidden="1" x14ac:dyDescent="0.25">
      <c r="A278" s="1" t="str">
        <f>VLOOKUP(Table2[[#This Row],[Prod Line ]],Lists!A:E,5,0)</f>
        <v>c</v>
      </c>
      <c r="B278" s="1">
        <v>44176</v>
      </c>
      <c r="C278" s="1">
        <v>44174</v>
      </c>
      <c r="D278" s="1" t="s">
        <v>60</v>
      </c>
      <c r="E278" s="2" t="s">
        <v>405</v>
      </c>
      <c r="F278" s="1"/>
      <c r="G278" s="2">
        <v>22</v>
      </c>
      <c r="H278" s="1"/>
      <c r="I278" t="s">
        <v>1</v>
      </c>
      <c r="J278" t="s">
        <v>2</v>
      </c>
      <c r="K278" t="s">
        <v>377</v>
      </c>
      <c r="L278" t="s">
        <v>72</v>
      </c>
      <c r="M278" s="3" t="s">
        <v>619</v>
      </c>
      <c r="N278"/>
    </row>
    <row r="279" spans="1:14" hidden="1" x14ac:dyDescent="0.25">
      <c r="A279" s="1" t="str">
        <f>VLOOKUP(Table2[[#This Row],[Prod Line ]],Lists!A:E,5,0)</f>
        <v>c</v>
      </c>
      <c r="B279" s="1">
        <v>44176</v>
      </c>
      <c r="C279" s="1">
        <v>44174</v>
      </c>
      <c r="D279" s="1" t="s">
        <v>60</v>
      </c>
      <c r="E279" s="2" t="s">
        <v>405</v>
      </c>
      <c r="F279" s="1"/>
      <c r="G279" s="2">
        <v>16</v>
      </c>
      <c r="H279" s="1"/>
      <c r="I279" t="s">
        <v>1</v>
      </c>
      <c r="J279" t="s">
        <v>2</v>
      </c>
      <c r="K279" t="s">
        <v>378</v>
      </c>
      <c r="L279" t="s">
        <v>349</v>
      </c>
      <c r="M279" s="3" t="s">
        <v>519</v>
      </c>
      <c r="N279"/>
    </row>
    <row r="280" spans="1:14" hidden="1" x14ac:dyDescent="0.25">
      <c r="A280" s="1" t="str">
        <f>VLOOKUP(Table2[[#This Row],[Prod Line ]],Lists!A:E,5,0)</f>
        <v>d</v>
      </c>
      <c r="B280" s="1">
        <v>44176</v>
      </c>
      <c r="C280" s="1">
        <v>44174</v>
      </c>
      <c r="D280" s="1" t="s">
        <v>62</v>
      </c>
      <c r="E280" s="2" t="s">
        <v>404</v>
      </c>
      <c r="F280" s="1"/>
      <c r="G280" s="2">
        <v>5</v>
      </c>
      <c r="H280" s="1"/>
      <c r="I280" t="s">
        <v>1</v>
      </c>
      <c r="J280" t="s">
        <v>64</v>
      </c>
      <c r="K280" t="s">
        <v>379</v>
      </c>
      <c r="L280" t="s">
        <v>407</v>
      </c>
      <c r="M280" s="3" t="s">
        <v>620</v>
      </c>
      <c r="N280"/>
    </row>
    <row r="281" spans="1:14" hidden="1" x14ac:dyDescent="0.25">
      <c r="A281" s="1" t="str">
        <f>VLOOKUP(Table2[[#This Row],[Prod Line ]],Lists!A:E,5,0)</f>
        <v>d</v>
      </c>
      <c r="B281" s="1">
        <v>44176</v>
      </c>
      <c r="C281" s="1">
        <v>44174</v>
      </c>
      <c r="D281" s="1" t="s">
        <v>62</v>
      </c>
      <c r="E281" s="2" t="s">
        <v>405</v>
      </c>
      <c r="F281" s="1"/>
      <c r="G281" s="2">
        <v>21</v>
      </c>
      <c r="H281" s="1"/>
      <c r="I281" t="s">
        <v>1</v>
      </c>
      <c r="J281" t="s">
        <v>2</v>
      </c>
      <c r="K281" t="s">
        <v>19</v>
      </c>
      <c r="L281" t="s">
        <v>72</v>
      </c>
      <c r="M281" s="3" t="s">
        <v>621</v>
      </c>
      <c r="N281"/>
    </row>
    <row r="282" spans="1:14" hidden="1" x14ac:dyDescent="0.25">
      <c r="A282" s="1" t="str">
        <f>VLOOKUP(Table2[[#This Row],[Prod Line ]],Lists!A:E,5,0)</f>
        <v>d</v>
      </c>
      <c r="B282" s="1">
        <v>44176</v>
      </c>
      <c r="C282" s="1">
        <v>44174</v>
      </c>
      <c r="D282" s="1" t="s">
        <v>62</v>
      </c>
      <c r="E282" s="2" t="s">
        <v>405</v>
      </c>
      <c r="F282" s="1"/>
      <c r="G282" s="2">
        <v>13</v>
      </c>
      <c r="H282" s="1"/>
      <c r="I282" t="s">
        <v>1</v>
      </c>
      <c r="J282" t="s">
        <v>2</v>
      </c>
      <c r="K282" t="s">
        <v>19</v>
      </c>
      <c r="L282" t="s">
        <v>407</v>
      </c>
      <c r="M282" s="3" t="s">
        <v>437</v>
      </c>
      <c r="N282"/>
    </row>
    <row r="283" spans="1:14" hidden="1" x14ac:dyDescent="0.25">
      <c r="A283" s="1" t="str">
        <f>VLOOKUP(Table2[[#This Row],[Prod Line ]],Lists!A:E,5,0)</f>
        <v>b</v>
      </c>
      <c r="B283" s="1">
        <v>44176</v>
      </c>
      <c r="C283" s="1">
        <v>44174</v>
      </c>
      <c r="D283" s="1" t="s">
        <v>58</v>
      </c>
      <c r="E283" s="2" t="s">
        <v>405</v>
      </c>
      <c r="F283" s="1"/>
      <c r="G283" s="2">
        <v>10</v>
      </c>
      <c r="H283" s="1"/>
      <c r="I283" t="s">
        <v>1</v>
      </c>
      <c r="J283" t="s">
        <v>2</v>
      </c>
      <c r="K283" t="s">
        <v>19</v>
      </c>
      <c r="L283" t="s">
        <v>349</v>
      </c>
      <c r="M283" s="3" t="s">
        <v>622</v>
      </c>
      <c r="N283"/>
    </row>
    <row r="284" spans="1:14" hidden="1" x14ac:dyDescent="0.25">
      <c r="A284" s="1" t="str">
        <f>VLOOKUP(Table2[[#This Row],[Prod Line ]],Lists!A:E,5,0)</f>
        <v>b</v>
      </c>
      <c r="B284" s="1">
        <v>44176</v>
      </c>
      <c r="C284" s="1">
        <v>44174</v>
      </c>
      <c r="D284" s="1" t="s">
        <v>58</v>
      </c>
      <c r="E284" s="2" t="s">
        <v>405</v>
      </c>
      <c r="F284" s="1"/>
      <c r="G284" s="2">
        <v>5</v>
      </c>
      <c r="H284" s="1"/>
      <c r="I284" t="s">
        <v>1</v>
      </c>
      <c r="J284" t="s">
        <v>26</v>
      </c>
      <c r="K284" t="s">
        <v>25</v>
      </c>
      <c r="L284" t="s">
        <v>441</v>
      </c>
      <c r="M284" s="3"/>
      <c r="N284"/>
    </row>
    <row r="285" spans="1:14" hidden="1" x14ac:dyDescent="0.25">
      <c r="A285" s="1" t="str">
        <f>VLOOKUP(Table2[[#This Row],[Prod Line ]],Lists!A:E,5,0)</f>
        <v>a</v>
      </c>
      <c r="B285" s="1">
        <v>44177</v>
      </c>
      <c r="C285" s="1">
        <v>44175</v>
      </c>
      <c r="D285" s="1" t="s">
        <v>56</v>
      </c>
      <c r="E285" s="2" t="s">
        <v>404</v>
      </c>
      <c r="F285" s="1"/>
      <c r="G285" s="2">
        <v>5</v>
      </c>
      <c r="H285" s="1"/>
      <c r="I285" t="s">
        <v>1</v>
      </c>
      <c r="J285" t="s">
        <v>67</v>
      </c>
      <c r="K285" t="s">
        <v>67</v>
      </c>
      <c r="L285" t="s">
        <v>345</v>
      </c>
      <c r="M285" s="3" t="s">
        <v>625</v>
      </c>
      <c r="N285"/>
    </row>
    <row r="286" spans="1:14" hidden="1" x14ac:dyDescent="0.25">
      <c r="A286" s="1" t="str">
        <f>VLOOKUP(Table2[[#This Row],[Prod Line ]],Lists!A:E,5,0)</f>
        <v>a</v>
      </c>
      <c r="B286" s="1">
        <v>44177</v>
      </c>
      <c r="C286" s="1">
        <v>44175</v>
      </c>
      <c r="D286" s="1" t="s">
        <v>56</v>
      </c>
      <c r="E286" s="2" t="s">
        <v>404</v>
      </c>
      <c r="F286" s="1"/>
      <c r="G286" s="2">
        <v>4</v>
      </c>
      <c r="H286" s="1"/>
      <c r="I286" t="s">
        <v>1</v>
      </c>
      <c r="J286" t="s">
        <v>2</v>
      </c>
      <c r="K286" t="s">
        <v>19</v>
      </c>
      <c r="L286" t="s">
        <v>349</v>
      </c>
      <c r="M286" s="3" t="s">
        <v>575</v>
      </c>
      <c r="N286"/>
    </row>
    <row r="287" spans="1:14" hidden="1" x14ac:dyDescent="0.25">
      <c r="A287" s="1" t="str">
        <f>VLOOKUP(Table2[[#This Row],[Prod Line ]],Lists!A:E,5,0)</f>
        <v>a</v>
      </c>
      <c r="B287" s="1">
        <v>44177</v>
      </c>
      <c r="C287" s="1">
        <v>44175</v>
      </c>
      <c r="D287" s="1" t="s">
        <v>56</v>
      </c>
      <c r="E287" s="2" t="s">
        <v>404</v>
      </c>
      <c r="F287" s="1"/>
      <c r="G287" s="2">
        <v>18</v>
      </c>
      <c r="H287" s="1"/>
      <c r="I287" t="s">
        <v>0</v>
      </c>
      <c r="J287" t="s">
        <v>5</v>
      </c>
      <c r="K287" t="s">
        <v>376</v>
      </c>
      <c r="L287" t="s">
        <v>70</v>
      </c>
      <c r="M287" s="3" t="s">
        <v>626</v>
      </c>
    </row>
    <row r="288" spans="1:14" hidden="1" x14ac:dyDescent="0.25">
      <c r="A288" s="1" t="str">
        <f>VLOOKUP(Table2[[#This Row],[Prod Line ]],Lists!A:E,5,0)</f>
        <v>c</v>
      </c>
      <c r="B288" s="1">
        <v>44177</v>
      </c>
      <c r="C288" s="1">
        <v>44175</v>
      </c>
      <c r="D288" s="1" t="s">
        <v>60</v>
      </c>
      <c r="E288" s="2" t="s">
        <v>404</v>
      </c>
      <c r="F288" s="1"/>
      <c r="G288" s="2">
        <v>35</v>
      </c>
      <c r="H288" s="1"/>
      <c r="I288" t="s">
        <v>1</v>
      </c>
      <c r="J288" t="s">
        <v>26</v>
      </c>
      <c r="K288" t="s">
        <v>26</v>
      </c>
      <c r="L288" t="s">
        <v>430</v>
      </c>
      <c r="M288" s="3" t="s">
        <v>627</v>
      </c>
      <c r="N288"/>
    </row>
    <row r="289" spans="1:14" hidden="1" x14ac:dyDescent="0.25">
      <c r="A289" s="1" t="str">
        <f>VLOOKUP(Table2[[#This Row],[Prod Line ]],Lists!A:E,5,0)</f>
        <v>c</v>
      </c>
      <c r="B289" s="1">
        <v>44177</v>
      </c>
      <c r="C289" s="1">
        <v>44175</v>
      </c>
      <c r="D289" s="1" t="s">
        <v>60</v>
      </c>
      <c r="E289" s="2" t="s">
        <v>405</v>
      </c>
      <c r="F289" s="1"/>
      <c r="G289" s="2">
        <v>12</v>
      </c>
      <c r="H289" s="1"/>
      <c r="I289" t="s">
        <v>1</v>
      </c>
      <c r="J289" t="s">
        <v>2</v>
      </c>
      <c r="K289" t="s">
        <v>378</v>
      </c>
      <c r="L289" t="s">
        <v>349</v>
      </c>
      <c r="M289" s="3" t="s">
        <v>575</v>
      </c>
      <c r="N289"/>
    </row>
    <row r="290" spans="1:14" hidden="1" x14ac:dyDescent="0.25">
      <c r="A290" s="1" t="str">
        <f>VLOOKUP(Table2[[#This Row],[Prod Line ]],Lists!A:E,5,0)</f>
        <v>d</v>
      </c>
      <c r="B290" s="1">
        <v>44177</v>
      </c>
      <c r="C290" s="1">
        <v>44175</v>
      </c>
      <c r="D290" s="1" t="s">
        <v>62</v>
      </c>
      <c r="E290" s="2" t="s">
        <v>404</v>
      </c>
      <c r="F290" s="1"/>
      <c r="G290" s="2">
        <v>40</v>
      </c>
      <c r="H290" s="1"/>
      <c r="I290" t="s">
        <v>1</v>
      </c>
      <c r="J290" t="s">
        <v>67</v>
      </c>
      <c r="K290" t="s">
        <v>67</v>
      </c>
      <c r="L290" t="s">
        <v>72</v>
      </c>
      <c r="M290" s="3" t="s">
        <v>628</v>
      </c>
      <c r="N290"/>
    </row>
    <row r="291" spans="1:14" hidden="1" x14ac:dyDescent="0.25">
      <c r="A291" s="1" t="str">
        <f>VLOOKUP(Table2[[#This Row],[Prod Line ]],Lists!A:E,5,0)</f>
        <v>d</v>
      </c>
      <c r="B291" s="1">
        <v>44177</v>
      </c>
      <c r="C291" s="1">
        <v>44175</v>
      </c>
      <c r="D291" s="1" t="s">
        <v>62</v>
      </c>
      <c r="E291" s="2" t="s">
        <v>405</v>
      </c>
      <c r="F291" s="1"/>
      <c r="G291" s="2">
        <v>5</v>
      </c>
      <c r="H291" s="1"/>
      <c r="I291" t="s">
        <v>1</v>
      </c>
      <c r="J291" t="s">
        <v>66</v>
      </c>
      <c r="K291" t="s">
        <v>4</v>
      </c>
      <c r="L291" t="s">
        <v>407</v>
      </c>
      <c r="M291" s="3" t="s">
        <v>629</v>
      </c>
      <c r="N291"/>
    </row>
    <row r="292" spans="1:14" hidden="1" x14ac:dyDescent="0.25">
      <c r="A292" s="1" t="str">
        <f>VLOOKUP(Table2[[#This Row],[Prod Line ]],Lists!A:E,5,0)</f>
        <v>b</v>
      </c>
      <c r="B292" s="1">
        <v>44177</v>
      </c>
      <c r="C292" s="1">
        <v>44175</v>
      </c>
      <c r="D292" s="1" t="s">
        <v>58</v>
      </c>
      <c r="E292" s="2" t="s">
        <v>404</v>
      </c>
      <c r="F292" s="1"/>
      <c r="G292" s="2">
        <v>4</v>
      </c>
      <c r="H292" s="1"/>
      <c r="I292" t="s">
        <v>1</v>
      </c>
      <c r="J292" t="s">
        <v>2</v>
      </c>
      <c r="K292" t="s">
        <v>19</v>
      </c>
      <c r="L292" t="s">
        <v>349</v>
      </c>
      <c r="M292" s="3" t="s">
        <v>630</v>
      </c>
      <c r="N292"/>
    </row>
    <row r="293" spans="1:14" hidden="1" x14ac:dyDescent="0.25">
      <c r="A293" s="1" t="str">
        <f>VLOOKUP(Table2[[#This Row],[Prod Line ]],Lists!A:E,5,0)</f>
        <v>d</v>
      </c>
      <c r="B293" s="1">
        <v>44177</v>
      </c>
      <c r="C293" s="1">
        <v>44175</v>
      </c>
      <c r="D293" s="1" t="s">
        <v>62</v>
      </c>
      <c r="E293" s="2" t="s">
        <v>406</v>
      </c>
      <c r="F293" s="1"/>
      <c r="G293" s="2">
        <v>18</v>
      </c>
      <c r="H293" s="1"/>
      <c r="I293" t="s">
        <v>1</v>
      </c>
      <c r="J293" t="s">
        <v>64</v>
      </c>
      <c r="K293" t="s">
        <v>379</v>
      </c>
      <c r="L293" t="s">
        <v>407</v>
      </c>
      <c r="M293" s="3" t="s">
        <v>631</v>
      </c>
      <c r="N293"/>
    </row>
    <row r="294" spans="1:14" hidden="1" x14ac:dyDescent="0.25">
      <c r="A294" s="1" t="str">
        <f>VLOOKUP(Table2[[#This Row],[Prod Line ]],Lists!A:E,5,0)</f>
        <v>c</v>
      </c>
      <c r="B294" s="1">
        <v>44179</v>
      </c>
      <c r="C294" s="1">
        <v>44177</v>
      </c>
      <c r="D294" s="1" t="s">
        <v>60</v>
      </c>
      <c r="E294" s="2" t="s">
        <v>404</v>
      </c>
      <c r="F294" s="1"/>
      <c r="G294" s="2">
        <v>12</v>
      </c>
      <c r="H294" s="1"/>
      <c r="I294" t="s">
        <v>1</v>
      </c>
      <c r="J294" t="s">
        <v>2</v>
      </c>
      <c r="K294" t="s">
        <v>378</v>
      </c>
      <c r="L294" t="s">
        <v>349</v>
      </c>
      <c r="M294" s="3" t="s">
        <v>557</v>
      </c>
      <c r="N294"/>
    </row>
    <row r="295" spans="1:14" hidden="1" x14ac:dyDescent="0.25">
      <c r="A295" s="1" t="str">
        <f>VLOOKUP(Table2[[#This Row],[Prod Line ]],Lists!A:E,5,0)</f>
        <v>c</v>
      </c>
      <c r="B295" s="1">
        <v>44179</v>
      </c>
      <c r="C295" s="1">
        <v>44177</v>
      </c>
      <c r="D295" s="1" t="s">
        <v>60</v>
      </c>
      <c r="E295" s="2" t="s">
        <v>405</v>
      </c>
      <c r="F295" s="1"/>
      <c r="G295" s="2">
        <v>10</v>
      </c>
      <c r="H295" s="1"/>
      <c r="I295" t="s">
        <v>1</v>
      </c>
      <c r="J295" t="s">
        <v>64</v>
      </c>
      <c r="K295" t="s">
        <v>381</v>
      </c>
      <c r="L295" t="s">
        <v>72</v>
      </c>
      <c r="M295" s="3" t="s">
        <v>632</v>
      </c>
      <c r="N295"/>
    </row>
    <row r="296" spans="1:14" hidden="1" x14ac:dyDescent="0.25">
      <c r="A296" s="1" t="str">
        <f>VLOOKUP(Table2[[#This Row],[Prod Line ]],Lists!A:E,5,0)</f>
        <v>c</v>
      </c>
      <c r="B296" s="1">
        <v>44179</v>
      </c>
      <c r="C296" s="1">
        <v>44177</v>
      </c>
      <c r="D296" s="1" t="s">
        <v>60</v>
      </c>
      <c r="E296" s="2" t="s">
        <v>405</v>
      </c>
      <c r="F296" s="1"/>
      <c r="G296" s="2">
        <v>15</v>
      </c>
      <c r="H296" s="1"/>
      <c r="I296" t="s">
        <v>1</v>
      </c>
      <c r="J296" t="s">
        <v>65</v>
      </c>
      <c r="K296" t="s">
        <v>3</v>
      </c>
      <c r="L296" t="s">
        <v>72</v>
      </c>
      <c r="M296" s="3" t="s">
        <v>633</v>
      </c>
      <c r="N296"/>
    </row>
    <row r="297" spans="1:14" hidden="1" x14ac:dyDescent="0.25">
      <c r="A297" s="1" t="str">
        <f>VLOOKUP(Table2[[#This Row],[Prod Line ]],Lists!A:E,5,0)</f>
        <v>d</v>
      </c>
      <c r="B297" s="1">
        <v>44179</v>
      </c>
      <c r="C297" s="1">
        <v>44176</v>
      </c>
      <c r="D297" s="1" t="s">
        <v>62</v>
      </c>
      <c r="E297" s="2" t="s">
        <v>406</v>
      </c>
      <c r="F297" s="1"/>
      <c r="G297" s="2">
        <v>13</v>
      </c>
      <c r="H297" s="1"/>
      <c r="I297" t="s">
        <v>0</v>
      </c>
      <c r="J297" t="s">
        <v>2</v>
      </c>
      <c r="K297" t="s">
        <v>13</v>
      </c>
      <c r="L297" t="s">
        <v>70</v>
      </c>
      <c r="M297" s="3" t="s">
        <v>634</v>
      </c>
    </row>
    <row r="298" spans="1:14" hidden="1" x14ac:dyDescent="0.25">
      <c r="A298" s="1" t="str">
        <f>VLOOKUP(Table2[[#This Row],[Prod Line ]],Lists!A:E,5,0)</f>
        <v>d</v>
      </c>
      <c r="B298" s="1">
        <v>44179</v>
      </c>
      <c r="C298" s="1">
        <v>44176</v>
      </c>
      <c r="D298" s="1" t="s">
        <v>62</v>
      </c>
      <c r="E298" s="2" t="s">
        <v>406</v>
      </c>
      <c r="F298" s="1"/>
      <c r="G298" s="2">
        <v>21</v>
      </c>
      <c r="H298" s="1" t="s">
        <v>0</v>
      </c>
      <c r="I298" t="s">
        <v>0</v>
      </c>
      <c r="J298" t="s">
        <v>2</v>
      </c>
      <c r="K298" t="s">
        <v>13</v>
      </c>
      <c r="L298" t="s">
        <v>70</v>
      </c>
      <c r="M298" s="3" t="s">
        <v>635</v>
      </c>
    </row>
    <row r="299" spans="1:14" hidden="1" x14ac:dyDescent="0.25">
      <c r="A299" s="1" t="str">
        <f>VLOOKUP(Table2[[#This Row],[Prod Line ]],Lists!A:E,5,0)</f>
        <v>d</v>
      </c>
      <c r="B299" s="1">
        <v>44179</v>
      </c>
      <c r="C299" s="1">
        <v>44177</v>
      </c>
      <c r="D299" s="1" t="s">
        <v>62</v>
      </c>
      <c r="E299" s="2" t="s">
        <v>404</v>
      </c>
      <c r="F299" s="1"/>
      <c r="G299" s="2">
        <v>14</v>
      </c>
      <c r="H299" s="1"/>
      <c r="I299" t="s">
        <v>1</v>
      </c>
      <c r="J299" t="s">
        <v>2</v>
      </c>
      <c r="K299" t="s">
        <v>19</v>
      </c>
      <c r="L299" t="s">
        <v>72</v>
      </c>
      <c r="M299" s="3" t="s">
        <v>543</v>
      </c>
      <c r="N299"/>
    </row>
    <row r="300" spans="1:14" hidden="1" x14ac:dyDescent="0.25">
      <c r="A300" s="1" t="str">
        <f>VLOOKUP(Table2[[#This Row],[Prod Line ]],Lists!A:E,5,0)</f>
        <v>d</v>
      </c>
      <c r="B300" s="1">
        <v>44179</v>
      </c>
      <c r="C300" s="1">
        <v>44177</v>
      </c>
      <c r="D300" s="1" t="s">
        <v>62</v>
      </c>
      <c r="E300" s="2" t="s">
        <v>404</v>
      </c>
      <c r="F300" s="1"/>
      <c r="G300" s="2">
        <v>10</v>
      </c>
      <c r="H300" s="1"/>
      <c r="I300" t="s">
        <v>1</v>
      </c>
      <c r="J300" t="s">
        <v>2</v>
      </c>
      <c r="K300" t="s">
        <v>19</v>
      </c>
      <c r="L300" t="s">
        <v>349</v>
      </c>
      <c r="M300" s="3" t="s">
        <v>557</v>
      </c>
      <c r="N300"/>
    </row>
    <row r="301" spans="1:14" hidden="1" x14ac:dyDescent="0.25">
      <c r="A301" s="1" t="str">
        <f>VLOOKUP(Table2[[#This Row],[Prod Line ]],Lists!A:E,5,0)</f>
        <v>b</v>
      </c>
      <c r="B301" s="1">
        <v>44179</v>
      </c>
      <c r="C301" s="1">
        <v>44177</v>
      </c>
      <c r="D301" s="1" t="s">
        <v>58</v>
      </c>
      <c r="E301" s="2" t="s">
        <v>406</v>
      </c>
      <c r="F301" s="1"/>
      <c r="G301" s="2">
        <v>5</v>
      </c>
      <c r="H301" s="1"/>
      <c r="I301" t="s">
        <v>1</v>
      </c>
      <c r="J301" t="s">
        <v>26</v>
      </c>
      <c r="K301" t="s">
        <v>25</v>
      </c>
      <c r="L301" t="s">
        <v>441</v>
      </c>
      <c r="M301" s="3" t="s">
        <v>441</v>
      </c>
      <c r="N301"/>
    </row>
    <row r="302" spans="1:14" hidden="1" x14ac:dyDescent="0.25">
      <c r="A302" s="1" t="str">
        <f>VLOOKUP(Table2[[#This Row],[Prod Line ]],Lists!A:E,5,0)</f>
        <v>b</v>
      </c>
      <c r="B302" s="1">
        <v>44179</v>
      </c>
      <c r="C302" s="1">
        <v>44177</v>
      </c>
      <c r="D302" s="1" t="s">
        <v>58</v>
      </c>
      <c r="E302" s="2" t="s">
        <v>406</v>
      </c>
      <c r="F302" s="1"/>
      <c r="G302" s="2">
        <v>5</v>
      </c>
      <c r="H302" s="1"/>
      <c r="I302" t="s">
        <v>1</v>
      </c>
      <c r="J302" t="s">
        <v>5</v>
      </c>
      <c r="K302" t="s">
        <v>36</v>
      </c>
      <c r="L302" t="s">
        <v>344</v>
      </c>
      <c r="M302" s="3" t="s">
        <v>636</v>
      </c>
      <c r="N302"/>
    </row>
    <row r="303" spans="1:14" hidden="1" x14ac:dyDescent="0.25">
      <c r="A303" s="1" t="str">
        <f>VLOOKUP(Table2[[#This Row],[Prod Line ]],Lists!A:E,5,0)</f>
        <v>d</v>
      </c>
      <c r="B303" s="1">
        <v>44180</v>
      </c>
      <c r="C303" s="1">
        <v>44178</v>
      </c>
      <c r="D303" s="1" t="s">
        <v>62</v>
      </c>
      <c r="E303" s="2" t="s">
        <v>406</v>
      </c>
      <c r="F303" s="1"/>
      <c r="G303" s="2">
        <v>8</v>
      </c>
      <c r="H303" s="1"/>
      <c r="I303" t="s">
        <v>1</v>
      </c>
      <c r="J303" t="s">
        <v>64</v>
      </c>
      <c r="K303" t="s">
        <v>379</v>
      </c>
      <c r="L303" t="s">
        <v>407</v>
      </c>
      <c r="M303" s="3" t="s">
        <v>637</v>
      </c>
      <c r="N303"/>
    </row>
    <row r="304" spans="1:14" hidden="1" x14ac:dyDescent="0.25">
      <c r="A304" s="1" t="str">
        <f>VLOOKUP(Table2[[#This Row],[Prod Line ]],Lists!A:E,5,0)</f>
        <v>d</v>
      </c>
      <c r="B304" s="1">
        <v>44180</v>
      </c>
      <c r="C304" s="1">
        <v>44178</v>
      </c>
      <c r="D304" s="1" t="s">
        <v>62</v>
      </c>
      <c r="E304" s="2" t="s">
        <v>404</v>
      </c>
      <c r="F304" s="1"/>
      <c r="G304" s="2">
        <v>93</v>
      </c>
      <c r="H304" s="1"/>
      <c r="I304" t="s">
        <v>0</v>
      </c>
      <c r="J304" t="s">
        <v>2</v>
      </c>
      <c r="K304" t="s">
        <v>15</v>
      </c>
      <c r="L304" t="s">
        <v>70</v>
      </c>
      <c r="M304" s="3" t="s">
        <v>638</v>
      </c>
    </row>
    <row r="305" spans="1:14" hidden="1" x14ac:dyDescent="0.25">
      <c r="A305" s="1" t="str">
        <f>VLOOKUP(Table2[[#This Row],[Prod Line ]],Lists!A:E,5,0)</f>
        <v>d</v>
      </c>
      <c r="B305" s="1">
        <v>44180</v>
      </c>
      <c r="C305" s="1">
        <v>44178</v>
      </c>
      <c r="D305" s="1" t="s">
        <v>62</v>
      </c>
      <c r="E305" s="2" t="s">
        <v>404</v>
      </c>
      <c r="F305" s="1"/>
      <c r="G305" s="2">
        <v>20</v>
      </c>
      <c r="H305" s="1"/>
      <c r="I305" t="s">
        <v>1</v>
      </c>
      <c r="J305" t="s">
        <v>2</v>
      </c>
      <c r="K305" t="s">
        <v>19</v>
      </c>
      <c r="L305" t="s">
        <v>407</v>
      </c>
      <c r="M305" s="3" t="s">
        <v>639</v>
      </c>
      <c r="N305"/>
    </row>
    <row r="306" spans="1:14" hidden="1" x14ac:dyDescent="0.25">
      <c r="A306" s="1" t="str">
        <f>VLOOKUP(Table2[[#This Row],[Prod Line ]],Lists!A:E,5,0)</f>
        <v>d</v>
      </c>
      <c r="B306" s="1">
        <v>44180</v>
      </c>
      <c r="C306" s="1">
        <v>44178</v>
      </c>
      <c r="D306" s="1" t="s">
        <v>62</v>
      </c>
      <c r="E306" s="2" t="s">
        <v>404</v>
      </c>
      <c r="F306" s="1"/>
      <c r="G306" s="2">
        <v>9</v>
      </c>
      <c r="H306" s="1"/>
      <c r="I306" t="s">
        <v>1</v>
      </c>
      <c r="J306" t="s">
        <v>2</v>
      </c>
      <c r="K306" t="s">
        <v>19</v>
      </c>
      <c r="L306" t="s">
        <v>407</v>
      </c>
      <c r="M306" s="3" t="s">
        <v>640</v>
      </c>
      <c r="N306"/>
    </row>
    <row r="307" spans="1:14" hidden="1" x14ac:dyDescent="0.25">
      <c r="A307" s="1" t="str">
        <f>VLOOKUP(Table2[[#This Row],[Prod Line ]],Lists!A:E,5,0)</f>
        <v>d</v>
      </c>
      <c r="B307" s="1">
        <v>44183</v>
      </c>
      <c r="C307" s="1">
        <v>44180</v>
      </c>
      <c r="D307" s="1" t="s">
        <v>62</v>
      </c>
      <c r="E307" s="2" t="s">
        <v>406</v>
      </c>
      <c r="F307" s="1"/>
      <c r="G307" s="2">
        <v>14</v>
      </c>
      <c r="H307" s="1"/>
      <c r="I307" t="s">
        <v>1</v>
      </c>
      <c r="J307" t="s">
        <v>64</v>
      </c>
      <c r="K307" t="s">
        <v>379</v>
      </c>
      <c r="L307" t="s">
        <v>407</v>
      </c>
      <c r="M307" s="3" t="s">
        <v>641</v>
      </c>
      <c r="N307"/>
    </row>
    <row r="308" spans="1:14" hidden="1" x14ac:dyDescent="0.25">
      <c r="A308" s="1" t="str">
        <f>VLOOKUP(Table2[[#This Row],[Prod Line ]],Lists!A:E,5,0)</f>
        <v>d</v>
      </c>
      <c r="B308" s="1">
        <v>44183</v>
      </c>
      <c r="C308" s="1">
        <v>44180</v>
      </c>
      <c r="D308" s="1" t="s">
        <v>62</v>
      </c>
      <c r="E308" s="2" t="s">
        <v>404</v>
      </c>
      <c r="F308" s="1"/>
      <c r="G308" s="2">
        <v>16</v>
      </c>
      <c r="H308" s="1"/>
      <c r="I308" t="s">
        <v>1</v>
      </c>
      <c r="J308" t="s">
        <v>2</v>
      </c>
      <c r="K308" t="s">
        <v>19</v>
      </c>
      <c r="L308" t="s">
        <v>407</v>
      </c>
      <c r="M308" s="3" t="s">
        <v>642</v>
      </c>
      <c r="N308"/>
    </row>
    <row r="309" spans="1:14" hidden="1" x14ac:dyDescent="0.25">
      <c r="A309" s="1" t="str">
        <f>VLOOKUP(Table2[[#This Row],[Prod Line ]],Lists!A:E,5,0)</f>
        <v>d</v>
      </c>
      <c r="B309" s="1">
        <v>44183</v>
      </c>
      <c r="C309" s="1">
        <v>44181</v>
      </c>
      <c r="D309" s="1" t="s">
        <v>62</v>
      </c>
      <c r="E309" s="2" t="s">
        <v>404</v>
      </c>
      <c r="F309" s="1"/>
      <c r="G309" s="2">
        <v>4</v>
      </c>
      <c r="H309" s="1"/>
      <c r="I309" t="s">
        <v>1</v>
      </c>
      <c r="J309" t="s">
        <v>26</v>
      </c>
      <c r="K309" t="s">
        <v>393</v>
      </c>
      <c r="L309" t="s">
        <v>407</v>
      </c>
      <c r="M309" s="3" t="s">
        <v>643</v>
      </c>
      <c r="N309"/>
    </row>
    <row r="310" spans="1:14" hidden="1" x14ac:dyDescent="0.25">
      <c r="A310" s="1" t="str">
        <f>VLOOKUP(Table2[[#This Row],[Prod Line ]],Lists!A:E,5,0)</f>
        <v>d</v>
      </c>
      <c r="B310" s="1">
        <v>44183</v>
      </c>
      <c r="C310" s="1">
        <v>44181</v>
      </c>
      <c r="D310" s="1" t="s">
        <v>62</v>
      </c>
      <c r="E310" s="2" t="s">
        <v>404</v>
      </c>
      <c r="F310" s="1"/>
      <c r="G310" s="2">
        <v>3</v>
      </c>
      <c r="H310" s="1"/>
      <c r="I310" t="s">
        <v>1</v>
      </c>
      <c r="J310" t="s">
        <v>26</v>
      </c>
      <c r="K310" t="s">
        <v>393</v>
      </c>
      <c r="L310" t="s">
        <v>407</v>
      </c>
      <c r="M310" s="3" t="s">
        <v>644</v>
      </c>
      <c r="N310"/>
    </row>
    <row r="311" spans="1:14" hidden="1" x14ac:dyDescent="0.25">
      <c r="A311" s="1" t="str">
        <f>VLOOKUP(Table2[[#This Row],[Prod Line ]],Lists!A:E,5,0)</f>
        <v>c</v>
      </c>
      <c r="B311" s="1">
        <v>44184</v>
      </c>
      <c r="C311" s="1">
        <v>44182</v>
      </c>
      <c r="D311" s="1" t="s">
        <v>60</v>
      </c>
      <c r="E311" s="2" t="s">
        <v>405</v>
      </c>
      <c r="F311" s="1"/>
      <c r="G311" s="2">
        <v>6</v>
      </c>
      <c r="H311" s="1"/>
      <c r="I311" t="s">
        <v>1</v>
      </c>
      <c r="J311" t="s">
        <v>26</v>
      </c>
      <c r="K311" t="s">
        <v>26</v>
      </c>
      <c r="L311" t="s">
        <v>407</v>
      </c>
      <c r="M311" s="3" t="s">
        <v>645</v>
      </c>
      <c r="N311"/>
    </row>
    <row r="312" spans="1:14" hidden="1" x14ac:dyDescent="0.25">
      <c r="A312" s="1" t="str">
        <f>VLOOKUP(Table2[[#This Row],[Prod Line ]],Lists!A:E,5,0)</f>
        <v>c</v>
      </c>
      <c r="B312" s="1">
        <v>44184</v>
      </c>
      <c r="C312" s="1">
        <v>44182</v>
      </c>
      <c r="D312" s="1" t="s">
        <v>60</v>
      </c>
      <c r="E312" s="2" t="s">
        <v>405</v>
      </c>
      <c r="F312" s="1"/>
      <c r="G312" s="2">
        <v>11</v>
      </c>
      <c r="H312" s="1"/>
      <c r="I312" t="s">
        <v>1</v>
      </c>
      <c r="J312" t="s">
        <v>2</v>
      </c>
      <c r="K312" t="s">
        <v>378</v>
      </c>
      <c r="L312" t="s">
        <v>407</v>
      </c>
      <c r="M312" s="3" t="s">
        <v>646</v>
      </c>
      <c r="N312"/>
    </row>
    <row r="313" spans="1:14" hidden="1" x14ac:dyDescent="0.25">
      <c r="A313" s="1" t="str">
        <f>VLOOKUP(Table2[[#This Row],[Prod Line ]],Lists!A:E,5,0)</f>
        <v>a</v>
      </c>
      <c r="B313" s="1">
        <v>44184</v>
      </c>
      <c r="C313" s="1">
        <v>44182</v>
      </c>
      <c r="D313" s="1" t="s">
        <v>56</v>
      </c>
      <c r="E313" s="2" t="s">
        <v>404</v>
      </c>
      <c r="F313" s="1"/>
      <c r="G313" s="2">
        <v>5</v>
      </c>
      <c r="H313" s="1"/>
      <c r="I313" t="s">
        <v>1</v>
      </c>
      <c r="J313" t="s">
        <v>67</v>
      </c>
      <c r="K313" t="s">
        <v>67</v>
      </c>
      <c r="L313" t="s">
        <v>407</v>
      </c>
      <c r="M313" s="3" t="s">
        <v>647</v>
      </c>
      <c r="N313"/>
    </row>
    <row r="314" spans="1:14" hidden="1" x14ac:dyDescent="0.25">
      <c r="A314" s="1" t="str">
        <f>VLOOKUP(Table2[[#This Row],[Prod Line ]],Lists!A:E,5,0)</f>
        <v>a</v>
      </c>
      <c r="B314" s="1">
        <v>44184</v>
      </c>
      <c r="C314" s="1">
        <v>44182</v>
      </c>
      <c r="D314" s="1" t="s">
        <v>56</v>
      </c>
      <c r="E314" s="2" t="s">
        <v>404</v>
      </c>
      <c r="F314" s="1"/>
      <c r="G314" s="2">
        <v>5</v>
      </c>
      <c r="H314" s="1"/>
      <c r="I314" t="s">
        <v>1</v>
      </c>
      <c r="J314" t="s">
        <v>2</v>
      </c>
      <c r="K314" t="s">
        <v>19</v>
      </c>
      <c r="L314" t="s">
        <v>349</v>
      </c>
      <c r="M314" s="3" t="s">
        <v>648</v>
      </c>
      <c r="N314"/>
    </row>
    <row r="315" spans="1:14" hidden="1" x14ac:dyDescent="0.25">
      <c r="A315" s="1" t="str">
        <f>VLOOKUP(Table2[[#This Row],[Prod Line ]],Lists!A:E,5,0)</f>
        <v>b</v>
      </c>
      <c r="B315" s="1">
        <v>44184</v>
      </c>
      <c r="C315" s="1">
        <v>44182</v>
      </c>
      <c r="D315" s="1" t="s">
        <v>58</v>
      </c>
      <c r="E315" s="2" t="s">
        <v>405</v>
      </c>
      <c r="F315" s="1"/>
      <c r="G315" s="2">
        <v>7</v>
      </c>
      <c r="H315" s="1"/>
      <c r="I315" t="s">
        <v>1</v>
      </c>
      <c r="J315" t="s">
        <v>2</v>
      </c>
      <c r="K315" t="s">
        <v>19</v>
      </c>
      <c r="L315" t="s">
        <v>349</v>
      </c>
      <c r="M315" s="3" t="s">
        <v>649</v>
      </c>
      <c r="N315"/>
    </row>
    <row r="316" spans="1:14" hidden="1" x14ac:dyDescent="0.25">
      <c r="A316" s="1" t="str">
        <f>VLOOKUP(Table2[[#This Row],[Prod Line ]],Lists!A:E,5,0)</f>
        <v>d</v>
      </c>
      <c r="B316" s="1">
        <v>44184</v>
      </c>
      <c r="C316" s="1">
        <v>44182</v>
      </c>
      <c r="D316" s="1" t="s">
        <v>62</v>
      </c>
      <c r="E316" s="2" t="s">
        <v>404</v>
      </c>
      <c r="F316" s="1"/>
      <c r="G316" s="2">
        <v>17</v>
      </c>
      <c r="H316" s="1"/>
      <c r="I316" t="s">
        <v>1</v>
      </c>
      <c r="J316" t="s">
        <v>5</v>
      </c>
      <c r="K316" t="s">
        <v>396</v>
      </c>
      <c r="L316" t="s">
        <v>407</v>
      </c>
      <c r="M316" s="3" t="s">
        <v>650</v>
      </c>
      <c r="N316"/>
    </row>
    <row r="317" spans="1:14" hidden="1" x14ac:dyDescent="0.25">
      <c r="A317" s="1" t="str">
        <f>VLOOKUP(Table2[[#This Row],[Prod Line ]],Lists!A:E,5,0)</f>
        <v>d</v>
      </c>
      <c r="B317" s="1">
        <v>44184</v>
      </c>
      <c r="C317" s="1">
        <v>44182</v>
      </c>
      <c r="D317" s="1" t="s">
        <v>62</v>
      </c>
      <c r="E317" s="2" t="s">
        <v>404</v>
      </c>
      <c r="F317" s="1"/>
      <c r="G317" s="2">
        <v>10</v>
      </c>
      <c r="H317" s="1"/>
      <c r="I317" t="s">
        <v>1</v>
      </c>
      <c r="J317" t="s">
        <v>2</v>
      </c>
      <c r="K317" t="s">
        <v>19</v>
      </c>
      <c r="L317" t="s">
        <v>407</v>
      </c>
      <c r="M317" s="3" t="s">
        <v>553</v>
      </c>
      <c r="N317"/>
    </row>
    <row r="318" spans="1:14" hidden="1" x14ac:dyDescent="0.25">
      <c r="A318" s="1" t="str">
        <f>VLOOKUP(Table2[[#This Row],[Prod Line ]],Lists!A:E,5,0)</f>
        <v>d</v>
      </c>
      <c r="B318" s="1">
        <v>44184</v>
      </c>
      <c r="C318" s="1">
        <v>44182</v>
      </c>
      <c r="D318" s="1" t="s">
        <v>62</v>
      </c>
      <c r="E318" s="2" t="s">
        <v>405</v>
      </c>
      <c r="F318" s="1"/>
      <c r="G318" s="2">
        <v>10</v>
      </c>
      <c r="H318" s="1"/>
      <c r="I318" t="s">
        <v>1</v>
      </c>
      <c r="J318" t="s">
        <v>5</v>
      </c>
      <c r="K318" t="s">
        <v>396</v>
      </c>
      <c r="L318" t="s">
        <v>407</v>
      </c>
      <c r="M318" s="3" t="s">
        <v>651</v>
      </c>
      <c r="N318"/>
    </row>
    <row r="319" spans="1:14" hidden="1" x14ac:dyDescent="0.25">
      <c r="A319" s="1" t="str">
        <f>VLOOKUP(Table2[[#This Row],[Prod Line ]],Lists!A:E,5,0)</f>
        <v>d</v>
      </c>
      <c r="B319" s="1">
        <v>44184</v>
      </c>
      <c r="C319" s="1">
        <v>44182</v>
      </c>
      <c r="D319" s="1" t="s">
        <v>62</v>
      </c>
      <c r="E319" s="2" t="s">
        <v>405</v>
      </c>
      <c r="F319" s="1"/>
      <c r="G319" s="2">
        <v>8</v>
      </c>
      <c r="H319" s="1"/>
      <c r="I319" t="s">
        <v>1</v>
      </c>
      <c r="J319" t="s">
        <v>2</v>
      </c>
      <c r="K319" t="s">
        <v>19</v>
      </c>
      <c r="L319" t="s">
        <v>407</v>
      </c>
      <c r="M319" s="3" t="s">
        <v>652</v>
      </c>
      <c r="N319"/>
    </row>
    <row r="320" spans="1:14" hidden="1" x14ac:dyDescent="0.25">
      <c r="A320" s="1" t="str">
        <f>VLOOKUP(Table2[[#This Row],[Prod Line ]],Lists!A:E,5,0)</f>
        <v>a</v>
      </c>
      <c r="B320" s="1">
        <v>44186</v>
      </c>
      <c r="C320" s="1">
        <v>44184</v>
      </c>
      <c r="D320" s="1" t="s">
        <v>56</v>
      </c>
      <c r="E320" s="2" t="s">
        <v>404</v>
      </c>
      <c r="F320" s="1"/>
      <c r="G320" s="2">
        <v>12</v>
      </c>
      <c r="H320" s="1"/>
      <c r="I320" t="s">
        <v>0</v>
      </c>
      <c r="J320" t="s">
        <v>64</v>
      </c>
      <c r="K320" t="s">
        <v>363</v>
      </c>
      <c r="L320" t="s">
        <v>70</v>
      </c>
      <c r="M320" s="3" t="s">
        <v>653</v>
      </c>
    </row>
    <row r="321" spans="1:14" hidden="1" x14ac:dyDescent="0.25">
      <c r="A321" s="1" t="str">
        <f>VLOOKUP(Table2[[#This Row],[Prod Line ]],Lists!A:E,5,0)</f>
        <v>b</v>
      </c>
      <c r="B321" s="1">
        <v>44186</v>
      </c>
      <c r="C321" s="1">
        <v>44184</v>
      </c>
      <c r="D321" s="1" t="s">
        <v>58</v>
      </c>
      <c r="E321" s="2" t="s">
        <v>406</v>
      </c>
      <c r="F321" s="1"/>
      <c r="G321" s="2">
        <v>3</v>
      </c>
      <c r="H321" s="1"/>
      <c r="I321" t="s">
        <v>1</v>
      </c>
      <c r="J321" t="s">
        <v>64</v>
      </c>
      <c r="K321" t="s">
        <v>23</v>
      </c>
      <c r="L321" t="s">
        <v>72</v>
      </c>
      <c r="M321" s="3" t="s">
        <v>665</v>
      </c>
      <c r="N321"/>
    </row>
    <row r="322" spans="1:14" hidden="1" x14ac:dyDescent="0.25">
      <c r="A322" s="1" t="str">
        <f>VLOOKUP(Table2[[#This Row],[Prod Line ]],Lists!A:E,5,0)</f>
        <v>b</v>
      </c>
      <c r="B322" s="1">
        <v>44186</v>
      </c>
      <c r="C322" s="1">
        <v>44184</v>
      </c>
      <c r="D322" s="1" t="s">
        <v>58</v>
      </c>
      <c r="E322" s="2" t="s">
        <v>406</v>
      </c>
      <c r="F322" s="1"/>
      <c r="G322" s="2">
        <v>9</v>
      </c>
      <c r="H322" s="1"/>
      <c r="I322" t="s">
        <v>0</v>
      </c>
      <c r="J322" t="s">
        <v>65</v>
      </c>
      <c r="K322" t="s">
        <v>27</v>
      </c>
      <c r="L322" t="s">
        <v>70</v>
      </c>
      <c r="M322" s="3" t="s">
        <v>661</v>
      </c>
    </row>
    <row r="323" spans="1:14" hidden="1" x14ac:dyDescent="0.25">
      <c r="A323" s="1" t="str">
        <f>VLOOKUP(Table2[[#This Row],[Prod Line ]],Lists!A:E,5,0)</f>
        <v>b</v>
      </c>
      <c r="B323" s="1">
        <v>44186</v>
      </c>
      <c r="C323" s="1">
        <v>44184</v>
      </c>
      <c r="D323" s="1" t="s">
        <v>58</v>
      </c>
      <c r="E323" s="2" t="s">
        <v>406</v>
      </c>
      <c r="F323" s="1"/>
      <c r="G323" s="2">
        <v>15</v>
      </c>
      <c r="H323" s="1"/>
      <c r="I323" t="s">
        <v>0</v>
      </c>
      <c r="J323" t="s">
        <v>64</v>
      </c>
      <c r="K323" t="s">
        <v>21</v>
      </c>
      <c r="L323" t="s">
        <v>70</v>
      </c>
      <c r="M323" s="3" t="s">
        <v>654</v>
      </c>
    </row>
    <row r="324" spans="1:14" hidden="1" x14ac:dyDescent="0.25">
      <c r="A324" s="1" t="str">
        <f>VLOOKUP(Table2[[#This Row],[Prod Line ]],Lists!A:E,5,0)</f>
        <v>b</v>
      </c>
      <c r="B324" s="1">
        <v>44186</v>
      </c>
      <c r="C324" s="1">
        <v>44184</v>
      </c>
      <c r="D324" s="1" t="s">
        <v>58</v>
      </c>
      <c r="E324" s="2" t="s">
        <v>406</v>
      </c>
      <c r="F324" s="1"/>
      <c r="G324" s="2">
        <v>5</v>
      </c>
      <c r="H324" s="1"/>
      <c r="I324" t="s">
        <v>1</v>
      </c>
      <c r="J324" t="s">
        <v>64</v>
      </c>
      <c r="K324" t="s">
        <v>21</v>
      </c>
      <c r="L324" t="s">
        <v>344</v>
      </c>
      <c r="M324" s="3" t="s">
        <v>562</v>
      </c>
      <c r="N324"/>
    </row>
    <row r="325" spans="1:14" hidden="1" x14ac:dyDescent="0.25">
      <c r="A325" s="1" t="str">
        <f>VLOOKUP(Table2[[#This Row],[Prod Line ]],Lists!A:E,5,0)</f>
        <v>b</v>
      </c>
      <c r="B325" s="1">
        <v>44186</v>
      </c>
      <c r="C325" s="1">
        <v>44184</v>
      </c>
      <c r="D325" s="1" t="s">
        <v>58</v>
      </c>
      <c r="E325" s="2" t="s">
        <v>406</v>
      </c>
      <c r="F325" s="1"/>
      <c r="G325" s="2">
        <v>12</v>
      </c>
      <c r="H325" s="1"/>
      <c r="I325" t="s">
        <v>0</v>
      </c>
      <c r="J325" t="s">
        <v>66</v>
      </c>
      <c r="K325" t="s">
        <v>4</v>
      </c>
      <c r="L325" t="s">
        <v>70</v>
      </c>
      <c r="M325" s="3" t="s">
        <v>662</v>
      </c>
    </row>
    <row r="326" spans="1:14" hidden="1" x14ac:dyDescent="0.25">
      <c r="A326" s="1" t="str">
        <f>VLOOKUP(Table2[[#This Row],[Prod Line ]],Lists!A:E,5,0)</f>
        <v>b</v>
      </c>
      <c r="B326" s="1">
        <v>44186</v>
      </c>
      <c r="C326" s="1">
        <v>44184</v>
      </c>
      <c r="D326" s="1" t="s">
        <v>58</v>
      </c>
      <c r="E326" s="2" t="s">
        <v>406</v>
      </c>
      <c r="F326" s="1"/>
      <c r="G326" s="2">
        <v>5</v>
      </c>
      <c r="H326" s="1"/>
      <c r="I326" t="s">
        <v>1</v>
      </c>
      <c r="J326" t="s">
        <v>65</v>
      </c>
      <c r="K326" t="s">
        <v>27</v>
      </c>
      <c r="L326" t="s">
        <v>441</v>
      </c>
      <c r="M326" s="3" t="s">
        <v>441</v>
      </c>
      <c r="N326"/>
    </row>
    <row r="327" spans="1:14" hidden="1" x14ac:dyDescent="0.25">
      <c r="A327" s="1" t="str">
        <f>VLOOKUP(Table2[[#This Row],[Prod Line ]],Lists!A:E,5,0)</f>
        <v>d</v>
      </c>
      <c r="B327" s="1">
        <v>44186</v>
      </c>
      <c r="C327" s="1">
        <v>44185</v>
      </c>
      <c r="D327" s="1" t="s">
        <v>62</v>
      </c>
      <c r="E327" s="2" t="s">
        <v>405</v>
      </c>
      <c r="F327" s="1"/>
      <c r="G327" s="2">
        <v>10</v>
      </c>
      <c r="H327" s="1"/>
      <c r="I327" t="s">
        <v>1</v>
      </c>
      <c r="J327" t="s">
        <v>5</v>
      </c>
      <c r="K327" t="s">
        <v>397</v>
      </c>
      <c r="L327" t="s">
        <v>407</v>
      </c>
      <c r="M327" s="3" t="s">
        <v>660</v>
      </c>
      <c r="N327"/>
    </row>
    <row r="328" spans="1:14" hidden="1" x14ac:dyDescent="0.25">
      <c r="A328" s="1" t="str">
        <f>VLOOKUP(Table2[[#This Row],[Prod Line ]],Lists!A:E,5,0)</f>
        <v>d</v>
      </c>
      <c r="B328" s="1">
        <v>44186</v>
      </c>
      <c r="C328" s="1">
        <v>44185</v>
      </c>
      <c r="D328" s="1" t="s">
        <v>62</v>
      </c>
      <c r="E328" s="2" t="s">
        <v>405</v>
      </c>
      <c r="F328" s="1"/>
      <c r="G328" s="2">
        <v>5</v>
      </c>
      <c r="H328" s="1"/>
      <c r="I328" t="s">
        <v>1</v>
      </c>
      <c r="J328" t="s">
        <v>64</v>
      </c>
      <c r="K328" t="s">
        <v>379</v>
      </c>
      <c r="L328" t="s">
        <v>72</v>
      </c>
      <c r="M328" s="3" t="s">
        <v>610</v>
      </c>
      <c r="N328"/>
    </row>
    <row r="329" spans="1:14" hidden="1" x14ac:dyDescent="0.25">
      <c r="A329" s="1" t="str">
        <f>VLOOKUP(Table2[[#This Row],[Prod Line ]],Lists!A:E,5,0)</f>
        <v>b</v>
      </c>
      <c r="B329" s="1">
        <v>44187</v>
      </c>
      <c r="C329" s="1">
        <v>44185</v>
      </c>
      <c r="D329" s="1" t="s">
        <v>58</v>
      </c>
      <c r="E329" s="2" t="s">
        <v>404</v>
      </c>
      <c r="F329" s="1"/>
      <c r="G329" s="2">
        <v>8</v>
      </c>
      <c r="H329" s="1"/>
      <c r="I329" t="s">
        <v>1</v>
      </c>
      <c r="J329" t="s">
        <v>65</v>
      </c>
      <c r="K329" t="s">
        <v>27</v>
      </c>
      <c r="L329" t="s">
        <v>441</v>
      </c>
      <c r="M329" s="3" t="s">
        <v>612</v>
      </c>
      <c r="N329"/>
    </row>
    <row r="330" spans="1:14" hidden="1" x14ac:dyDescent="0.25">
      <c r="A330" s="1" t="str">
        <f>VLOOKUP(Table2[[#This Row],[Prod Line ]],Lists!A:E,5,0)</f>
        <v>b</v>
      </c>
      <c r="B330" s="1">
        <v>44187</v>
      </c>
      <c r="C330" s="1">
        <v>44185</v>
      </c>
      <c r="D330" s="1" t="s">
        <v>58</v>
      </c>
      <c r="E330" s="2" t="s">
        <v>404</v>
      </c>
      <c r="F330" s="1"/>
      <c r="G330" s="2">
        <v>4</v>
      </c>
      <c r="H330" s="1"/>
      <c r="I330" t="s">
        <v>1</v>
      </c>
      <c r="J330" t="s">
        <v>64</v>
      </c>
      <c r="K330" t="s">
        <v>21</v>
      </c>
      <c r="L330" t="s">
        <v>72</v>
      </c>
      <c r="M330" s="3" t="s">
        <v>655</v>
      </c>
      <c r="N330"/>
    </row>
    <row r="331" spans="1:14" hidden="1" x14ac:dyDescent="0.25">
      <c r="A331" s="1" t="str">
        <f>VLOOKUP(Table2[[#This Row],[Prod Line ]],Lists!A:E,5,0)</f>
        <v>b</v>
      </c>
      <c r="B331" s="1">
        <v>44187</v>
      </c>
      <c r="C331" s="1">
        <v>44185</v>
      </c>
      <c r="D331" s="1" t="s">
        <v>58</v>
      </c>
      <c r="E331" s="2" t="s">
        <v>404</v>
      </c>
      <c r="F331" s="1"/>
      <c r="G331" s="2">
        <v>4</v>
      </c>
      <c r="H331" s="1"/>
      <c r="I331" t="s">
        <v>0</v>
      </c>
      <c r="J331" t="s">
        <v>66</v>
      </c>
      <c r="K331" t="s">
        <v>4</v>
      </c>
      <c r="L331" t="s">
        <v>70</v>
      </c>
      <c r="M331" s="3" t="s">
        <v>656</v>
      </c>
    </row>
    <row r="332" spans="1:14" hidden="1" x14ac:dyDescent="0.25">
      <c r="A332" s="1" t="str">
        <f>VLOOKUP(Table2[[#This Row],[Prod Line ]],Lists!A:E,5,0)</f>
        <v>d</v>
      </c>
      <c r="B332" s="1">
        <v>44187</v>
      </c>
      <c r="C332" s="1">
        <v>44185</v>
      </c>
      <c r="D332" s="1" t="s">
        <v>62</v>
      </c>
      <c r="E332" s="2" t="s">
        <v>404</v>
      </c>
      <c r="F332" s="1"/>
      <c r="G332" s="2">
        <v>15</v>
      </c>
      <c r="H332" s="1"/>
      <c r="I332" t="s">
        <v>1</v>
      </c>
      <c r="J332" t="s">
        <v>2</v>
      </c>
      <c r="K332" t="s">
        <v>19</v>
      </c>
      <c r="L332" t="s">
        <v>349</v>
      </c>
      <c r="M332" s="3" t="s">
        <v>557</v>
      </c>
      <c r="N332"/>
    </row>
    <row r="333" spans="1:14" hidden="1" x14ac:dyDescent="0.25">
      <c r="A333" s="1" t="str">
        <f>VLOOKUP(Table2[[#This Row],[Prod Line ]],Lists!A:E,5,0)</f>
        <v>d</v>
      </c>
      <c r="B333" s="1">
        <v>44187</v>
      </c>
      <c r="C333" s="1">
        <v>44185</v>
      </c>
      <c r="D333" s="1" t="s">
        <v>62</v>
      </c>
      <c r="E333" s="2" t="s">
        <v>404</v>
      </c>
      <c r="F333" s="1"/>
      <c r="G333" s="2">
        <v>12</v>
      </c>
      <c r="H333" s="1"/>
      <c r="I333" t="s">
        <v>1</v>
      </c>
      <c r="J333" t="s">
        <v>2</v>
      </c>
      <c r="K333" t="s">
        <v>19</v>
      </c>
      <c r="L333" t="s">
        <v>72</v>
      </c>
      <c r="M333" s="3" t="s">
        <v>610</v>
      </c>
      <c r="N333"/>
    </row>
    <row r="334" spans="1:14" hidden="1" x14ac:dyDescent="0.25">
      <c r="A334" s="1" t="str">
        <f>VLOOKUP(Table2[[#This Row],[Prod Line ]],Lists!A:E,5,0)</f>
        <v>d</v>
      </c>
      <c r="B334" s="1">
        <v>44187</v>
      </c>
      <c r="C334" s="1">
        <v>44185</v>
      </c>
      <c r="D334" s="1" t="s">
        <v>62</v>
      </c>
      <c r="E334" s="2" t="s">
        <v>404</v>
      </c>
      <c r="F334" s="1"/>
      <c r="G334" s="2">
        <v>4</v>
      </c>
      <c r="H334" s="1"/>
      <c r="I334" t="s">
        <v>1</v>
      </c>
      <c r="J334" t="s">
        <v>64</v>
      </c>
      <c r="K334" t="s">
        <v>379</v>
      </c>
      <c r="L334" t="s">
        <v>72</v>
      </c>
      <c r="M334" s="3" t="s">
        <v>655</v>
      </c>
      <c r="N334"/>
    </row>
    <row r="335" spans="1:14" hidden="1" x14ac:dyDescent="0.25">
      <c r="A335" s="1" t="str">
        <f>VLOOKUP(Table2[[#This Row],[Prod Line ]],Lists!A:E,5,0)</f>
        <v>a</v>
      </c>
      <c r="B335" s="1">
        <v>44188</v>
      </c>
      <c r="C335" s="1">
        <v>44186</v>
      </c>
      <c r="D335" s="1" t="s">
        <v>56</v>
      </c>
      <c r="E335" s="2" t="s">
        <v>404</v>
      </c>
      <c r="F335" s="1"/>
      <c r="G335" s="2">
        <v>19</v>
      </c>
      <c r="H335" s="1"/>
      <c r="I335" t="s">
        <v>0</v>
      </c>
      <c r="J335" t="s">
        <v>64</v>
      </c>
      <c r="K335" t="s">
        <v>363</v>
      </c>
      <c r="L335" t="s">
        <v>70</v>
      </c>
      <c r="M335" s="3" t="s">
        <v>657</v>
      </c>
    </row>
    <row r="336" spans="1:14" hidden="1" x14ac:dyDescent="0.25">
      <c r="A336" s="1" t="str">
        <f>VLOOKUP(Table2[[#This Row],[Prod Line ]],Lists!A:E,5,0)</f>
        <v>a</v>
      </c>
      <c r="B336" s="1">
        <v>44188</v>
      </c>
      <c r="C336" s="1">
        <v>44186</v>
      </c>
      <c r="D336" s="1" t="s">
        <v>56</v>
      </c>
      <c r="E336" s="2" t="s">
        <v>405</v>
      </c>
      <c r="F336" s="1"/>
      <c r="G336" s="2">
        <v>30</v>
      </c>
      <c r="H336" s="1"/>
      <c r="I336" t="s">
        <v>1</v>
      </c>
      <c r="J336" t="s">
        <v>67</v>
      </c>
      <c r="K336" t="s">
        <v>67</v>
      </c>
      <c r="L336" t="s">
        <v>72</v>
      </c>
      <c r="M336" s="3" t="s">
        <v>658</v>
      </c>
      <c r="N336"/>
    </row>
    <row r="337" spans="1:14" hidden="1" x14ac:dyDescent="0.25">
      <c r="A337" s="1" t="str">
        <f>VLOOKUP(Table2[[#This Row],[Prod Line ]],Lists!A:E,5,0)</f>
        <v>c</v>
      </c>
      <c r="B337" s="1">
        <v>44188</v>
      </c>
      <c r="C337" s="1">
        <v>44186</v>
      </c>
      <c r="D337" s="1" t="s">
        <v>60</v>
      </c>
      <c r="E337" s="2" t="s">
        <v>404</v>
      </c>
      <c r="F337" s="1"/>
      <c r="G337" s="2">
        <v>10</v>
      </c>
      <c r="H337" s="1"/>
      <c r="I337" t="s">
        <v>1</v>
      </c>
      <c r="J337" t="s">
        <v>2</v>
      </c>
      <c r="K337" t="s">
        <v>378</v>
      </c>
      <c r="L337" t="s">
        <v>349</v>
      </c>
      <c r="M337" s="3" t="s">
        <v>659</v>
      </c>
      <c r="N337"/>
    </row>
    <row r="338" spans="1:14" hidden="1" x14ac:dyDescent="0.25">
      <c r="A338" s="1" t="str">
        <f>VLOOKUP(Table2[[#This Row],[Prod Line ]],Lists!A:E,5,0)</f>
        <v>d</v>
      </c>
      <c r="B338" s="1">
        <v>44188</v>
      </c>
      <c r="C338" s="1">
        <v>44186</v>
      </c>
      <c r="D338" s="1" t="s">
        <v>62</v>
      </c>
      <c r="E338" s="2" t="s">
        <v>406</v>
      </c>
      <c r="F338" s="1"/>
      <c r="G338" s="2">
        <v>7</v>
      </c>
      <c r="H338" s="1"/>
      <c r="I338" t="s">
        <v>1</v>
      </c>
      <c r="J338" t="s">
        <v>64</v>
      </c>
      <c r="K338" t="s">
        <v>379</v>
      </c>
      <c r="L338" t="s">
        <v>407</v>
      </c>
      <c r="M338" s="3" t="s">
        <v>563</v>
      </c>
      <c r="N338"/>
    </row>
    <row r="339" spans="1:14" hidden="1" x14ac:dyDescent="0.25">
      <c r="A339" s="1" t="str">
        <f>VLOOKUP(Table2[[#This Row],[Prod Line ]],Lists!A:E,5,0)</f>
        <v>a</v>
      </c>
      <c r="B339" s="1">
        <v>44188</v>
      </c>
      <c r="C339" s="1">
        <v>44187</v>
      </c>
      <c r="D339" s="1" t="s">
        <v>56</v>
      </c>
      <c r="E339" s="2" t="s">
        <v>404</v>
      </c>
      <c r="F339" s="1"/>
      <c r="G339" s="2">
        <v>30</v>
      </c>
      <c r="H339" s="1"/>
      <c r="I339" t="s">
        <v>0</v>
      </c>
      <c r="J339" t="s">
        <v>65</v>
      </c>
      <c r="K339" t="s">
        <v>373</v>
      </c>
      <c r="L339" t="s">
        <v>70</v>
      </c>
      <c r="M339" s="3" t="s">
        <v>666</v>
      </c>
    </row>
    <row r="340" spans="1:14" hidden="1" x14ac:dyDescent="0.25">
      <c r="A340" s="1" t="str">
        <f>VLOOKUP(Table2[[#This Row],[Prod Line ]],Lists!A:E,5,0)</f>
        <v>d</v>
      </c>
      <c r="B340" s="1">
        <v>44188</v>
      </c>
      <c r="C340" s="1">
        <v>44186</v>
      </c>
      <c r="D340" s="1" t="s">
        <v>62</v>
      </c>
      <c r="E340" s="2" t="s">
        <v>404</v>
      </c>
      <c r="F340" s="1"/>
      <c r="G340" s="2">
        <v>21</v>
      </c>
      <c r="H340" s="1"/>
      <c r="I340" t="s">
        <v>1</v>
      </c>
      <c r="J340" t="s">
        <v>5</v>
      </c>
      <c r="K340" t="s">
        <v>397</v>
      </c>
      <c r="L340" t="s">
        <v>407</v>
      </c>
      <c r="M340" s="3" t="s">
        <v>664</v>
      </c>
      <c r="N340"/>
    </row>
    <row r="341" spans="1:14" hidden="1" x14ac:dyDescent="0.25">
      <c r="A341" s="1" t="str">
        <f>VLOOKUP(Table2[[#This Row],[Prod Line ]],Lists!A:E,5,0)</f>
        <v>d</v>
      </c>
      <c r="B341" s="1">
        <v>44188</v>
      </c>
      <c r="C341" s="1">
        <v>44186</v>
      </c>
      <c r="D341" s="1" t="s">
        <v>62</v>
      </c>
      <c r="E341" s="2" t="s">
        <v>406</v>
      </c>
      <c r="F341" s="1"/>
      <c r="G341" s="2">
        <v>10</v>
      </c>
      <c r="H341" s="1"/>
      <c r="I341" t="s">
        <v>0</v>
      </c>
      <c r="J341" t="s">
        <v>5</v>
      </c>
      <c r="K341" t="s">
        <v>397</v>
      </c>
      <c r="L341" t="s">
        <v>70</v>
      </c>
      <c r="M341" s="3" t="s">
        <v>663</v>
      </c>
    </row>
    <row r="342" spans="1:14" hidden="1" x14ac:dyDescent="0.25">
      <c r="A342" s="1" t="str">
        <f>VLOOKUP(Table2[[#This Row],[Prod Line ]],Lists!A:E,5,0)</f>
        <v>c</v>
      </c>
      <c r="B342" s="1">
        <v>44188</v>
      </c>
      <c r="C342" s="1">
        <v>44187</v>
      </c>
      <c r="D342" s="1" t="s">
        <v>60</v>
      </c>
      <c r="E342" s="2" t="s">
        <v>404</v>
      </c>
      <c r="F342" s="1"/>
      <c r="G342" s="2">
        <v>48</v>
      </c>
      <c r="H342" s="1"/>
      <c r="I342" t="s">
        <v>1</v>
      </c>
      <c r="J342" t="s">
        <v>2</v>
      </c>
      <c r="K342" t="s">
        <v>378</v>
      </c>
      <c r="L342" t="s">
        <v>407</v>
      </c>
      <c r="M342" s="3" t="s">
        <v>667</v>
      </c>
      <c r="N342"/>
    </row>
    <row r="343" spans="1:14" hidden="1" x14ac:dyDescent="0.25">
      <c r="A343" s="1" t="str">
        <f>VLOOKUP(Table2[[#This Row],[Prod Line ]],Lists!A:E,5,0)</f>
        <v>c</v>
      </c>
      <c r="B343" s="1">
        <v>44188</v>
      </c>
      <c r="C343" s="1">
        <v>44187</v>
      </c>
      <c r="D343" s="1" t="s">
        <v>60</v>
      </c>
      <c r="E343" s="2" t="s">
        <v>405</v>
      </c>
      <c r="F343" s="1"/>
      <c r="G343" s="2">
        <v>20</v>
      </c>
      <c r="H343" s="1"/>
      <c r="I343" t="s">
        <v>1</v>
      </c>
      <c r="J343" t="s">
        <v>64</v>
      </c>
      <c r="K343" t="s">
        <v>380</v>
      </c>
      <c r="L343" t="s">
        <v>407</v>
      </c>
      <c r="M343" s="3" t="s">
        <v>668</v>
      </c>
      <c r="N343"/>
    </row>
    <row r="344" spans="1:14" hidden="1" x14ac:dyDescent="0.25">
      <c r="A344" s="1" t="str">
        <f>VLOOKUP(Table2[[#This Row],[Prod Line ]],Lists!A:E,5,0)</f>
        <v>c</v>
      </c>
      <c r="B344" s="1">
        <v>44188</v>
      </c>
      <c r="C344" s="1">
        <v>44186</v>
      </c>
      <c r="D344" s="1" t="s">
        <v>60</v>
      </c>
      <c r="E344" s="2" t="s">
        <v>405</v>
      </c>
      <c r="F344" s="1"/>
      <c r="G344" s="2">
        <v>23</v>
      </c>
      <c r="H344" s="1" t="s">
        <v>1</v>
      </c>
      <c r="I344" t="s">
        <v>1</v>
      </c>
      <c r="J344" t="s">
        <v>2</v>
      </c>
      <c r="K344" t="s">
        <v>377</v>
      </c>
      <c r="L344" t="s">
        <v>407</v>
      </c>
      <c r="M344" s="3" t="s">
        <v>669</v>
      </c>
      <c r="N344"/>
    </row>
    <row r="345" spans="1:14" hidden="1" x14ac:dyDescent="0.25">
      <c r="A345" s="1" t="str">
        <f>VLOOKUP(Table2[[#This Row],[Prod Line ]],Lists!A:E,5,0)</f>
        <v>b</v>
      </c>
      <c r="B345" s="1">
        <v>44191</v>
      </c>
      <c r="C345" s="1">
        <v>44188</v>
      </c>
      <c r="D345" s="1" t="s">
        <v>58</v>
      </c>
      <c r="E345" s="2" t="s">
        <v>404</v>
      </c>
      <c r="F345" s="1"/>
      <c r="G345" s="2">
        <v>18</v>
      </c>
      <c r="H345" s="1"/>
      <c r="I345" t="s">
        <v>1</v>
      </c>
      <c r="J345" t="s">
        <v>2</v>
      </c>
      <c r="K345" t="s">
        <v>19</v>
      </c>
      <c r="L345" t="s">
        <v>407</v>
      </c>
      <c r="M345" s="3" t="s">
        <v>670</v>
      </c>
      <c r="N345"/>
    </row>
    <row r="346" spans="1:14" hidden="1" x14ac:dyDescent="0.25">
      <c r="A346" s="1" t="str">
        <f>VLOOKUP(Table2[[#This Row],[Prod Line ]],Lists!A:E,5,0)</f>
        <v>b</v>
      </c>
      <c r="B346" s="1">
        <v>44191</v>
      </c>
      <c r="C346" s="1">
        <v>44188</v>
      </c>
      <c r="D346" s="1" t="s">
        <v>58</v>
      </c>
      <c r="E346" s="2" t="s">
        <v>404</v>
      </c>
      <c r="F346" s="1"/>
      <c r="G346" s="2">
        <v>5</v>
      </c>
      <c r="H346" s="1"/>
      <c r="I346" t="s">
        <v>1</v>
      </c>
      <c r="J346" t="s">
        <v>67</v>
      </c>
      <c r="K346" t="s">
        <v>67</v>
      </c>
      <c r="L346" t="s">
        <v>407</v>
      </c>
      <c r="M346" s="3" t="s">
        <v>671</v>
      </c>
      <c r="N346"/>
    </row>
    <row r="347" spans="1:14" hidden="1" x14ac:dyDescent="0.25">
      <c r="A347" s="1" t="str">
        <f>VLOOKUP(Table2[[#This Row],[Prod Line ]],Lists!A:E,5,0)</f>
        <v>b</v>
      </c>
      <c r="B347" s="1">
        <v>44191</v>
      </c>
      <c r="C347" s="1">
        <v>44188</v>
      </c>
      <c r="D347" s="1" t="s">
        <v>58</v>
      </c>
      <c r="E347" s="2" t="s">
        <v>404</v>
      </c>
      <c r="F347" s="1"/>
      <c r="G347" s="2">
        <v>10</v>
      </c>
      <c r="H347" s="1"/>
      <c r="I347" t="s">
        <v>1</v>
      </c>
      <c r="J347" t="s">
        <v>2</v>
      </c>
      <c r="K347" t="s">
        <v>19</v>
      </c>
      <c r="L347" t="s">
        <v>407</v>
      </c>
      <c r="M347" s="3" t="s">
        <v>672</v>
      </c>
      <c r="N347"/>
    </row>
    <row r="348" spans="1:14" hidden="1" x14ac:dyDescent="0.25">
      <c r="A348" s="1" t="str">
        <f>VLOOKUP(Table2[[#This Row],[Prod Line ]],Lists!A:E,5,0)</f>
        <v>b</v>
      </c>
      <c r="B348" s="1">
        <v>44191</v>
      </c>
      <c r="C348" s="1">
        <v>44188</v>
      </c>
      <c r="D348" s="1" t="s">
        <v>58</v>
      </c>
      <c r="E348" s="2" t="s">
        <v>405</v>
      </c>
      <c r="F348" s="1"/>
      <c r="G348" s="2">
        <v>27</v>
      </c>
      <c r="H348" s="1" t="s">
        <v>1</v>
      </c>
      <c r="I348" t="s">
        <v>1</v>
      </c>
      <c r="J348" t="s">
        <v>2</v>
      </c>
      <c r="K348" t="s">
        <v>19</v>
      </c>
      <c r="L348" t="s">
        <v>407</v>
      </c>
      <c r="M348" s="3" t="s">
        <v>673</v>
      </c>
      <c r="N348"/>
    </row>
    <row r="349" spans="1:14" hidden="1" x14ac:dyDescent="0.25">
      <c r="A349" s="1" t="str">
        <f>VLOOKUP(Table2[[#This Row],[Prod Line ]],Lists!A:E,5,0)</f>
        <v>b</v>
      </c>
      <c r="B349" s="1">
        <v>44191</v>
      </c>
      <c r="C349" s="1">
        <v>44189</v>
      </c>
      <c r="D349" s="1" t="s">
        <v>58</v>
      </c>
      <c r="E349" s="2" t="s">
        <v>405</v>
      </c>
      <c r="F349" s="1"/>
      <c r="G349" s="2">
        <v>37</v>
      </c>
      <c r="H349" s="1" t="s">
        <v>1</v>
      </c>
      <c r="I349" t="s">
        <v>1</v>
      </c>
      <c r="J349" t="s">
        <v>2</v>
      </c>
      <c r="K349" t="s">
        <v>19</v>
      </c>
      <c r="L349" t="s">
        <v>407</v>
      </c>
      <c r="M349" s="3" t="s">
        <v>674</v>
      </c>
      <c r="N349"/>
    </row>
    <row r="350" spans="1:14" hidden="1" x14ac:dyDescent="0.25">
      <c r="A350" s="1" t="str">
        <f>VLOOKUP(Table2[[#This Row],[Prod Line ]],Lists!A:E,5,0)</f>
        <v>a</v>
      </c>
      <c r="B350" s="1">
        <v>44191</v>
      </c>
      <c r="C350" s="1">
        <v>44188</v>
      </c>
      <c r="D350" s="1" t="s">
        <v>56</v>
      </c>
      <c r="E350" s="2" t="s">
        <v>404</v>
      </c>
      <c r="F350" s="1"/>
      <c r="G350" s="2">
        <v>7</v>
      </c>
      <c r="H350" s="1"/>
      <c r="I350" t="s">
        <v>1</v>
      </c>
      <c r="J350" t="s">
        <v>64</v>
      </c>
      <c r="K350" t="s">
        <v>363</v>
      </c>
      <c r="L350" t="s">
        <v>407</v>
      </c>
      <c r="M350" s="3" t="s">
        <v>675</v>
      </c>
      <c r="N350"/>
    </row>
    <row r="351" spans="1:14" hidden="1" x14ac:dyDescent="0.25">
      <c r="A351" s="1" t="str">
        <f>VLOOKUP(Table2[[#This Row],[Prod Line ]],Lists!A:E,5,0)</f>
        <v>a</v>
      </c>
      <c r="B351" s="1">
        <v>44191</v>
      </c>
      <c r="C351" s="1">
        <v>44188</v>
      </c>
      <c r="D351" s="1" t="s">
        <v>56</v>
      </c>
      <c r="E351" s="2" t="s">
        <v>405</v>
      </c>
      <c r="F351" s="1"/>
      <c r="G351" s="2">
        <v>20</v>
      </c>
      <c r="H351" s="1" t="s">
        <v>1</v>
      </c>
      <c r="I351" t="s">
        <v>1</v>
      </c>
      <c r="J351" t="s">
        <v>2</v>
      </c>
      <c r="K351" t="s">
        <v>19</v>
      </c>
      <c r="L351" t="s">
        <v>407</v>
      </c>
      <c r="M351" s="3" t="s">
        <v>676</v>
      </c>
      <c r="N351"/>
    </row>
    <row r="352" spans="1:14" hidden="1" x14ac:dyDescent="0.25">
      <c r="A352" s="1" t="str">
        <f>VLOOKUP(Table2[[#This Row],[Prod Line ]],Lists!A:E,5,0)</f>
        <v>a</v>
      </c>
      <c r="B352" s="1">
        <v>44191</v>
      </c>
      <c r="C352" s="1">
        <v>44188</v>
      </c>
      <c r="D352" s="1" t="s">
        <v>56</v>
      </c>
      <c r="E352" s="2" t="s">
        <v>405</v>
      </c>
      <c r="F352" s="1"/>
      <c r="G352" s="2">
        <v>40</v>
      </c>
      <c r="H352" s="1" t="s">
        <v>0</v>
      </c>
      <c r="I352" t="s">
        <v>0</v>
      </c>
      <c r="J352" t="s">
        <v>65</v>
      </c>
      <c r="K352" t="s">
        <v>373</v>
      </c>
      <c r="L352" t="s">
        <v>70</v>
      </c>
      <c r="M352" s="3" t="s">
        <v>677</v>
      </c>
    </row>
    <row r="353" spans="1:16" hidden="1" x14ac:dyDescent="0.25">
      <c r="A353" s="1" t="str">
        <f>VLOOKUP(Table2[[#This Row],[Prod Line ]],Lists!A:E,5,0)</f>
        <v>d</v>
      </c>
      <c r="B353" s="1">
        <v>44191</v>
      </c>
      <c r="C353" s="1">
        <v>44188</v>
      </c>
      <c r="D353" s="1" t="s">
        <v>62</v>
      </c>
      <c r="E353" s="2" t="s">
        <v>405</v>
      </c>
      <c r="F353" s="1"/>
      <c r="G353" s="2">
        <v>7</v>
      </c>
      <c r="H353" s="1"/>
      <c r="I353" t="s">
        <v>1</v>
      </c>
      <c r="J353" t="s">
        <v>64</v>
      </c>
      <c r="K353" t="s">
        <v>379</v>
      </c>
      <c r="L353" t="s">
        <v>407</v>
      </c>
      <c r="M353" s="3" t="s">
        <v>678</v>
      </c>
      <c r="N353"/>
    </row>
    <row r="354" spans="1:16" hidden="1" x14ac:dyDescent="0.25">
      <c r="A354" s="1" t="str">
        <f>VLOOKUP(Table2[[#This Row],[Prod Line ]],Lists!A:E,5,0)</f>
        <v>d</v>
      </c>
      <c r="B354" s="1">
        <v>44191</v>
      </c>
      <c r="C354" s="1">
        <v>44188</v>
      </c>
      <c r="D354" s="1" t="s">
        <v>62</v>
      </c>
      <c r="E354" s="2" t="s">
        <v>404</v>
      </c>
      <c r="F354" s="1"/>
      <c r="G354" s="2">
        <v>4</v>
      </c>
      <c r="H354" s="1"/>
      <c r="I354" t="s">
        <v>1</v>
      </c>
      <c r="J354" t="s">
        <v>2</v>
      </c>
      <c r="K354" t="s">
        <v>19</v>
      </c>
      <c r="L354" t="s">
        <v>72</v>
      </c>
      <c r="M354" s="3" t="s">
        <v>679</v>
      </c>
      <c r="N354"/>
    </row>
    <row r="355" spans="1:16" hidden="1" x14ac:dyDescent="0.25">
      <c r="A355" s="1" t="str">
        <f>VLOOKUP(Table2[[#This Row],[Prod Line ]],Lists!A:E,5,0)</f>
        <v>d</v>
      </c>
      <c r="B355" s="28">
        <v>44191</v>
      </c>
      <c r="C355" s="28">
        <v>44188</v>
      </c>
      <c r="D355" s="28" t="s">
        <v>62</v>
      </c>
      <c r="E355" s="29" t="s">
        <v>404</v>
      </c>
      <c r="F355" s="28"/>
      <c r="G355" s="29">
        <v>10</v>
      </c>
      <c r="H355" s="28" t="s">
        <v>0</v>
      </c>
      <c r="I355" s="30" t="s">
        <v>0</v>
      </c>
      <c r="J355" s="30" t="s">
        <v>5</v>
      </c>
      <c r="K355" s="30" t="s">
        <v>395</v>
      </c>
      <c r="L355" s="30" t="s">
        <v>70</v>
      </c>
      <c r="M355" s="31" t="s">
        <v>680</v>
      </c>
      <c r="N355" s="32"/>
      <c r="O355" s="30"/>
      <c r="P355" s="30"/>
    </row>
    <row r="356" spans="1:16" hidden="1" x14ac:dyDescent="0.25">
      <c r="A356" s="1" t="str">
        <f>VLOOKUP(Table2[[#This Row],[Prod Line ]],Lists!A:E,5,0)</f>
        <v>d</v>
      </c>
      <c r="B356" s="1">
        <v>44191</v>
      </c>
      <c r="C356" s="1">
        <v>44188</v>
      </c>
      <c r="D356" s="1" t="s">
        <v>62</v>
      </c>
      <c r="E356" s="2" t="s">
        <v>404</v>
      </c>
      <c r="F356" s="1"/>
      <c r="G356" s="2">
        <v>10</v>
      </c>
      <c r="H356" s="1" t="s">
        <v>1</v>
      </c>
      <c r="I356" t="s">
        <v>1</v>
      </c>
      <c r="J356" t="s">
        <v>5</v>
      </c>
      <c r="K356" t="s">
        <v>397</v>
      </c>
      <c r="L356" t="s">
        <v>407</v>
      </c>
      <c r="M356" s="3" t="s">
        <v>681</v>
      </c>
      <c r="N356"/>
    </row>
    <row r="357" spans="1:16" hidden="1" x14ac:dyDescent="0.25">
      <c r="A357" s="1" t="str">
        <f>VLOOKUP(Table2[[#This Row],[Prod Line ]],Lists!A:E,5,0)</f>
        <v>d</v>
      </c>
      <c r="B357" s="1">
        <v>44191</v>
      </c>
      <c r="C357" s="1">
        <v>44188</v>
      </c>
      <c r="D357" s="1" t="s">
        <v>62</v>
      </c>
      <c r="E357" s="2" t="s">
        <v>404</v>
      </c>
      <c r="F357" s="1"/>
      <c r="G357" s="2">
        <v>7</v>
      </c>
      <c r="H357" s="1"/>
      <c r="I357" t="s">
        <v>1</v>
      </c>
      <c r="J357" t="s">
        <v>2</v>
      </c>
      <c r="K357" t="s">
        <v>19</v>
      </c>
      <c r="L357" t="s">
        <v>407</v>
      </c>
      <c r="M357" s="3" t="s">
        <v>553</v>
      </c>
      <c r="N357"/>
    </row>
    <row r="358" spans="1:16" hidden="1" x14ac:dyDescent="0.25">
      <c r="A358" s="1" t="str">
        <f>VLOOKUP(Table2[[#This Row],[Prod Line ]],Lists!A:E,5,0)</f>
        <v>a</v>
      </c>
      <c r="B358" s="1">
        <v>44193</v>
      </c>
      <c r="C358" s="1">
        <v>44191</v>
      </c>
      <c r="D358" s="1" t="s">
        <v>56</v>
      </c>
      <c r="E358" s="2" t="s">
        <v>404</v>
      </c>
      <c r="F358" s="1"/>
      <c r="G358" s="2">
        <v>22</v>
      </c>
      <c r="H358" s="1"/>
      <c r="I358" t="s">
        <v>0</v>
      </c>
      <c r="J358" t="s">
        <v>64</v>
      </c>
      <c r="K358" t="s">
        <v>363</v>
      </c>
      <c r="L358" t="s">
        <v>70</v>
      </c>
      <c r="M358" s="3" t="s">
        <v>683</v>
      </c>
    </row>
    <row r="359" spans="1:16" hidden="1" x14ac:dyDescent="0.25">
      <c r="A359" s="1" t="str">
        <f>VLOOKUP(Table2[[#This Row],[Prod Line ]],Lists!A:E,5,0)</f>
        <v>a</v>
      </c>
      <c r="B359" s="1">
        <v>44193</v>
      </c>
      <c r="C359" s="1">
        <v>44191</v>
      </c>
      <c r="D359" s="1" t="s">
        <v>56</v>
      </c>
      <c r="E359" s="2" t="s">
        <v>404</v>
      </c>
      <c r="F359" s="1"/>
      <c r="G359" s="2">
        <v>5</v>
      </c>
      <c r="H359" s="1"/>
      <c r="I359" t="s">
        <v>1</v>
      </c>
      <c r="J359" t="s">
        <v>64</v>
      </c>
      <c r="K359" t="s">
        <v>363</v>
      </c>
      <c r="L359" t="s">
        <v>350</v>
      </c>
      <c r="M359" s="3" t="s">
        <v>684</v>
      </c>
      <c r="N359"/>
    </row>
    <row r="360" spans="1:16" hidden="1" x14ac:dyDescent="0.25">
      <c r="A360" s="1" t="str">
        <f>VLOOKUP(Table2[[#This Row],[Prod Line ]],Lists!A:E,5,0)</f>
        <v>a</v>
      </c>
      <c r="B360" s="1">
        <v>44193</v>
      </c>
      <c r="C360" s="1">
        <v>44191</v>
      </c>
      <c r="D360" s="1" t="s">
        <v>56</v>
      </c>
      <c r="E360" s="2" t="s">
        <v>404</v>
      </c>
      <c r="F360" s="1"/>
      <c r="G360" s="2">
        <v>3</v>
      </c>
      <c r="H360" s="1"/>
      <c r="I360" t="s">
        <v>1</v>
      </c>
      <c r="J360" t="s">
        <v>64</v>
      </c>
      <c r="K360" t="s">
        <v>363</v>
      </c>
      <c r="L360" t="s">
        <v>349</v>
      </c>
      <c r="M360" s="3" t="s">
        <v>685</v>
      </c>
      <c r="N360"/>
    </row>
    <row r="361" spans="1:16" hidden="1" x14ac:dyDescent="0.25">
      <c r="A361" s="1" t="str">
        <f>VLOOKUP(Table2[[#This Row],[Prod Line ]],Lists!A:E,5,0)</f>
        <v>b</v>
      </c>
      <c r="B361" s="1">
        <v>44193</v>
      </c>
      <c r="C361" s="1">
        <v>44191</v>
      </c>
      <c r="D361" s="1" t="s">
        <v>58</v>
      </c>
      <c r="E361" s="2" t="s">
        <v>404</v>
      </c>
      <c r="F361" s="1"/>
      <c r="G361" s="2">
        <v>9</v>
      </c>
      <c r="H361" s="1"/>
      <c r="I361" t="s">
        <v>1</v>
      </c>
      <c r="J361" t="s">
        <v>2</v>
      </c>
      <c r="K361" t="s">
        <v>19</v>
      </c>
      <c r="L361" t="s">
        <v>349</v>
      </c>
      <c r="M361" s="3" t="s">
        <v>698</v>
      </c>
      <c r="N361"/>
    </row>
    <row r="362" spans="1:16" hidden="1" x14ac:dyDescent="0.25">
      <c r="A362" s="1" t="str">
        <f>VLOOKUP(Table2[[#This Row],[Prod Line ]],Lists!A:E,5,0)</f>
        <v>b</v>
      </c>
      <c r="B362" s="1">
        <v>44193</v>
      </c>
      <c r="C362" s="1">
        <v>44191</v>
      </c>
      <c r="D362" s="1" t="s">
        <v>58</v>
      </c>
      <c r="E362" s="2" t="s">
        <v>404</v>
      </c>
      <c r="F362" s="1"/>
      <c r="G362" s="2">
        <v>2</v>
      </c>
      <c r="H362" s="1"/>
      <c r="I362" t="s">
        <v>0</v>
      </c>
      <c r="J362" t="s">
        <v>64</v>
      </c>
      <c r="K362" t="s">
        <v>21</v>
      </c>
      <c r="L362" t="s">
        <v>70</v>
      </c>
      <c r="M362" s="3" t="s">
        <v>699</v>
      </c>
    </row>
    <row r="363" spans="1:16" hidden="1" x14ac:dyDescent="0.25">
      <c r="A363" s="1" t="str">
        <f>VLOOKUP(Table2[[#This Row],[Prod Line ]],Lists!A:E,5,0)</f>
        <v>b</v>
      </c>
      <c r="B363" s="1">
        <v>44193</v>
      </c>
      <c r="C363" s="1">
        <v>44191</v>
      </c>
      <c r="D363" s="1" t="s">
        <v>58</v>
      </c>
      <c r="E363" s="2" t="s">
        <v>404</v>
      </c>
      <c r="F363" s="1"/>
      <c r="G363" s="2">
        <v>2</v>
      </c>
      <c r="H363" s="1"/>
      <c r="I363" t="s">
        <v>1</v>
      </c>
      <c r="J363" t="s">
        <v>64</v>
      </c>
      <c r="K363" t="s">
        <v>20</v>
      </c>
      <c r="L363" t="s">
        <v>407</v>
      </c>
      <c r="M363" s="3" t="s">
        <v>688</v>
      </c>
      <c r="N363"/>
    </row>
    <row r="364" spans="1:16" hidden="1" x14ac:dyDescent="0.25">
      <c r="A364" s="1" t="str">
        <f>VLOOKUP(Table2[[#This Row],[Prod Line ]],Lists!A:E,5,0)</f>
        <v>b</v>
      </c>
      <c r="B364" s="1">
        <v>44193</v>
      </c>
      <c r="C364" s="1">
        <v>44191</v>
      </c>
      <c r="D364" s="1" t="s">
        <v>58</v>
      </c>
      <c r="E364" s="2" t="s">
        <v>406</v>
      </c>
      <c r="F364" s="1"/>
      <c r="G364" s="2">
        <v>27</v>
      </c>
      <c r="H364" s="1" t="s">
        <v>1</v>
      </c>
      <c r="I364" t="s">
        <v>1</v>
      </c>
      <c r="J364" t="s">
        <v>5</v>
      </c>
      <c r="K364" t="s">
        <v>38</v>
      </c>
      <c r="L364" t="s">
        <v>407</v>
      </c>
      <c r="M364" s="3" t="s">
        <v>689</v>
      </c>
      <c r="N364"/>
    </row>
    <row r="365" spans="1:16" hidden="1" x14ac:dyDescent="0.25">
      <c r="A365" s="1" t="str">
        <f>VLOOKUP(Table2[[#This Row],[Prod Line ]],Lists!A:E,5,0)</f>
        <v>b</v>
      </c>
      <c r="B365" s="1">
        <v>44193</v>
      </c>
      <c r="C365" s="1">
        <v>44191</v>
      </c>
      <c r="D365" s="1" t="s">
        <v>58</v>
      </c>
      <c r="E365" s="2" t="s">
        <v>406</v>
      </c>
      <c r="F365" s="1"/>
      <c r="G365" s="2">
        <v>7</v>
      </c>
      <c r="H365" s="1"/>
      <c r="I365" t="s">
        <v>1</v>
      </c>
      <c r="J365" t="s">
        <v>26</v>
      </c>
      <c r="K365" t="s">
        <v>25</v>
      </c>
      <c r="L365" t="s">
        <v>441</v>
      </c>
      <c r="M365" s="3" t="s">
        <v>690</v>
      </c>
      <c r="N365"/>
    </row>
    <row r="366" spans="1:16" hidden="1" x14ac:dyDescent="0.25">
      <c r="A366" s="1" t="str">
        <f>VLOOKUP(Table2[[#This Row],[Prod Line ]],Lists!A:E,5,0)</f>
        <v>b</v>
      </c>
      <c r="B366" s="1">
        <v>44193</v>
      </c>
      <c r="C366" s="1">
        <v>44192</v>
      </c>
      <c r="D366" s="1" t="s">
        <v>58</v>
      </c>
      <c r="E366" s="2" t="s">
        <v>404</v>
      </c>
      <c r="F366" s="1"/>
      <c r="G366" s="2">
        <v>9</v>
      </c>
      <c r="H366" s="1"/>
      <c r="I366" t="s">
        <v>0</v>
      </c>
      <c r="J366" t="s">
        <v>64</v>
      </c>
      <c r="K366" t="s">
        <v>22</v>
      </c>
      <c r="L366" t="s">
        <v>70</v>
      </c>
      <c r="M366" s="3" t="s">
        <v>691</v>
      </c>
    </row>
    <row r="367" spans="1:16" hidden="1" x14ac:dyDescent="0.25">
      <c r="A367" s="1" t="str">
        <f>VLOOKUP(Table2[[#This Row],[Prod Line ]],Lists!A:E,5,0)</f>
        <v>b</v>
      </c>
      <c r="B367" s="1">
        <v>44193</v>
      </c>
      <c r="C367" s="1">
        <v>44192</v>
      </c>
      <c r="D367" s="1" t="s">
        <v>58</v>
      </c>
      <c r="E367" s="2" t="s">
        <v>405</v>
      </c>
      <c r="F367" s="1"/>
      <c r="G367" s="2">
        <v>2</v>
      </c>
      <c r="H367" s="1"/>
      <c r="I367" t="s">
        <v>1</v>
      </c>
      <c r="J367" t="s">
        <v>26</v>
      </c>
      <c r="K367" t="s">
        <v>25</v>
      </c>
      <c r="L367" t="s">
        <v>441</v>
      </c>
      <c r="M367" s="3" t="s">
        <v>692</v>
      </c>
      <c r="N367"/>
    </row>
    <row r="368" spans="1:16" hidden="1" x14ac:dyDescent="0.25">
      <c r="A368" s="1" t="str">
        <f>VLOOKUP(Table2[[#This Row],[Prod Line ]],Lists!A:E,5,0)</f>
        <v>b</v>
      </c>
      <c r="B368" s="1">
        <v>44193</v>
      </c>
      <c r="C368" s="1">
        <v>44191</v>
      </c>
      <c r="D368" s="1" t="s">
        <v>58</v>
      </c>
      <c r="E368" s="2" t="s">
        <v>404</v>
      </c>
      <c r="F368" s="1"/>
      <c r="G368" s="2">
        <v>5</v>
      </c>
      <c r="H368" s="1"/>
      <c r="I368" t="s">
        <v>1</v>
      </c>
      <c r="J368" t="s">
        <v>2</v>
      </c>
      <c r="K368" t="s">
        <v>19</v>
      </c>
      <c r="L368" t="s">
        <v>349</v>
      </c>
      <c r="M368" s="3" t="s">
        <v>665</v>
      </c>
      <c r="N368"/>
    </row>
    <row r="369" spans="1:14" hidden="1" x14ac:dyDescent="0.25">
      <c r="A369" s="1" t="str">
        <f>VLOOKUP(Table2[[#This Row],[Prod Line ]],Lists!A:E,5,0)</f>
        <v>c</v>
      </c>
      <c r="B369" s="1">
        <v>44193</v>
      </c>
      <c r="C369" s="1">
        <v>44191</v>
      </c>
      <c r="D369" s="1" t="s">
        <v>60</v>
      </c>
      <c r="E369" s="2" t="s">
        <v>405</v>
      </c>
      <c r="F369" s="1"/>
      <c r="G369" s="2">
        <v>29</v>
      </c>
      <c r="H369" s="1"/>
      <c r="I369" t="s">
        <v>0</v>
      </c>
      <c r="J369" t="s">
        <v>2</v>
      </c>
      <c r="K369" t="s">
        <v>378</v>
      </c>
      <c r="L369" t="s">
        <v>70</v>
      </c>
      <c r="M369" s="3" t="s">
        <v>693</v>
      </c>
    </row>
    <row r="370" spans="1:14" hidden="1" x14ac:dyDescent="0.25">
      <c r="A370" s="1" t="str">
        <f>VLOOKUP(Table2[[#This Row],[Prod Line ]],Lists!A:E,5,0)</f>
        <v>c</v>
      </c>
      <c r="B370" s="1">
        <v>44193</v>
      </c>
      <c r="C370" s="1">
        <v>44191</v>
      </c>
      <c r="D370" s="1" t="s">
        <v>60</v>
      </c>
      <c r="E370" s="2" t="s">
        <v>405</v>
      </c>
      <c r="F370" s="1"/>
      <c r="G370" s="2">
        <v>17</v>
      </c>
      <c r="H370" s="1"/>
      <c r="I370" t="s">
        <v>1</v>
      </c>
      <c r="J370" t="s">
        <v>2</v>
      </c>
      <c r="K370" t="s">
        <v>378</v>
      </c>
      <c r="L370" t="s">
        <v>349</v>
      </c>
      <c r="M370" s="3" t="s">
        <v>686</v>
      </c>
      <c r="N370"/>
    </row>
    <row r="371" spans="1:14" hidden="1" x14ac:dyDescent="0.25">
      <c r="A371" s="1" t="str">
        <f>VLOOKUP(Table2[[#This Row],[Prod Line ]],Lists!A:E,5,0)</f>
        <v>c</v>
      </c>
      <c r="B371" s="1">
        <v>44193</v>
      </c>
      <c r="C371" s="1">
        <v>44191</v>
      </c>
      <c r="D371" s="1" t="s">
        <v>60</v>
      </c>
      <c r="E371" s="2" t="s">
        <v>405</v>
      </c>
      <c r="F371" s="1"/>
      <c r="G371" s="2">
        <v>5</v>
      </c>
      <c r="H371" s="1"/>
      <c r="I371" t="s">
        <v>1</v>
      </c>
      <c r="J371" t="s">
        <v>64</v>
      </c>
      <c r="K371" t="s">
        <v>379</v>
      </c>
      <c r="L371" t="s">
        <v>345</v>
      </c>
      <c r="M371" s="3" t="s">
        <v>687</v>
      </c>
      <c r="N371"/>
    </row>
    <row r="372" spans="1:14" hidden="1" x14ac:dyDescent="0.25">
      <c r="A372" s="1" t="str">
        <f>VLOOKUP(Table2[[#This Row],[Prod Line ]],Lists!A:E,5,0)</f>
        <v>d</v>
      </c>
      <c r="B372" s="1">
        <v>44193</v>
      </c>
      <c r="C372" s="1">
        <v>44191</v>
      </c>
      <c r="D372" s="1" t="s">
        <v>62</v>
      </c>
      <c r="E372" s="2" t="s">
        <v>404</v>
      </c>
      <c r="F372" s="1"/>
      <c r="G372" s="2">
        <v>12</v>
      </c>
      <c r="H372" s="1"/>
      <c r="I372" t="s">
        <v>1</v>
      </c>
      <c r="J372" t="s">
        <v>2</v>
      </c>
      <c r="K372" t="s">
        <v>19</v>
      </c>
      <c r="L372" t="s">
        <v>407</v>
      </c>
      <c r="M372" s="3" t="s">
        <v>553</v>
      </c>
      <c r="N372"/>
    </row>
    <row r="373" spans="1:14" hidden="1" x14ac:dyDescent="0.25">
      <c r="A373" s="1" t="str">
        <f>VLOOKUP(Table2[[#This Row],[Prod Line ]],Lists!A:E,5,0)</f>
        <v>d</v>
      </c>
      <c r="B373" s="1">
        <v>44193</v>
      </c>
      <c r="C373" s="1">
        <v>44191</v>
      </c>
      <c r="D373" s="1" t="s">
        <v>62</v>
      </c>
      <c r="E373" s="2" t="s">
        <v>404</v>
      </c>
      <c r="F373" s="1"/>
      <c r="G373" s="2">
        <v>10</v>
      </c>
      <c r="H373" s="1"/>
      <c r="I373" t="s">
        <v>1</v>
      </c>
      <c r="J373" t="s">
        <v>5</v>
      </c>
      <c r="K373" t="s">
        <v>397</v>
      </c>
      <c r="L373" t="s">
        <v>407</v>
      </c>
      <c r="M373" s="3" t="s">
        <v>702</v>
      </c>
      <c r="N373"/>
    </row>
    <row r="374" spans="1:14" hidden="1" x14ac:dyDescent="0.25">
      <c r="A374" s="1" t="str">
        <f>VLOOKUP(Table2[[#This Row],[Prod Line ]],Lists!A:E,5,0)</f>
        <v>d</v>
      </c>
      <c r="B374" s="1">
        <v>44195</v>
      </c>
      <c r="C374" s="1">
        <v>44192</v>
      </c>
      <c r="D374" s="1" t="s">
        <v>62</v>
      </c>
      <c r="E374" s="2" t="s">
        <v>404</v>
      </c>
      <c r="F374" s="1"/>
      <c r="G374" s="2">
        <v>12</v>
      </c>
      <c r="H374" s="1"/>
      <c r="I374" t="s">
        <v>1</v>
      </c>
      <c r="J374" t="s">
        <v>2</v>
      </c>
      <c r="K374" t="s">
        <v>19</v>
      </c>
      <c r="L374" t="s">
        <v>407</v>
      </c>
      <c r="M374" s="3" t="s">
        <v>553</v>
      </c>
      <c r="N374"/>
    </row>
    <row r="375" spans="1:14" hidden="1" x14ac:dyDescent="0.25">
      <c r="A375" s="1" t="str">
        <f>VLOOKUP(Table2[[#This Row],[Prod Line ]],Lists!A:E,5,0)</f>
        <v>a</v>
      </c>
      <c r="B375" s="1">
        <v>44195</v>
      </c>
      <c r="C375" s="1">
        <v>44192</v>
      </c>
      <c r="D375" s="1" t="s">
        <v>56</v>
      </c>
      <c r="E375" s="2" t="s">
        <v>404</v>
      </c>
      <c r="F375" s="1"/>
      <c r="G375" s="2">
        <v>15</v>
      </c>
      <c r="H375" s="1"/>
      <c r="I375" t="s">
        <v>0</v>
      </c>
      <c r="J375" t="s">
        <v>65</v>
      </c>
      <c r="K375" t="s">
        <v>372</v>
      </c>
      <c r="L375" t="s">
        <v>70</v>
      </c>
      <c r="M375" s="3"/>
    </row>
    <row r="376" spans="1:14" hidden="1" x14ac:dyDescent="0.25">
      <c r="A376" s="1" t="str">
        <f>VLOOKUP(Table2[[#This Row],[Prod Line ]],Lists!A:E,5,0)</f>
        <v>d</v>
      </c>
      <c r="B376" s="1">
        <v>44195</v>
      </c>
      <c r="C376" s="1">
        <v>44192</v>
      </c>
      <c r="D376" s="1" t="s">
        <v>62</v>
      </c>
      <c r="E376" s="2" t="s">
        <v>404</v>
      </c>
      <c r="F376" s="1"/>
      <c r="G376" s="2">
        <v>4</v>
      </c>
      <c r="H376" s="1"/>
      <c r="I376" t="s">
        <v>1</v>
      </c>
      <c r="J376" t="s">
        <v>64</v>
      </c>
      <c r="K376" t="s">
        <v>379</v>
      </c>
      <c r="L376" t="s">
        <v>407</v>
      </c>
      <c r="M376" s="3" t="s">
        <v>682</v>
      </c>
      <c r="N376"/>
    </row>
    <row r="377" spans="1:14" hidden="1" x14ac:dyDescent="0.25">
      <c r="A377" s="1" t="str">
        <f>VLOOKUP(Table2[[#This Row],[Prod Line ]],Lists!A:E,5,0)</f>
        <v>d</v>
      </c>
      <c r="B377" s="1">
        <v>44195</v>
      </c>
      <c r="C377" s="1">
        <v>44192</v>
      </c>
      <c r="D377" s="1" t="s">
        <v>62</v>
      </c>
      <c r="E377" s="2" t="s">
        <v>405</v>
      </c>
      <c r="F377" s="1"/>
      <c r="G377" s="2">
        <v>10</v>
      </c>
      <c r="H377" s="1"/>
      <c r="I377" t="s">
        <v>1</v>
      </c>
      <c r="J377" t="s">
        <v>2</v>
      </c>
      <c r="K377" t="s">
        <v>19</v>
      </c>
      <c r="L377" t="s">
        <v>349</v>
      </c>
      <c r="M377" s="3" t="s">
        <v>550</v>
      </c>
      <c r="N377"/>
    </row>
    <row r="378" spans="1:14" hidden="1" x14ac:dyDescent="0.25">
      <c r="A378" s="1" t="str">
        <f>VLOOKUP(Table2[[#This Row],[Prod Line ]],Lists!A:E,5,0)</f>
        <v>d</v>
      </c>
      <c r="B378" s="1">
        <v>44195</v>
      </c>
      <c r="C378" s="1">
        <v>44192</v>
      </c>
      <c r="D378" s="1" t="s">
        <v>62</v>
      </c>
      <c r="E378" s="2" t="s">
        <v>405</v>
      </c>
      <c r="F378" s="1"/>
      <c r="G378" s="2">
        <v>8</v>
      </c>
      <c r="H378" s="1"/>
      <c r="I378" t="s">
        <v>1</v>
      </c>
      <c r="J378" t="s">
        <v>64</v>
      </c>
      <c r="K378" t="s">
        <v>379</v>
      </c>
      <c r="L378" t="s">
        <v>407</v>
      </c>
      <c r="M378" s="3" t="s">
        <v>701</v>
      </c>
      <c r="N378"/>
    </row>
    <row r="379" spans="1:14" hidden="1" x14ac:dyDescent="0.25">
      <c r="A379" s="1" t="str">
        <f>VLOOKUP(Table2[[#This Row],[Prod Line ]],Lists!A:E,5,0)</f>
        <v>d</v>
      </c>
      <c r="B379" s="1">
        <v>44195</v>
      </c>
      <c r="C379" s="1">
        <v>44192</v>
      </c>
      <c r="D379" s="1" t="s">
        <v>62</v>
      </c>
      <c r="E379" s="2" t="s">
        <v>404</v>
      </c>
      <c r="F379" s="1"/>
      <c r="G379" s="2">
        <v>4</v>
      </c>
      <c r="H379" s="1"/>
      <c r="I379" t="s">
        <v>0</v>
      </c>
      <c r="J379" t="s">
        <v>2</v>
      </c>
      <c r="K379" t="s">
        <v>14</v>
      </c>
      <c r="L379" t="s">
        <v>70</v>
      </c>
      <c r="M379" s="3" t="s">
        <v>700</v>
      </c>
    </row>
    <row r="380" spans="1:14" hidden="1" x14ac:dyDescent="0.25">
      <c r="A380" s="1" t="str">
        <f>VLOOKUP(Table2[[#This Row],[Prod Line ]],Lists!A:E,5,0)</f>
        <v>c</v>
      </c>
      <c r="B380" s="1">
        <v>44195</v>
      </c>
      <c r="C380" s="1">
        <v>44192</v>
      </c>
      <c r="D380" s="1" t="s">
        <v>60</v>
      </c>
      <c r="E380" s="2" t="s">
        <v>404</v>
      </c>
      <c r="F380" s="1"/>
      <c r="G380" s="2">
        <v>5</v>
      </c>
      <c r="H380" s="1"/>
      <c r="I380" t="s">
        <v>1</v>
      </c>
      <c r="J380" t="s">
        <v>2</v>
      </c>
      <c r="K380" t="s">
        <v>378</v>
      </c>
      <c r="L380" t="s">
        <v>349</v>
      </c>
      <c r="M380" s="3" t="s">
        <v>694</v>
      </c>
      <c r="N380"/>
    </row>
    <row r="381" spans="1:14" hidden="1" x14ac:dyDescent="0.25">
      <c r="A381" s="1" t="str">
        <f>VLOOKUP(Table2[[#This Row],[Prod Line ]],Lists!A:E,5,0)</f>
        <v>c</v>
      </c>
      <c r="B381" s="1">
        <v>44195</v>
      </c>
      <c r="C381" s="1">
        <v>44192</v>
      </c>
      <c r="D381" s="1" t="s">
        <v>60</v>
      </c>
      <c r="E381" s="2" t="s">
        <v>404</v>
      </c>
      <c r="F381" s="1"/>
      <c r="G381" s="2">
        <v>12</v>
      </c>
      <c r="H381" s="1"/>
      <c r="I381" t="s">
        <v>1</v>
      </c>
      <c r="J381" t="s">
        <v>2</v>
      </c>
      <c r="K381" t="s">
        <v>378</v>
      </c>
      <c r="L381" t="s">
        <v>349</v>
      </c>
      <c r="M381" s="3" t="s">
        <v>695</v>
      </c>
      <c r="N381"/>
    </row>
    <row r="382" spans="1:14" hidden="1" x14ac:dyDescent="0.25">
      <c r="A382" s="1" t="str">
        <f>VLOOKUP(Table2[[#This Row],[Prod Line ]],Lists!A:E,5,0)</f>
        <v>c</v>
      </c>
      <c r="B382" s="1">
        <v>44195</v>
      </c>
      <c r="C382" s="1">
        <v>44193</v>
      </c>
      <c r="D382" s="1" t="s">
        <v>60</v>
      </c>
      <c r="E382" s="2" t="s">
        <v>404</v>
      </c>
      <c r="F382" s="1"/>
      <c r="G382" s="2">
        <v>27</v>
      </c>
      <c r="H382" s="1"/>
      <c r="I382" t="s">
        <v>1</v>
      </c>
      <c r="J382" t="s">
        <v>64</v>
      </c>
      <c r="K382" t="s">
        <v>381</v>
      </c>
      <c r="L382" t="s">
        <v>407</v>
      </c>
      <c r="M382" s="3" t="s">
        <v>696</v>
      </c>
      <c r="N382"/>
    </row>
    <row r="383" spans="1:14" hidden="1" x14ac:dyDescent="0.25">
      <c r="A383" s="1" t="str">
        <f>VLOOKUP(Table2[[#This Row],[Prod Line ]],Lists!A:E,5,0)</f>
        <v>c</v>
      </c>
      <c r="B383" s="1">
        <v>44195</v>
      </c>
      <c r="C383" s="1">
        <v>44192</v>
      </c>
      <c r="D383" s="1" t="s">
        <v>60</v>
      </c>
      <c r="E383" s="2" t="s">
        <v>405</v>
      </c>
      <c r="F383" s="1"/>
      <c r="G383" s="2">
        <v>12</v>
      </c>
      <c r="H383" s="1"/>
      <c r="I383" t="s">
        <v>1</v>
      </c>
      <c r="J383" t="s">
        <v>26</v>
      </c>
      <c r="K383" t="s">
        <v>26</v>
      </c>
      <c r="L383" t="s">
        <v>72</v>
      </c>
      <c r="M383" s="3" t="s">
        <v>697</v>
      </c>
      <c r="N383"/>
    </row>
    <row r="384" spans="1:14" hidden="1" x14ac:dyDescent="0.25">
      <c r="A384" s="1" t="str">
        <f>VLOOKUP(Table2[[#This Row],[Prod Line ]],Lists!A:E,5,0)</f>
        <v>d</v>
      </c>
      <c r="B384" s="1">
        <v>44195</v>
      </c>
      <c r="C384" s="1">
        <v>44192</v>
      </c>
      <c r="D384" s="1" t="s">
        <v>62</v>
      </c>
      <c r="E384" s="2" t="s">
        <v>405</v>
      </c>
      <c r="F384" s="1"/>
      <c r="G384" s="2">
        <v>7</v>
      </c>
      <c r="H384" s="1"/>
      <c r="I384" t="s">
        <v>1</v>
      </c>
      <c r="J384" t="s">
        <v>64</v>
      </c>
      <c r="K384" t="s">
        <v>379</v>
      </c>
      <c r="L384" t="s">
        <v>407</v>
      </c>
      <c r="M384" s="3" t="s">
        <v>553</v>
      </c>
      <c r="N384"/>
    </row>
    <row r="385" spans="1:14" hidden="1" x14ac:dyDescent="0.25">
      <c r="A385" s="1" t="str">
        <f>VLOOKUP(Table2[[#This Row],[Prod Line ]],Lists!A:E,5,0)</f>
        <v>b</v>
      </c>
      <c r="B385" s="1">
        <v>44196</v>
      </c>
      <c r="C385" s="1">
        <v>44194</v>
      </c>
      <c r="D385" s="1" t="s">
        <v>58</v>
      </c>
      <c r="E385" s="2" t="s">
        <v>405</v>
      </c>
      <c r="F385" s="1"/>
      <c r="G385" s="2">
        <v>17</v>
      </c>
      <c r="H385" s="1" t="s">
        <v>0</v>
      </c>
      <c r="I385" t="s">
        <v>0</v>
      </c>
      <c r="J385" t="s">
        <v>5</v>
      </c>
      <c r="K385" t="s">
        <v>39</v>
      </c>
      <c r="L385" t="s">
        <v>70</v>
      </c>
      <c r="M385" s="3" t="s">
        <v>703</v>
      </c>
    </row>
    <row r="386" spans="1:14" hidden="1" x14ac:dyDescent="0.25">
      <c r="A386" s="1" t="str">
        <f>VLOOKUP(Table2[[#This Row],[Prod Line ]],Lists!A:E,5,0)</f>
        <v>d</v>
      </c>
      <c r="B386" s="1">
        <v>44196</v>
      </c>
      <c r="C386" s="1">
        <v>44194</v>
      </c>
      <c r="D386" s="1" t="s">
        <v>62</v>
      </c>
      <c r="E386" s="2" t="s">
        <v>405</v>
      </c>
      <c r="F386" s="1"/>
      <c r="G386" s="2">
        <v>31</v>
      </c>
      <c r="H386" s="1" t="s">
        <v>1</v>
      </c>
      <c r="I386" t="s">
        <v>1</v>
      </c>
      <c r="J386" t="s">
        <v>67</v>
      </c>
      <c r="K386" t="s">
        <v>67</v>
      </c>
      <c r="L386" t="s">
        <v>72</v>
      </c>
      <c r="M386" s="3" t="s">
        <v>707</v>
      </c>
      <c r="N386"/>
    </row>
    <row r="387" spans="1:14" hidden="1" x14ac:dyDescent="0.25">
      <c r="A387" s="1" t="str">
        <f>VLOOKUP(Table2[[#This Row],[Prod Line ]],Lists!A:E,5,0)</f>
        <v>a</v>
      </c>
      <c r="B387" s="1">
        <v>44196</v>
      </c>
      <c r="C387" s="1">
        <v>44194</v>
      </c>
      <c r="D387" s="1" t="s">
        <v>56</v>
      </c>
      <c r="E387" s="2" t="s">
        <v>404</v>
      </c>
      <c r="F387" s="1"/>
      <c r="G387" s="2">
        <v>3</v>
      </c>
      <c r="H387" s="1"/>
      <c r="I387" t="s">
        <v>1</v>
      </c>
      <c r="J387" t="s">
        <v>67</v>
      </c>
      <c r="K387" t="s">
        <v>67</v>
      </c>
      <c r="L387" t="s">
        <v>407</v>
      </c>
      <c r="M387" s="3" t="s">
        <v>704</v>
      </c>
      <c r="N387"/>
    </row>
    <row r="388" spans="1:14" hidden="1" x14ac:dyDescent="0.25">
      <c r="A388" s="1" t="str">
        <f>VLOOKUP(Table2[[#This Row],[Prod Line ]],Lists!A:E,5,0)</f>
        <v>c</v>
      </c>
      <c r="B388" s="1">
        <v>44196</v>
      </c>
      <c r="C388" s="1">
        <v>44194</v>
      </c>
      <c r="D388" s="1" t="s">
        <v>60</v>
      </c>
      <c r="E388" s="2" t="s">
        <v>404</v>
      </c>
      <c r="F388" s="1"/>
      <c r="G388" s="2">
        <v>13</v>
      </c>
      <c r="H388" s="1"/>
      <c r="I388" t="s">
        <v>1</v>
      </c>
      <c r="J388" t="s">
        <v>2</v>
      </c>
      <c r="K388" t="s">
        <v>378</v>
      </c>
      <c r="L388" t="s">
        <v>349</v>
      </c>
      <c r="M388" s="3" t="s">
        <v>575</v>
      </c>
      <c r="N388"/>
    </row>
    <row r="389" spans="1:14" hidden="1" x14ac:dyDescent="0.25">
      <c r="A389" s="1" t="str">
        <f>VLOOKUP(Table2[[#This Row],[Prod Line ]],Lists!A:E,5,0)</f>
        <v>c</v>
      </c>
      <c r="B389" s="1">
        <v>44196</v>
      </c>
      <c r="C389" s="1">
        <v>44194</v>
      </c>
      <c r="D389" s="1" t="s">
        <v>60</v>
      </c>
      <c r="E389" s="2" t="s">
        <v>404</v>
      </c>
      <c r="F389" s="1"/>
      <c r="G389" s="2">
        <v>20</v>
      </c>
      <c r="H389" s="1"/>
      <c r="I389" t="s">
        <v>1</v>
      </c>
      <c r="J389" t="s">
        <v>26</v>
      </c>
      <c r="K389" t="s">
        <v>26</v>
      </c>
      <c r="L389" t="s">
        <v>430</v>
      </c>
      <c r="M389" s="3" t="s">
        <v>705</v>
      </c>
      <c r="N389"/>
    </row>
    <row r="390" spans="1:14" hidden="1" x14ac:dyDescent="0.25">
      <c r="A390" s="1" t="str">
        <f>VLOOKUP(Table2[[#This Row],[Prod Line ]],Lists!A:E,5,0)</f>
        <v>c</v>
      </c>
      <c r="B390" s="1">
        <v>44196</v>
      </c>
      <c r="C390" s="1">
        <v>44195</v>
      </c>
      <c r="D390" s="1" t="s">
        <v>60</v>
      </c>
      <c r="E390" s="2" t="s">
        <v>405</v>
      </c>
      <c r="F390" s="1"/>
      <c r="G390" s="2">
        <v>14</v>
      </c>
      <c r="H390" s="1"/>
      <c r="I390" t="s">
        <v>0</v>
      </c>
      <c r="J390" t="s">
        <v>2</v>
      </c>
      <c r="K390" t="s">
        <v>378</v>
      </c>
      <c r="L390" t="s">
        <v>70</v>
      </c>
      <c r="M390" s="3" t="s">
        <v>706</v>
      </c>
    </row>
    <row r="391" spans="1:14" hidden="1" x14ac:dyDescent="0.25">
      <c r="A391" s="1" t="str">
        <f>VLOOKUP(Table2[[#This Row],[Prod Line ]],Lists!A:E,5,0)</f>
        <v>d</v>
      </c>
      <c r="B391" s="1">
        <v>44196</v>
      </c>
      <c r="C391" s="1">
        <v>44195</v>
      </c>
      <c r="D391" s="1" t="s">
        <v>62</v>
      </c>
      <c r="E391" s="2" t="s">
        <v>406</v>
      </c>
      <c r="F391" s="1"/>
      <c r="G391" s="2">
        <v>21</v>
      </c>
      <c r="H391" s="1"/>
      <c r="I391" t="s">
        <v>1</v>
      </c>
      <c r="J391" t="s">
        <v>2</v>
      </c>
      <c r="K391" t="s">
        <v>19</v>
      </c>
      <c r="L391" t="s">
        <v>407</v>
      </c>
      <c r="M391" s="3" t="s">
        <v>708</v>
      </c>
      <c r="N391"/>
    </row>
    <row r="392" spans="1:14" hidden="1" x14ac:dyDescent="0.25">
      <c r="A392" s="1" t="str">
        <f>VLOOKUP(Table2[[#This Row],[Prod Line ]],Lists!A:E,5,0)</f>
        <v>a</v>
      </c>
      <c r="B392" s="1">
        <v>44198</v>
      </c>
      <c r="C392" s="1">
        <v>44196</v>
      </c>
      <c r="D392" s="1" t="s">
        <v>56</v>
      </c>
      <c r="E392" s="2" t="s">
        <v>404</v>
      </c>
      <c r="F392" s="1"/>
      <c r="G392" s="2">
        <v>7</v>
      </c>
      <c r="H392" s="1"/>
      <c r="I392" t="s">
        <v>1</v>
      </c>
      <c r="J392" t="s">
        <v>67</v>
      </c>
      <c r="K392" t="s">
        <v>67</v>
      </c>
      <c r="L392" t="s">
        <v>350</v>
      </c>
      <c r="M392" s="3" t="s">
        <v>709</v>
      </c>
      <c r="N392"/>
    </row>
    <row r="393" spans="1:14" hidden="1" x14ac:dyDescent="0.25">
      <c r="A393" s="1" t="str">
        <f>VLOOKUP(Table2[[#This Row],[Prod Line ]],Lists!A:E,5,0)</f>
        <v>d</v>
      </c>
      <c r="B393" s="1">
        <v>44198</v>
      </c>
      <c r="C393" s="1">
        <v>44196</v>
      </c>
      <c r="D393" s="1" t="s">
        <v>62</v>
      </c>
      <c r="E393" s="2" t="s">
        <v>406</v>
      </c>
      <c r="F393" s="1"/>
      <c r="G393" s="2">
        <v>22</v>
      </c>
      <c r="H393" s="1" t="s">
        <v>1</v>
      </c>
      <c r="I393" t="s">
        <v>1</v>
      </c>
      <c r="J393" t="s">
        <v>2</v>
      </c>
      <c r="K393" t="s">
        <v>19</v>
      </c>
      <c r="L393" t="s">
        <v>407</v>
      </c>
      <c r="M393" s="3" t="s">
        <v>710</v>
      </c>
      <c r="N393"/>
    </row>
    <row r="394" spans="1:14" hidden="1" x14ac:dyDescent="0.25">
      <c r="A394" s="1" t="str">
        <f>VLOOKUP(Table2[[#This Row],[Prod Line ]],Lists!A:E,5,0)</f>
        <v>a</v>
      </c>
      <c r="B394" s="1">
        <v>44200</v>
      </c>
      <c r="C394" s="1">
        <v>44198</v>
      </c>
      <c r="D394" s="1" t="s">
        <v>56</v>
      </c>
      <c r="E394" s="2" t="s">
        <v>404</v>
      </c>
      <c r="F394" s="1"/>
      <c r="G394" s="2">
        <v>13</v>
      </c>
      <c r="H394" s="1"/>
      <c r="I394" t="s">
        <v>0</v>
      </c>
      <c r="J394" t="s">
        <v>64</v>
      </c>
      <c r="K394" t="s">
        <v>367</v>
      </c>
      <c r="L394" t="s">
        <v>70</v>
      </c>
      <c r="M394" s="3" t="s">
        <v>711</v>
      </c>
    </row>
    <row r="395" spans="1:14" hidden="1" x14ac:dyDescent="0.25">
      <c r="A395" s="1" t="str">
        <f>VLOOKUP(Table2[[#This Row],[Prod Line ]],Lists!A:E,5,0)</f>
        <v>a</v>
      </c>
      <c r="B395" s="1">
        <v>44200</v>
      </c>
      <c r="C395" s="1">
        <v>44198</v>
      </c>
      <c r="D395" s="1" t="s">
        <v>56</v>
      </c>
      <c r="E395" s="2" t="s">
        <v>404</v>
      </c>
      <c r="F395" s="1"/>
      <c r="G395" s="2">
        <v>3</v>
      </c>
      <c r="H395" s="1"/>
      <c r="I395" t="s">
        <v>1</v>
      </c>
      <c r="J395" t="s">
        <v>64</v>
      </c>
      <c r="K395" t="s">
        <v>368</v>
      </c>
      <c r="L395" t="s">
        <v>72</v>
      </c>
      <c r="M395" s="3" t="s">
        <v>712</v>
      </c>
      <c r="N395"/>
    </row>
    <row r="396" spans="1:14" hidden="1" x14ac:dyDescent="0.25">
      <c r="A396" s="1" t="str">
        <f>VLOOKUP(Table2[[#This Row],[Prod Line ]],Lists!A:E,5,0)</f>
        <v>b</v>
      </c>
      <c r="B396" s="1">
        <v>44200</v>
      </c>
      <c r="C396" s="1">
        <v>44197</v>
      </c>
      <c r="D396" s="1" t="s">
        <v>58</v>
      </c>
      <c r="E396" s="2" t="s">
        <v>406</v>
      </c>
      <c r="F396" s="1"/>
      <c r="G396" s="2">
        <v>15</v>
      </c>
      <c r="H396" s="1"/>
      <c r="I396" t="s">
        <v>1</v>
      </c>
      <c r="J396" t="s">
        <v>2</v>
      </c>
      <c r="K396" t="s">
        <v>18</v>
      </c>
      <c r="L396" t="s">
        <v>349</v>
      </c>
      <c r="M396" s="3" t="s">
        <v>713</v>
      </c>
      <c r="N396"/>
    </row>
    <row r="397" spans="1:14" hidden="1" x14ac:dyDescent="0.25">
      <c r="A397" s="1" t="str">
        <f>VLOOKUP(Table2[[#This Row],[Prod Line ]],Lists!A:E,5,0)</f>
        <v>b</v>
      </c>
      <c r="B397" s="1">
        <v>44200</v>
      </c>
      <c r="C397" s="1">
        <v>44197</v>
      </c>
      <c r="D397" s="1" t="s">
        <v>58</v>
      </c>
      <c r="E397" s="2" t="s">
        <v>406</v>
      </c>
      <c r="F397" s="1"/>
      <c r="G397" s="2">
        <v>16</v>
      </c>
      <c r="H397" s="1" t="s">
        <v>1</v>
      </c>
      <c r="I397" t="s">
        <v>1</v>
      </c>
      <c r="J397" t="s">
        <v>2</v>
      </c>
      <c r="K397" t="s">
        <v>19</v>
      </c>
      <c r="L397" t="s">
        <v>72</v>
      </c>
      <c r="M397" s="3" t="s">
        <v>714</v>
      </c>
      <c r="N397"/>
    </row>
    <row r="398" spans="1:14" hidden="1" x14ac:dyDescent="0.25">
      <c r="A398" s="1" t="str">
        <f>VLOOKUP(Table2[[#This Row],[Prod Line ]],Lists!A:E,5,0)</f>
        <v>b</v>
      </c>
      <c r="B398" s="1">
        <v>44200</v>
      </c>
      <c r="C398" s="1">
        <v>44198</v>
      </c>
      <c r="D398" s="1" t="s">
        <v>58</v>
      </c>
      <c r="E398" s="2" t="s">
        <v>404</v>
      </c>
      <c r="F398" s="1"/>
      <c r="G398" s="2">
        <v>9</v>
      </c>
      <c r="H398" s="1"/>
      <c r="I398" t="s">
        <v>1</v>
      </c>
      <c r="J398" t="s">
        <v>2</v>
      </c>
      <c r="K398" t="s">
        <v>19</v>
      </c>
      <c r="L398" t="s">
        <v>349</v>
      </c>
      <c r="M398" s="3" t="s">
        <v>715</v>
      </c>
      <c r="N398"/>
    </row>
    <row r="399" spans="1:14" hidden="1" x14ac:dyDescent="0.25">
      <c r="A399" s="1" t="str">
        <f>VLOOKUP(Table2[[#This Row],[Prod Line ]],Lists!A:E,5,0)</f>
        <v>b</v>
      </c>
      <c r="B399" s="1">
        <v>44200</v>
      </c>
      <c r="C399" s="1">
        <v>44198</v>
      </c>
      <c r="D399" s="1" t="s">
        <v>58</v>
      </c>
      <c r="E399" s="2" t="s">
        <v>406</v>
      </c>
      <c r="F399" s="1"/>
      <c r="G399" s="2">
        <v>2.5</v>
      </c>
      <c r="H399" s="1"/>
      <c r="I399" t="s">
        <v>0</v>
      </c>
      <c r="J399" t="s">
        <v>64</v>
      </c>
      <c r="K399" t="s">
        <v>21</v>
      </c>
      <c r="L399" t="s">
        <v>70</v>
      </c>
      <c r="M399" s="3" t="s">
        <v>716</v>
      </c>
    </row>
    <row r="400" spans="1:14" hidden="1" x14ac:dyDescent="0.25">
      <c r="A400" s="1" t="str">
        <f>VLOOKUP(Table2[[#This Row],[Prod Line ]],Lists!A:E,5,0)</f>
        <v>b</v>
      </c>
      <c r="B400" s="1">
        <v>44200</v>
      </c>
      <c r="C400" s="1">
        <v>44198</v>
      </c>
      <c r="D400" s="1" t="s">
        <v>58</v>
      </c>
      <c r="E400" s="2" t="s">
        <v>406</v>
      </c>
      <c r="F400" s="1"/>
      <c r="G400" s="2">
        <v>8</v>
      </c>
      <c r="H400" s="1"/>
      <c r="I400" t="s">
        <v>1</v>
      </c>
      <c r="J400" t="s">
        <v>26</v>
      </c>
      <c r="K400" t="s">
        <v>25</v>
      </c>
      <c r="L400" t="s">
        <v>441</v>
      </c>
      <c r="M400" s="3" t="s">
        <v>612</v>
      </c>
      <c r="N400"/>
    </row>
    <row r="401" spans="1:14" hidden="1" x14ac:dyDescent="0.25">
      <c r="A401" s="1" t="str">
        <f>VLOOKUP(Table2[[#This Row],[Prod Line ]],Lists!A:E,5,0)</f>
        <v>b</v>
      </c>
      <c r="B401" s="1">
        <v>44200</v>
      </c>
      <c r="C401" s="1">
        <v>44198</v>
      </c>
      <c r="D401" s="1" t="s">
        <v>58</v>
      </c>
      <c r="E401" s="2" t="s">
        <v>406</v>
      </c>
      <c r="F401" s="1"/>
      <c r="G401" s="2">
        <v>5</v>
      </c>
      <c r="H401" s="1"/>
      <c r="I401" t="s">
        <v>1</v>
      </c>
      <c r="J401" t="s">
        <v>65</v>
      </c>
      <c r="K401" t="s">
        <v>27</v>
      </c>
      <c r="L401" t="s">
        <v>441</v>
      </c>
      <c r="M401" s="3" t="s">
        <v>717</v>
      </c>
      <c r="N401"/>
    </row>
    <row r="402" spans="1:14" hidden="1" x14ac:dyDescent="0.25">
      <c r="A402" s="1" t="str">
        <f>VLOOKUP(Table2[[#This Row],[Prod Line ]],Lists!A:E,5,0)</f>
        <v>c</v>
      </c>
      <c r="B402" s="1">
        <v>44200</v>
      </c>
      <c r="C402" s="1">
        <v>44198</v>
      </c>
      <c r="D402" s="1" t="s">
        <v>60</v>
      </c>
      <c r="E402" s="2" t="s">
        <v>404</v>
      </c>
      <c r="F402" s="1"/>
      <c r="G402" s="2">
        <v>38</v>
      </c>
      <c r="H402" s="1"/>
      <c r="I402" t="s">
        <v>0</v>
      </c>
      <c r="J402" t="s">
        <v>2</v>
      </c>
      <c r="K402" t="s">
        <v>378</v>
      </c>
      <c r="L402" t="s">
        <v>70</v>
      </c>
      <c r="M402" s="3" t="s">
        <v>718</v>
      </c>
    </row>
    <row r="403" spans="1:14" hidden="1" x14ac:dyDescent="0.25">
      <c r="A403" s="1" t="str">
        <f>VLOOKUP(Table2[[#This Row],[Prod Line ]],Lists!A:E,5,0)</f>
        <v>c</v>
      </c>
      <c r="B403" s="1">
        <v>44200</v>
      </c>
      <c r="C403" s="1">
        <v>44198</v>
      </c>
      <c r="D403" s="1" t="s">
        <v>60</v>
      </c>
      <c r="E403" s="2" t="s">
        <v>404</v>
      </c>
      <c r="F403" s="1"/>
      <c r="G403" s="2">
        <v>41</v>
      </c>
      <c r="H403" s="1"/>
      <c r="I403" t="s">
        <v>0</v>
      </c>
      <c r="J403" t="s">
        <v>2</v>
      </c>
      <c r="K403" t="s">
        <v>378</v>
      </c>
      <c r="L403" t="s">
        <v>70</v>
      </c>
      <c r="M403" s="3" t="s">
        <v>719</v>
      </c>
    </row>
    <row r="404" spans="1:14" hidden="1" x14ac:dyDescent="0.25">
      <c r="A404" s="1" t="str">
        <f>VLOOKUP(Table2[[#This Row],[Prod Line ]],Lists!A:E,5,0)</f>
        <v>c</v>
      </c>
      <c r="B404" s="1">
        <v>44200</v>
      </c>
      <c r="C404" s="1">
        <v>44198</v>
      </c>
      <c r="D404" s="1" t="s">
        <v>60</v>
      </c>
      <c r="E404" s="2" t="s">
        <v>405</v>
      </c>
      <c r="F404" s="1"/>
      <c r="G404" s="2">
        <v>7</v>
      </c>
      <c r="H404" s="1"/>
      <c r="I404" t="s">
        <v>1</v>
      </c>
      <c r="J404" t="s">
        <v>64</v>
      </c>
      <c r="K404" t="s">
        <v>379</v>
      </c>
      <c r="L404" t="s">
        <v>344</v>
      </c>
      <c r="M404" s="3"/>
      <c r="N404"/>
    </row>
    <row r="405" spans="1:14" hidden="1" x14ac:dyDescent="0.25">
      <c r="A405" s="1" t="str">
        <f>VLOOKUP(Table2[[#This Row],[Prod Line ]],Lists!A:E,5,0)</f>
        <v>c</v>
      </c>
      <c r="B405" s="1">
        <v>44200</v>
      </c>
      <c r="C405" s="1">
        <v>44198</v>
      </c>
      <c r="D405" s="1" t="s">
        <v>60</v>
      </c>
      <c r="E405" s="2" t="s">
        <v>405</v>
      </c>
      <c r="F405" s="1"/>
      <c r="G405" s="2">
        <v>10</v>
      </c>
      <c r="H405" s="1"/>
      <c r="I405" t="s">
        <v>1</v>
      </c>
      <c r="J405" t="s">
        <v>2</v>
      </c>
      <c r="K405" t="s">
        <v>378</v>
      </c>
      <c r="L405" t="s">
        <v>349</v>
      </c>
      <c r="M405" s="3" t="s">
        <v>720</v>
      </c>
      <c r="N405"/>
    </row>
    <row r="406" spans="1:14" hidden="1" x14ac:dyDescent="0.25">
      <c r="A406" s="1" t="str">
        <f>VLOOKUP(Table2[[#This Row],[Prod Line ]],Lists!A:E,5,0)</f>
        <v>c</v>
      </c>
      <c r="B406" s="1">
        <v>44200</v>
      </c>
      <c r="C406" s="1">
        <v>44198</v>
      </c>
      <c r="D406" s="1" t="s">
        <v>60</v>
      </c>
      <c r="E406" s="2" t="s">
        <v>404</v>
      </c>
      <c r="F406" s="1"/>
      <c r="G406" s="2">
        <v>17</v>
      </c>
      <c r="H406" s="1"/>
      <c r="I406" t="s">
        <v>1</v>
      </c>
      <c r="J406" t="s">
        <v>2</v>
      </c>
      <c r="K406" t="s">
        <v>378</v>
      </c>
      <c r="L406" t="s">
        <v>349</v>
      </c>
      <c r="M406" s="3" t="s">
        <v>721</v>
      </c>
      <c r="N406"/>
    </row>
    <row r="407" spans="1:14" hidden="1" x14ac:dyDescent="0.25">
      <c r="A407" s="1" t="str">
        <f>VLOOKUP(Table2[[#This Row],[Prod Line ]],Lists!A:E,5,0)</f>
        <v>d</v>
      </c>
      <c r="B407" s="1">
        <v>44200</v>
      </c>
      <c r="C407" s="1">
        <v>44198</v>
      </c>
      <c r="D407" s="1" t="s">
        <v>62</v>
      </c>
      <c r="E407" s="2" t="s">
        <v>405</v>
      </c>
      <c r="F407" s="1"/>
      <c r="G407" s="2">
        <v>12</v>
      </c>
      <c r="H407" s="1"/>
      <c r="I407" t="s">
        <v>1</v>
      </c>
      <c r="J407" t="s">
        <v>2</v>
      </c>
      <c r="K407" t="s">
        <v>19</v>
      </c>
      <c r="L407" t="s">
        <v>349</v>
      </c>
      <c r="M407" s="3" t="s">
        <v>557</v>
      </c>
      <c r="N407"/>
    </row>
    <row r="408" spans="1:14" hidden="1" x14ac:dyDescent="0.25">
      <c r="A408" s="1" t="str">
        <f>VLOOKUP(Table2[[#This Row],[Prod Line ]],Lists!A:E,5,0)</f>
        <v>d</v>
      </c>
      <c r="B408" s="1">
        <v>44200</v>
      </c>
      <c r="C408" s="1">
        <v>44198</v>
      </c>
      <c r="D408" s="1" t="s">
        <v>62</v>
      </c>
      <c r="E408" s="2" t="s">
        <v>405</v>
      </c>
      <c r="F408" s="1"/>
      <c r="G408" s="2">
        <v>8</v>
      </c>
      <c r="H408" s="1"/>
      <c r="I408" t="s">
        <v>1</v>
      </c>
      <c r="J408" t="s">
        <v>2</v>
      </c>
      <c r="K408" t="s">
        <v>19</v>
      </c>
      <c r="L408" t="s">
        <v>72</v>
      </c>
      <c r="M408" s="3" t="s">
        <v>543</v>
      </c>
      <c r="N408"/>
    </row>
    <row r="409" spans="1:14" hidden="1" x14ac:dyDescent="0.25">
      <c r="A409" s="1" t="str">
        <f>VLOOKUP(Table2[[#This Row],[Prod Line ]],Lists!A:E,5,0)</f>
        <v>d</v>
      </c>
      <c r="B409" s="1">
        <v>44200</v>
      </c>
      <c r="C409" s="1">
        <v>44198</v>
      </c>
      <c r="D409" s="1" t="s">
        <v>62</v>
      </c>
      <c r="E409" s="2" t="s">
        <v>405</v>
      </c>
      <c r="F409" s="1"/>
      <c r="G409" s="2">
        <v>3</v>
      </c>
      <c r="H409" s="1"/>
      <c r="I409" t="s">
        <v>1</v>
      </c>
      <c r="J409" t="s">
        <v>2</v>
      </c>
      <c r="K409" t="s">
        <v>19</v>
      </c>
      <c r="L409" t="s">
        <v>72</v>
      </c>
      <c r="M409" s="3" t="s">
        <v>722</v>
      </c>
      <c r="N409"/>
    </row>
    <row r="410" spans="1:14" hidden="1" x14ac:dyDescent="0.25">
      <c r="A410" s="1" t="str">
        <f>VLOOKUP(Table2[[#This Row],[Prod Line ]],Lists!A:E,5,0)</f>
        <v>d</v>
      </c>
      <c r="B410" s="1">
        <v>44200</v>
      </c>
      <c r="C410" s="1">
        <v>44198</v>
      </c>
      <c r="D410" s="1" t="s">
        <v>62</v>
      </c>
      <c r="E410" s="2" t="s">
        <v>404</v>
      </c>
      <c r="F410" s="1"/>
      <c r="G410" s="2">
        <v>5</v>
      </c>
      <c r="H410" s="1"/>
      <c r="I410" t="s">
        <v>1</v>
      </c>
      <c r="J410" t="s">
        <v>64</v>
      </c>
      <c r="K410" t="s">
        <v>379</v>
      </c>
      <c r="L410" t="s">
        <v>72</v>
      </c>
      <c r="M410" s="3" t="s">
        <v>620</v>
      </c>
      <c r="N410"/>
    </row>
    <row r="411" spans="1:14" hidden="1" x14ac:dyDescent="0.25">
      <c r="A411" s="1" t="str">
        <f>VLOOKUP(Table2[[#This Row],[Prod Line ]],Lists!A:E,5,0)</f>
        <v>d</v>
      </c>
      <c r="B411" s="1">
        <v>44200</v>
      </c>
      <c r="C411" s="1">
        <v>44198</v>
      </c>
      <c r="D411" s="1" t="s">
        <v>62</v>
      </c>
      <c r="E411" s="2" t="s">
        <v>404</v>
      </c>
      <c r="F411" s="1"/>
      <c r="G411" s="2">
        <v>15</v>
      </c>
      <c r="H411" s="1"/>
      <c r="I411" t="s">
        <v>1</v>
      </c>
      <c r="J411" t="s">
        <v>2</v>
      </c>
      <c r="K411" t="s">
        <v>19</v>
      </c>
      <c r="L411" t="s">
        <v>72</v>
      </c>
      <c r="M411" s="3" t="s">
        <v>723</v>
      </c>
      <c r="N411"/>
    </row>
    <row r="412" spans="1:14" hidden="1" x14ac:dyDescent="0.25">
      <c r="A412" s="1" t="str">
        <f>VLOOKUP(Table2[[#This Row],[Prod Line ]],Lists!A:E,5,0)</f>
        <v>b</v>
      </c>
      <c r="B412" s="1">
        <v>44201</v>
      </c>
      <c r="C412" s="1">
        <v>44199</v>
      </c>
      <c r="D412" s="1" t="s">
        <v>58</v>
      </c>
      <c r="E412" s="2" t="s">
        <v>406</v>
      </c>
      <c r="F412" s="1"/>
      <c r="G412" s="2">
        <v>18</v>
      </c>
      <c r="H412" s="1" t="s">
        <v>0</v>
      </c>
      <c r="I412" t="s">
        <v>0</v>
      </c>
      <c r="J412" t="s">
        <v>5</v>
      </c>
      <c r="K412" t="s">
        <v>38</v>
      </c>
      <c r="L412" t="s">
        <v>70</v>
      </c>
      <c r="M412" s="3" t="s">
        <v>703</v>
      </c>
    </row>
    <row r="413" spans="1:14" hidden="1" x14ac:dyDescent="0.25">
      <c r="A413" s="1" t="str">
        <f>VLOOKUP(Table2[[#This Row],[Prod Line ]],Lists!A:E,5,0)</f>
        <v>b</v>
      </c>
      <c r="B413" s="1">
        <v>44201</v>
      </c>
      <c r="C413" s="1">
        <v>44199</v>
      </c>
      <c r="D413" s="1" t="s">
        <v>58</v>
      </c>
      <c r="E413" s="2" t="s">
        <v>406</v>
      </c>
      <c r="F413" s="1"/>
      <c r="G413" s="2">
        <v>3</v>
      </c>
      <c r="H413" s="1"/>
      <c r="I413" t="s">
        <v>1</v>
      </c>
      <c r="J413" t="s">
        <v>26</v>
      </c>
      <c r="K413" t="s">
        <v>25</v>
      </c>
      <c r="L413" t="s">
        <v>441</v>
      </c>
      <c r="M413" s="3"/>
      <c r="N413"/>
    </row>
    <row r="414" spans="1:14" hidden="1" x14ac:dyDescent="0.25">
      <c r="A414" s="1" t="str">
        <f>VLOOKUP(Table2[[#This Row],[Prod Line ]],Lists!A:E,5,0)</f>
        <v>d</v>
      </c>
      <c r="B414" s="1">
        <v>44201</v>
      </c>
      <c r="C414" s="1">
        <v>44199</v>
      </c>
      <c r="D414" s="1" t="s">
        <v>62</v>
      </c>
      <c r="E414" s="2" t="s">
        <v>406</v>
      </c>
      <c r="F414" s="1"/>
      <c r="G414" s="2">
        <v>5</v>
      </c>
      <c r="H414" s="1"/>
      <c r="I414" t="s">
        <v>1</v>
      </c>
      <c r="J414" t="s">
        <v>64</v>
      </c>
      <c r="K414" t="s">
        <v>379</v>
      </c>
      <c r="L414" t="s">
        <v>407</v>
      </c>
      <c r="M414" s="3" t="s">
        <v>563</v>
      </c>
      <c r="N414"/>
    </row>
    <row r="415" spans="1:14" hidden="1" x14ac:dyDescent="0.25">
      <c r="A415" s="1" t="str">
        <f>VLOOKUP(Table2[[#This Row],[Prod Line ]],Lists!A:E,5,0)</f>
        <v>d</v>
      </c>
      <c r="B415" s="1">
        <v>44201</v>
      </c>
      <c r="C415" s="1">
        <v>44199</v>
      </c>
      <c r="D415" s="1" t="s">
        <v>62</v>
      </c>
      <c r="E415" s="2" t="s">
        <v>404</v>
      </c>
      <c r="F415" s="1"/>
      <c r="G415" s="2">
        <v>15</v>
      </c>
      <c r="H415" s="1"/>
      <c r="I415" t="s">
        <v>1</v>
      </c>
      <c r="J415" t="s">
        <v>64</v>
      </c>
      <c r="K415" t="s">
        <v>379</v>
      </c>
      <c r="L415" t="s">
        <v>72</v>
      </c>
      <c r="M415" s="3" t="s">
        <v>725</v>
      </c>
      <c r="N415"/>
    </row>
    <row r="416" spans="1:14" hidden="1" x14ac:dyDescent="0.25">
      <c r="A416" s="1" t="str">
        <f>VLOOKUP(Table2[[#This Row],[Prod Line ]],Lists!A:E,5,0)</f>
        <v>d</v>
      </c>
      <c r="B416" s="1">
        <v>44201</v>
      </c>
      <c r="C416" s="1">
        <v>44199</v>
      </c>
      <c r="D416" s="1" t="s">
        <v>62</v>
      </c>
      <c r="E416" s="2" t="s">
        <v>404</v>
      </c>
      <c r="F416" s="1"/>
      <c r="G416" s="2">
        <v>8</v>
      </c>
      <c r="H416" s="1"/>
      <c r="I416" t="s">
        <v>1</v>
      </c>
      <c r="J416" t="s">
        <v>5</v>
      </c>
      <c r="K416" t="s">
        <v>397</v>
      </c>
      <c r="L416" t="s">
        <v>344</v>
      </c>
      <c r="M416" s="3" t="s">
        <v>726</v>
      </c>
      <c r="N416"/>
    </row>
    <row r="417" spans="1:14" hidden="1" x14ac:dyDescent="0.25">
      <c r="A417" s="1" t="str">
        <f>VLOOKUP(Table2[[#This Row],[Prod Line ]],Lists!A:E,5,0)</f>
        <v>d</v>
      </c>
      <c r="B417" s="1">
        <v>44201</v>
      </c>
      <c r="C417" s="1">
        <v>44199</v>
      </c>
      <c r="D417" s="1" t="s">
        <v>62</v>
      </c>
      <c r="E417" s="2" t="s">
        <v>405</v>
      </c>
      <c r="F417" s="1"/>
      <c r="G417" s="2">
        <v>18</v>
      </c>
      <c r="H417" s="1"/>
      <c r="I417" t="s">
        <v>1</v>
      </c>
      <c r="J417" t="s">
        <v>64</v>
      </c>
      <c r="K417" t="s">
        <v>379</v>
      </c>
      <c r="L417" t="s">
        <v>72</v>
      </c>
      <c r="M417" s="3" t="s">
        <v>610</v>
      </c>
      <c r="N417"/>
    </row>
    <row r="418" spans="1:14" hidden="1" x14ac:dyDescent="0.25">
      <c r="A418" s="1" t="str">
        <f>VLOOKUP(Table2[[#This Row],[Prod Line ]],Lists!A:E,5,0)</f>
        <v>c</v>
      </c>
      <c r="B418" s="1">
        <v>44201</v>
      </c>
      <c r="C418" s="1">
        <v>44199</v>
      </c>
      <c r="D418" s="1" t="s">
        <v>60</v>
      </c>
      <c r="E418" s="2" t="s">
        <v>405</v>
      </c>
      <c r="F418" s="1"/>
      <c r="G418" s="2">
        <v>10</v>
      </c>
      <c r="H418" s="1"/>
      <c r="I418" t="s">
        <v>1</v>
      </c>
      <c r="J418" t="s">
        <v>26</v>
      </c>
      <c r="K418" t="s">
        <v>26</v>
      </c>
      <c r="L418" t="s">
        <v>430</v>
      </c>
      <c r="M418" s="3" t="s">
        <v>727</v>
      </c>
      <c r="N418"/>
    </row>
    <row r="419" spans="1:14" hidden="1" x14ac:dyDescent="0.25">
      <c r="A419" s="1" t="str">
        <f>VLOOKUP(Table2[[#This Row],[Prod Line ]],Lists!A:E,5,0)</f>
        <v>c</v>
      </c>
      <c r="B419" s="1">
        <v>44201</v>
      </c>
      <c r="C419" s="1">
        <v>44199</v>
      </c>
      <c r="D419" s="1" t="s">
        <v>60</v>
      </c>
      <c r="E419" s="2" t="s">
        <v>405</v>
      </c>
      <c r="F419" s="1"/>
      <c r="G419" s="2">
        <v>6</v>
      </c>
      <c r="H419" s="1"/>
      <c r="I419" t="s">
        <v>1</v>
      </c>
      <c r="J419" t="s">
        <v>2</v>
      </c>
      <c r="K419" t="s">
        <v>378</v>
      </c>
      <c r="L419" t="s">
        <v>349</v>
      </c>
      <c r="M419" s="3" t="s">
        <v>728</v>
      </c>
      <c r="N419"/>
    </row>
    <row r="420" spans="1:14" hidden="1" x14ac:dyDescent="0.25">
      <c r="A420" s="1" t="str">
        <f>VLOOKUP(Table2[[#This Row],[Prod Line ]],Lists!A:E,5,0)</f>
        <v>b</v>
      </c>
      <c r="B420" s="1">
        <v>44201</v>
      </c>
      <c r="C420" s="1">
        <v>44199</v>
      </c>
      <c r="D420" s="1" t="s">
        <v>58</v>
      </c>
      <c r="E420" s="2" t="s">
        <v>406</v>
      </c>
      <c r="F420" s="1"/>
      <c r="G420" s="2">
        <v>5</v>
      </c>
      <c r="H420" s="1"/>
      <c r="I420" t="s">
        <v>1</v>
      </c>
      <c r="J420" t="s">
        <v>2</v>
      </c>
      <c r="K420" t="s">
        <v>19</v>
      </c>
      <c r="L420" t="s">
        <v>72</v>
      </c>
      <c r="M420" s="3" t="s">
        <v>550</v>
      </c>
      <c r="N420"/>
    </row>
    <row r="421" spans="1:14" hidden="1" x14ac:dyDescent="0.25">
      <c r="A421" s="1" t="str">
        <f>VLOOKUP(Table2[[#This Row],[Prod Line ]],Lists!A:E,5,0)</f>
        <v>c</v>
      </c>
      <c r="B421" s="1">
        <v>44203</v>
      </c>
      <c r="C421" s="1">
        <v>44201</v>
      </c>
      <c r="D421" s="1" t="s">
        <v>60</v>
      </c>
      <c r="E421" s="2" t="s">
        <v>405</v>
      </c>
      <c r="F421" s="1"/>
      <c r="G421" s="2">
        <v>16</v>
      </c>
      <c r="H421" s="1"/>
      <c r="I421" t="s">
        <v>1</v>
      </c>
      <c r="J421" t="s">
        <v>2</v>
      </c>
      <c r="K421" t="s">
        <v>378</v>
      </c>
      <c r="L421" t="s">
        <v>349</v>
      </c>
      <c r="M421" s="3" t="s">
        <v>577</v>
      </c>
      <c r="N421"/>
    </row>
    <row r="422" spans="1:14" hidden="1" x14ac:dyDescent="0.25">
      <c r="A422" s="1" t="str">
        <f>VLOOKUP(Table2[[#This Row],[Prod Line ]],Lists!A:E,5,0)</f>
        <v>c</v>
      </c>
      <c r="B422" s="1">
        <v>44203</v>
      </c>
      <c r="C422" s="1">
        <v>44201</v>
      </c>
      <c r="D422" s="1" t="s">
        <v>60</v>
      </c>
      <c r="E422" s="2" t="s">
        <v>405</v>
      </c>
      <c r="F422" s="1"/>
      <c r="G422" s="2">
        <v>20</v>
      </c>
      <c r="H422" s="1" t="s">
        <v>1</v>
      </c>
      <c r="I422" t="s">
        <v>1</v>
      </c>
      <c r="J422" t="s">
        <v>67</v>
      </c>
      <c r="K422" t="s">
        <v>67</v>
      </c>
      <c r="L422" t="s">
        <v>407</v>
      </c>
      <c r="M422" s="3" t="s">
        <v>729</v>
      </c>
      <c r="N422"/>
    </row>
    <row r="423" spans="1:14" hidden="1" x14ac:dyDescent="0.25">
      <c r="A423" s="1" t="str">
        <f>VLOOKUP(Table2[[#This Row],[Prod Line ]],Lists!A:E,5,0)</f>
        <v>a</v>
      </c>
      <c r="B423" s="1">
        <v>44203</v>
      </c>
      <c r="C423" s="1">
        <v>44201</v>
      </c>
      <c r="D423" s="1" t="s">
        <v>56</v>
      </c>
      <c r="E423" s="2" t="s">
        <v>404</v>
      </c>
      <c r="F423" s="1"/>
      <c r="G423" s="2">
        <v>4</v>
      </c>
      <c r="H423" s="1"/>
      <c r="I423" t="s">
        <v>0</v>
      </c>
      <c r="J423" t="s">
        <v>64</v>
      </c>
      <c r="K423" t="s">
        <v>363</v>
      </c>
      <c r="L423" t="s">
        <v>70</v>
      </c>
      <c r="M423" s="3" t="s">
        <v>730</v>
      </c>
    </row>
    <row r="424" spans="1:14" hidden="1" x14ac:dyDescent="0.25">
      <c r="A424" s="1" t="str">
        <f>VLOOKUP(Table2[[#This Row],[Prod Line ]],Lists!A:E,5,0)</f>
        <v>a</v>
      </c>
      <c r="B424" s="1">
        <v>44203</v>
      </c>
      <c r="C424" s="1">
        <v>44201</v>
      </c>
      <c r="D424" s="1" t="s">
        <v>56</v>
      </c>
      <c r="E424" s="2" t="s">
        <v>404</v>
      </c>
      <c r="F424" s="1"/>
      <c r="G424" s="2">
        <v>3</v>
      </c>
      <c r="H424" s="1"/>
      <c r="I424" t="s">
        <v>1</v>
      </c>
      <c r="J424" t="s">
        <v>67</v>
      </c>
      <c r="K424" t="s">
        <v>67</v>
      </c>
      <c r="L424" t="s">
        <v>350</v>
      </c>
      <c r="M424" s="3" t="s">
        <v>704</v>
      </c>
      <c r="N424"/>
    </row>
    <row r="425" spans="1:14" hidden="1" x14ac:dyDescent="0.25">
      <c r="A425" s="1" t="str">
        <f>VLOOKUP(Table2[[#This Row],[Prod Line ]],Lists!A:E,5,0)</f>
        <v>a</v>
      </c>
      <c r="B425" s="1">
        <v>44203</v>
      </c>
      <c r="C425" s="1">
        <v>44201</v>
      </c>
      <c r="D425" s="1" t="s">
        <v>56</v>
      </c>
      <c r="E425" s="2" t="s">
        <v>404</v>
      </c>
      <c r="F425" s="1"/>
      <c r="G425" s="2">
        <v>6</v>
      </c>
      <c r="H425" s="1"/>
      <c r="I425" t="s">
        <v>1</v>
      </c>
      <c r="J425" t="s">
        <v>2</v>
      </c>
      <c r="K425" t="s">
        <v>19</v>
      </c>
      <c r="L425" t="s">
        <v>407</v>
      </c>
      <c r="M425" s="3" t="s">
        <v>731</v>
      </c>
      <c r="N425"/>
    </row>
    <row r="426" spans="1:14" hidden="1" x14ac:dyDescent="0.25">
      <c r="A426" s="1" t="str">
        <f>VLOOKUP(Table2[[#This Row],[Prod Line ]],Lists!A:E,5,0)</f>
        <v>d</v>
      </c>
      <c r="B426" s="1">
        <v>44203</v>
      </c>
      <c r="C426" s="1">
        <v>44201</v>
      </c>
      <c r="D426" s="1" t="s">
        <v>62</v>
      </c>
      <c r="E426" s="2" t="s">
        <v>405</v>
      </c>
      <c r="F426" s="1"/>
      <c r="G426" s="2">
        <v>5</v>
      </c>
      <c r="H426" s="1"/>
      <c r="I426" t="s">
        <v>1</v>
      </c>
      <c r="J426" t="s">
        <v>2</v>
      </c>
      <c r="K426" t="s">
        <v>19</v>
      </c>
      <c r="L426" t="s">
        <v>349</v>
      </c>
      <c r="M426" s="3" t="s">
        <v>732</v>
      </c>
      <c r="N426"/>
    </row>
    <row r="427" spans="1:14" hidden="1" x14ac:dyDescent="0.25">
      <c r="A427" s="1" t="str">
        <f>VLOOKUP(Table2[[#This Row],[Prod Line ]],Lists!A:E,5,0)</f>
        <v>d</v>
      </c>
      <c r="B427" s="1">
        <v>44203</v>
      </c>
      <c r="C427" s="1">
        <v>44201</v>
      </c>
      <c r="D427" s="1" t="s">
        <v>62</v>
      </c>
      <c r="E427" s="2" t="s">
        <v>405</v>
      </c>
      <c r="F427" s="1"/>
      <c r="G427" s="2">
        <v>6</v>
      </c>
      <c r="H427" s="1"/>
      <c r="I427" t="s">
        <v>1</v>
      </c>
      <c r="J427" t="s">
        <v>64</v>
      </c>
      <c r="K427" t="s">
        <v>379</v>
      </c>
      <c r="L427" t="s">
        <v>407</v>
      </c>
      <c r="M427" s="3" t="s">
        <v>553</v>
      </c>
      <c r="N427"/>
    </row>
    <row r="428" spans="1:14" hidden="1" x14ac:dyDescent="0.25">
      <c r="A428" s="1" t="str">
        <f>VLOOKUP(Table2[[#This Row],[Prod Line ]],Lists!A:E,5,0)</f>
        <v>d</v>
      </c>
      <c r="B428" s="1">
        <v>44203</v>
      </c>
      <c r="C428" s="1">
        <v>44201</v>
      </c>
      <c r="D428" s="1" t="s">
        <v>62</v>
      </c>
      <c r="E428" s="2" t="s">
        <v>406</v>
      </c>
      <c r="F428" s="1"/>
      <c r="G428" s="2">
        <v>6</v>
      </c>
      <c r="H428" s="1"/>
      <c r="I428" t="s">
        <v>1</v>
      </c>
      <c r="J428" t="s">
        <v>64</v>
      </c>
      <c r="K428" t="s">
        <v>379</v>
      </c>
      <c r="L428" t="s">
        <v>407</v>
      </c>
      <c r="M428" s="3" t="s">
        <v>678</v>
      </c>
      <c r="N428"/>
    </row>
    <row r="429" spans="1:14" hidden="1" x14ac:dyDescent="0.25">
      <c r="A429" s="1" t="str">
        <f>VLOOKUP(Table2[[#This Row],[Prod Line ]],Lists!A:E,5,0)</f>
        <v>b</v>
      </c>
      <c r="B429" s="1">
        <v>44204</v>
      </c>
      <c r="C429" s="1">
        <v>44202</v>
      </c>
      <c r="D429" s="1" t="s">
        <v>58</v>
      </c>
      <c r="E429" s="2" t="s">
        <v>404</v>
      </c>
      <c r="F429" s="1"/>
      <c r="G429" s="2">
        <v>10</v>
      </c>
      <c r="H429" s="1"/>
      <c r="I429" t="s">
        <v>1</v>
      </c>
      <c r="J429" t="s">
        <v>2</v>
      </c>
      <c r="K429" t="s">
        <v>19</v>
      </c>
      <c r="L429" t="s">
        <v>349</v>
      </c>
      <c r="M429" s="3" t="s">
        <v>733</v>
      </c>
      <c r="N429"/>
    </row>
    <row r="430" spans="1:14" hidden="1" x14ac:dyDescent="0.25">
      <c r="A430" s="1" t="str">
        <f>VLOOKUP(Table2[[#This Row],[Prod Line ]],Lists!A:E,5,0)</f>
        <v>c</v>
      </c>
      <c r="B430" s="1">
        <v>44204</v>
      </c>
      <c r="C430" s="1">
        <v>44202</v>
      </c>
      <c r="D430" s="1" t="s">
        <v>60</v>
      </c>
      <c r="E430" s="2" t="s">
        <v>404</v>
      </c>
      <c r="F430" s="1"/>
      <c r="G430" s="2">
        <v>10</v>
      </c>
      <c r="H430" s="1"/>
      <c r="I430" t="s">
        <v>1</v>
      </c>
      <c r="J430" t="s">
        <v>26</v>
      </c>
      <c r="K430" t="s">
        <v>26</v>
      </c>
      <c r="L430" t="s">
        <v>430</v>
      </c>
      <c r="M430" s="3" t="s">
        <v>734</v>
      </c>
      <c r="N430"/>
    </row>
    <row r="431" spans="1:14" hidden="1" x14ac:dyDescent="0.25">
      <c r="A431" s="1" t="str">
        <f>VLOOKUP(Table2[[#This Row],[Prod Line ]],Lists!A:E,5,0)</f>
        <v>c</v>
      </c>
      <c r="B431" s="1">
        <v>44204</v>
      </c>
      <c r="C431" s="1">
        <v>44202</v>
      </c>
      <c r="D431" s="1" t="s">
        <v>60</v>
      </c>
      <c r="E431" s="2" t="s">
        <v>405</v>
      </c>
      <c r="F431" s="1"/>
      <c r="G431" s="2">
        <v>40</v>
      </c>
      <c r="H431" s="1"/>
      <c r="I431" t="s">
        <v>1</v>
      </c>
      <c r="J431" t="s">
        <v>2</v>
      </c>
      <c r="K431" t="s">
        <v>378</v>
      </c>
      <c r="L431" t="s">
        <v>407</v>
      </c>
      <c r="M431" s="3" t="s">
        <v>735</v>
      </c>
      <c r="N431"/>
    </row>
    <row r="432" spans="1:14" hidden="1" x14ac:dyDescent="0.25">
      <c r="A432" s="1" t="str">
        <f>VLOOKUP(Table2[[#This Row],[Prod Line ]],Lists!A:E,5,0)</f>
        <v>d</v>
      </c>
      <c r="B432" s="1">
        <v>44204</v>
      </c>
      <c r="C432" s="1">
        <v>44202</v>
      </c>
      <c r="D432" s="1" t="s">
        <v>62</v>
      </c>
      <c r="E432" s="2" t="s">
        <v>406</v>
      </c>
      <c r="F432" s="1"/>
      <c r="G432" s="2">
        <v>3</v>
      </c>
      <c r="H432" s="1"/>
      <c r="I432" t="s">
        <v>1</v>
      </c>
      <c r="J432" t="s">
        <v>64</v>
      </c>
      <c r="K432" t="s">
        <v>379</v>
      </c>
      <c r="L432" t="s">
        <v>407</v>
      </c>
      <c r="M432" s="3" t="s">
        <v>678</v>
      </c>
      <c r="N432"/>
    </row>
    <row r="433" spans="1:14" hidden="1" x14ac:dyDescent="0.25">
      <c r="A433" s="1" t="str">
        <f>VLOOKUP(Table2[[#This Row],[Prod Line ]],Lists!A:E,5,0)</f>
        <v>d</v>
      </c>
      <c r="B433" s="1">
        <v>44204</v>
      </c>
      <c r="C433" s="1">
        <v>44202</v>
      </c>
      <c r="D433" s="1" t="s">
        <v>62</v>
      </c>
      <c r="E433" s="2" t="s">
        <v>404</v>
      </c>
      <c r="F433" s="1"/>
      <c r="G433" s="2">
        <v>7</v>
      </c>
      <c r="H433" s="1"/>
      <c r="I433" t="s">
        <v>1</v>
      </c>
      <c r="J433" t="s">
        <v>2</v>
      </c>
      <c r="K433" t="s">
        <v>19</v>
      </c>
      <c r="L433" t="s">
        <v>407</v>
      </c>
      <c r="M433" s="3" t="s">
        <v>553</v>
      </c>
      <c r="N433"/>
    </row>
    <row r="434" spans="1:14" hidden="1" x14ac:dyDescent="0.25">
      <c r="A434" s="1" t="str">
        <f>VLOOKUP(Table2[[#This Row],[Prod Line ]],Lists!A:E,5,0)</f>
        <v>d</v>
      </c>
      <c r="B434" s="1">
        <v>44204</v>
      </c>
      <c r="C434" s="1">
        <v>44202</v>
      </c>
      <c r="D434" s="1" t="s">
        <v>62</v>
      </c>
      <c r="E434" s="2" t="s">
        <v>404</v>
      </c>
      <c r="F434" s="1"/>
      <c r="G434" s="2">
        <v>41</v>
      </c>
      <c r="H434" s="1" t="s">
        <v>1</v>
      </c>
      <c r="I434" t="s">
        <v>1</v>
      </c>
      <c r="J434" t="s">
        <v>26</v>
      </c>
      <c r="K434" t="s">
        <v>393</v>
      </c>
      <c r="L434" t="s">
        <v>407</v>
      </c>
      <c r="M434" s="3" t="s">
        <v>736</v>
      </c>
      <c r="N434"/>
    </row>
    <row r="435" spans="1:14" hidden="1" x14ac:dyDescent="0.25">
      <c r="A435" s="1" t="str">
        <f>VLOOKUP(Table2[[#This Row],[Prod Line ]],Lists!A:E,5,0)</f>
        <v>d</v>
      </c>
      <c r="B435" s="1">
        <v>44204</v>
      </c>
      <c r="C435" s="1">
        <v>44202</v>
      </c>
      <c r="D435" s="1" t="s">
        <v>62</v>
      </c>
      <c r="E435" s="2" t="s">
        <v>405</v>
      </c>
      <c r="F435" s="1"/>
      <c r="G435" s="2">
        <v>10</v>
      </c>
      <c r="H435" s="1"/>
      <c r="I435" t="s">
        <v>1</v>
      </c>
      <c r="J435" t="s">
        <v>2</v>
      </c>
      <c r="K435" t="s">
        <v>19</v>
      </c>
      <c r="L435" t="s">
        <v>407</v>
      </c>
      <c r="M435" s="3" t="s">
        <v>553</v>
      </c>
      <c r="N435"/>
    </row>
    <row r="436" spans="1:14" hidden="1" x14ac:dyDescent="0.25">
      <c r="A436" s="1" t="str">
        <f>VLOOKUP(Table2[[#This Row],[Prod Line ]],Lists!A:E,5,0)</f>
        <v>d</v>
      </c>
      <c r="B436" s="1">
        <v>44204</v>
      </c>
      <c r="C436" s="1">
        <v>44202</v>
      </c>
      <c r="D436" s="1" t="s">
        <v>62</v>
      </c>
      <c r="E436" s="2" t="s">
        <v>405</v>
      </c>
      <c r="F436" s="1"/>
      <c r="G436" s="2">
        <v>20</v>
      </c>
      <c r="H436" s="1"/>
      <c r="I436" t="s">
        <v>1</v>
      </c>
      <c r="J436" t="s">
        <v>2</v>
      </c>
      <c r="K436" t="s">
        <v>19</v>
      </c>
      <c r="L436" t="s">
        <v>407</v>
      </c>
      <c r="M436" s="3" t="s">
        <v>437</v>
      </c>
      <c r="N436"/>
    </row>
    <row r="437" spans="1:14" hidden="1" x14ac:dyDescent="0.25">
      <c r="A437" s="1" t="str">
        <f>VLOOKUP(Table2[[#This Row],[Prod Line ]],Lists!A:E,5,0)</f>
        <v>d</v>
      </c>
      <c r="B437" s="1">
        <v>44204</v>
      </c>
      <c r="C437" s="1">
        <v>44202</v>
      </c>
      <c r="D437" s="1" t="s">
        <v>62</v>
      </c>
      <c r="E437" s="2" t="s">
        <v>405</v>
      </c>
      <c r="F437" s="1"/>
      <c r="G437" s="2">
        <v>5</v>
      </c>
      <c r="H437" s="1"/>
      <c r="I437" t="s">
        <v>1</v>
      </c>
      <c r="J437" t="s">
        <v>2</v>
      </c>
      <c r="K437" t="s">
        <v>19</v>
      </c>
      <c r="L437" t="s">
        <v>349</v>
      </c>
      <c r="M437" s="3" t="s">
        <v>575</v>
      </c>
      <c r="N437"/>
    </row>
    <row r="438" spans="1:14" hidden="1" x14ac:dyDescent="0.25">
      <c r="A438" s="1" t="str">
        <f>VLOOKUP(Table2[[#This Row],[Prod Line ]],Lists!A:E,5,0)</f>
        <v>d</v>
      </c>
      <c r="B438" s="1">
        <v>44205</v>
      </c>
      <c r="C438" s="1">
        <v>44203</v>
      </c>
      <c r="D438" s="1" t="s">
        <v>62</v>
      </c>
      <c r="E438" s="2" t="s">
        <v>404</v>
      </c>
      <c r="F438" s="1"/>
      <c r="G438" s="2">
        <v>15</v>
      </c>
      <c r="H438" s="1"/>
      <c r="I438" t="s">
        <v>1</v>
      </c>
      <c r="J438" t="s">
        <v>64</v>
      </c>
      <c r="K438" t="s">
        <v>379</v>
      </c>
      <c r="L438" t="s">
        <v>407</v>
      </c>
      <c r="M438" s="3" t="s">
        <v>553</v>
      </c>
      <c r="N438"/>
    </row>
    <row r="439" spans="1:14" hidden="1" x14ac:dyDescent="0.25">
      <c r="A439" s="1" t="str">
        <f>VLOOKUP(Table2[[#This Row],[Prod Line ]],Lists!A:E,5,0)</f>
        <v>d</v>
      </c>
      <c r="B439" s="1">
        <v>44205</v>
      </c>
      <c r="C439" s="1">
        <v>44203</v>
      </c>
      <c r="D439" s="1" t="s">
        <v>62</v>
      </c>
      <c r="E439" s="2" t="s">
        <v>405</v>
      </c>
      <c r="F439" s="1"/>
      <c r="G439" s="2">
        <v>18</v>
      </c>
      <c r="H439" s="1"/>
      <c r="I439" t="s">
        <v>1</v>
      </c>
      <c r="J439" t="s">
        <v>64</v>
      </c>
      <c r="K439" t="s">
        <v>379</v>
      </c>
      <c r="L439" t="s">
        <v>407</v>
      </c>
      <c r="M439" s="3" t="s">
        <v>553</v>
      </c>
      <c r="N439"/>
    </row>
    <row r="440" spans="1:14" hidden="1" x14ac:dyDescent="0.25">
      <c r="A440" s="1" t="str">
        <f>VLOOKUP(Table2[[#This Row],[Prod Line ]],Lists!A:E,5,0)</f>
        <v>d</v>
      </c>
      <c r="B440" s="1">
        <v>44205</v>
      </c>
      <c r="C440" s="1">
        <v>44203</v>
      </c>
      <c r="D440" s="1" t="s">
        <v>62</v>
      </c>
      <c r="E440" s="2" t="s">
        <v>405</v>
      </c>
      <c r="F440" s="1"/>
      <c r="G440" s="2">
        <v>20</v>
      </c>
      <c r="H440" s="1"/>
      <c r="I440" t="s">
        <v>1</v>
      </c>
      <c r="J440" t="s">
        <v>2</v>
      </c>
      <c r="K440" t="s">
        <v>19</v>
      </c>
      <c r="L440" t="s">
        <v>407</v>
      </c>
      <c r="M440" s="3" t="s">
        <v>623</v>
      </c>
      <c r="N440"/>
    </row>
    <row r="441" spans="1:14" hidden="1" x14ac:dyDescent="0.25">
      <c r="A441" s="1" t="str">
        <f>VLOOKUP(Table2[[#This Row],[Prod Line ]],Lists!A:E,5,0)</f>
        <v>d</v>
      </c>
      <c r="B441" s="1">
        <v>44205</v>
      </c>
      <c r="C441" s="1">
        <v>44203</v>
      </c>
      <c r="D441" s="1" t="s">
        <v>62</v>
      </c>
      <c r="E441" s="2" t="s">
        <v>405</v>
      </c>
      <c r="F441" s="1"/>
      <c r="G441" s="2">
        <v>10</v>
      </c>
      <c r="H441" s="1"/>
      <c r="I441" t="s">
        <v>1</v>
      </c>
      <c r="J441" t="s">
        <v>67</v>
      </c>
      <c r="K441" t="s">
        <v>67</v>
      </c>
      <c r="L441" t="s">
        <v>72</v>
      </c>
      <c r="M441" s="3" t="s">
        <v>737</v>
      </c>
      <c r="N441"/>
    </row>
    <row r="442" spans="1:14" hidden="1" x14ac:dyDescent="0.25">
      <c r="A442" s="1" t="str">
        <f>VLOOKUP(Table2[[#This Row],[Prod Line ]],Lists!A:E,5,0)</f>
        <v>a</v>
      </c>
      <c r="B442" s="1">
        <v>44205</v>
      </c>
      <c r="C442" s="1">
        <v>44203</v>
      </c>
      <c r="D442" s="1" t="s">
        <v>56</v>
      </c>
      <c r="E442" s="2" t="s">
        <v>405</v>
      </c>
      <c r="F442" s="1"/>
      <c r="G442" s="2">
        <v>30</v>
      </c>
      <c r="H442" s="1"/>
      <c r="I442" t="s">
        <v>0</v>
      </c>
      <c r="J442" t="s">
        <v>5</v>
      </c>
      <c r="K442" t="s">
        <v>376</v>
      </c>
      <c r="L442" t="s">
        <v>70</v>
      </c>
      <c r="M442" s="3" t="s">
        <v>738</v>
      </c>
    </row>
    <row r="443" spans="1:14" hidden="1" x14ac:dyDescent="0.25">
      <c r="A443" s="1" t="str">
        <f>VLOOKUP(Table2[[#This Row],[Prod Line ]],Lists!A:E,5,0)</f>
        <v>c</v>
      </c>
      <c r="B443" s="1">
        <v>44205</v>
      </c>
      <c r="C443" s="1">
        <v>44203</v>
      </c>
      <c r="D443" s="1" t="s">
        <v>60</v>
      </c>
      <c r="E443" s="2" t="s">
        <v>404</v>
      </c>
      <c r="F443" s="1"/>
      <c r="G443" s="2">
        <v>45</v>
      </c>
      <c r="H443" s="1"/>
      <c r="I443" t="s">
        <v>1</v>
      </c>
      <c r="J443" t="s">
        <v>26</v>
      </c>
      <c r="K443" t="s">
        <v>26</v>
      </c>
      <c r="L443" t="s">
        <v>407</v>
      </c>
      <c r="M443" s="3" t="s">
        <v>739</v>
      </c>
      <c r="N443"/>
    </row>
    <row r="444" spans="1:14" hidden="1" x14ac:dyDescent="0.25">
      <c r="A444" s="1" t="str">
        <f>VLOOKUP(Table2[[#This Row],[Prod Line ]],Lists!A:E,5,0)</f>
        <v>c</v>
      </c>
      <c r="B444" s="1">
        <v>44205</v>
      </c>
      <c r="C444" s="1">
        <v>44203</v>
      </c>
      <c r="D444" s="1" t="s">
        <v>60</v>
      </c>
      <c r="E444" s="2" t="s">
        <v>405</v>
      </c>
      <c r="F444" s="1"/>
      <c r="G444" s="2">
        <v>29</v>
      </c>
      <c r="H444" s="1"/>
      <c r="I444" t="s">
        <v>1</v>
      </c>
      <c r="J444" t="s">
        <v>2</v>
      </c>
      <c r="K444" t="s">
        <v>378</v>
      </c>
      <c r="L444" t="s">
        <v>349</v>
      </c>
      <c r="M444" s="3" t="s">
        <v>740</v>
      </c>
      <c r="N444"/>
    </row>
    <row r="445" spans="1:14" hidden="1" x14ac:dyDescent="0.25">
      <c r="A445" s="1" t="str">
        <f>VLOOKUP(Table2[[#This Row],[Prod Line ]],Lists!A:E,5,0)</f>
        <v>b</v>
      </c>
      <c r="B445" s="1">
        <v>44205</v>
      </c>
      <c r="C445" s="1">
        <v>44203</v>
      </c>
      <c r="D445" s="1" t="s">
        <v>58</v>
      </c>
      <c r="E445" s="2" t="s">
        <v>406</v>
      </c>
      <c r="F445" s="1"/>
      <c r="G445" s="2">
        <v>7</v>
      </c>
      <c r="H445" s="1"/>
      <c r="I445" t="s">
        <v>1</v>
      </c>
      <c r="J445" t="s">
        <v>2</v>
      </c>
      <c r="K445" t="s">
        <v>19</v>
      </c>
      <c r="L445" t="s">
        <v>349</v>
      </c>
      <c r="M445" s="3" t="s">
        <v>741</v>
      </c>
      <c r="N445"/>
    </row>
    <row r="446" spans="1:14" hidden="1" x14ac:dyDescent="0.25">
      <c r="A446" s="1" t="str">
        <f>VLOOKUP(Table2[[#This Row],[Prod Line ]],Lists!A:E,5,0)</f>
        <v>b</v>
      </c>
      <c r="B446" s="1">
        <v>44205</v>
      </c>
      <c r="C446" s="1">
        <v>44203</v>
      </c>
      <c r="D446" s="1" t="s">
        <v>58</v>
      </c>
      <c r="E446" s="2" t="s">
        <v>404</v>
      </c>
      <c r="F446" s="1"/>
      <c r="G446" s="2">
        <v>17</v>
      </c>
      <c r="H446" s="1"/>
      <c r="I446" t="s">
        <v>1</v>
      </c>
      <c r="J446" t="s">
        <v>67</v>
      </c>
      <c r="K446" t="s">
        <v>67</v>
      </c>
      <c r="L446" t="s">
        <v>350</v>
      </c>
      <c r="M446" s="3" t="s">
        <v>742</v>
      </c>
      <c r="N446"/>
    </row>
    <row r="447" spans="1:14" hidden="1" x14ac:dyDescent="0.25">
      <c r="A447" s="1" t="str">
        <f>VLOOKUP(Table2[[#This Row],[Prod Line ]],Lists!A:E,5,0)</f>
        <v>b</v>
      </c>
      <c r="B447" s="1">
        <v>44205</v>
      </c>
      <c r="C447" s="1">
        <v>44203</v>
      </c>
      <c r="D447" s="1" t="s">
        <v>58</v>
      </c>
      <c r="E447" s="2" t="s">
        <v>405</v>
      </c>
      <c r="F447" s="1"/>
      <c r="G447" s="2">
        <v>15</v>
      </c>
      <c r="H447" s="1" t="s">
        <v>1</v>
      </c>
      <c r="I447" t="s">
        <v>1</v>
      </c>
      <c r="J447" t="s">
        <v>65</v>
      </c>
      <c r="K447" t="s">
        <v>28</v>
      </c>
      <c r="L447" t="s">
        <v>407</v>
      </c>
      <c r="M447" s="3" t="s">
        <v>743</v>
      </c>
      <c r="N447"/>
    </row>
    <row r="448" spans="1:14" hidden="1" x14ac:dyDescent="0.25">
      <c r="A448" s="1" t="str">
        <f>VLOOKUP(Table2[[#This Row],[Prod Line ]],Lists!A:E,5,0)</f>
        <v>a</v>
      </c>
      <c r="B448" s="1">
        <v>44207</v>
      </c>
      <c r="C448" s="1">
        <v>44205</v>
      </c>
      <c r="D448" s="1" t="s">
        <v>56</v>
      </c>
      <c r="E448" s="2" t="s">
        <v>404</v>
      </c>
      <c r="F448" s="1"/>
      <c r="G448" s="2">
        <v>53</v>
      </c>
      <c r="H448" s="1"/>
      <c r="I448" t="s">
        <v>0</v>
      </c>
      <c r="J448" t="s">
        <v>64</v>
      </c>
      <c r="K448" t="s">
        <v>366</v>
      </c>
      <c r="L448" t="s">
        <v>70</v>
      </c>
      <c r="M448" s="3" t="s">
        <v>539</v>
      </c>
    </row>
    <row r="449" spans="1:14" hidden="1" x14ac:dyDescent="0.25">
      <c r="A449" s="1" t="str">
        <f>VLOOKUP(Table2[[#This Row],[Prod Line ]],Lists!A:E,5,0)</f>
        <v>a</v>
      </c>
      <c r="B449" s="1">
        <v>44207</v>
      </c>
      <c r="C449" s="1">
        <v>44205</v>
      </c>
      <c r="D449" s="1" t="s">
        <v>56</v>
      </c>
      <c r="E449" s="2" t="s">
        <v>404</v>
      </c>
      <c r="F449" s="1"/>
      <c r="G449" s="2">
        <v>20</v>
      </c>
      <c r="H449" s="1"/>
      <c r="I449" t="s">
        <v>0</v>
      </c>
      <c r="J449" t="s">
        <v>64</v>
      </c>
      <c r="K449" t="s">
        <v>363</v>
      </c>
      <c r="L449" t="s">
        <v>70</v>
      </c>
      <c r="M449" s="3" t="s">
        <v>744</v>
      </c>
    </row>
    <row r="450" spans="1:14" hidden="1" x14ac:dyDescent="0.25">
      <c r="A450" s="1" t="str">
        <f>VLOOKUP(Table2[[#This Row],[Prod Line ]],Lists!A:E,5,0)</f>
        <v>a</v>
      </c>
      <c r="B450" s="1">
        <v>44207</v>
      </c>
      <c r="C450" s="1">
        <v>44205</v>
      </c>
      <c r="D450" s="1" t="s">
        <v>56</v>
      </c>
      <c r="E450" s="2" t="s">
        <v>404</v>
      </c>
      <c r="F450" s="1"/>
      <c r="G450" s="2">
        <v>7</v>
      </c>
      <c r="H450" s="1"/>
      <c r="I450" t="s">
        <v>0</v>
      </c>
      <c r="J450" t="s">
        <v>67</v>
      </c>
      <c r="K450" t="s">
        <v>67</v>
      </c>
      <c r="L450" t="s">
        <v>70</v>
      </c>
      <c r="M450" s="3" t="s">
        <v>745</v>
      </c>
    </row>
    <row r="451" spans="1:14" hidden="1" x14ac:dyDescent="0.25">
      <c r="A451" s="1" t="str">
        <f>VLOOKUP(Table2[[#This Row],[Prod Line ]],Lists!A:E,5,0)</f>
        <v>b</v>
      </c>
      <c r="B451" s="1">
        <v>44207</v>
      </c>
      <c r="C451" s="1">
        <v>44205</v>
      </c>
      <c r="D451" s="1" t="s">
        <v>58</v>
      </c>
      <c r="E451" s="2" t="s">
        <v>406</v>
      </c>
      <c r="F451" s="1"/>
      <c r="G451" s="2">
        <v>4</v>
      </c>
      <c r="H451" s="1"/>
      <c r="I451" t="s">
        <v>1</v>
      </c>
      <c r="J451" t="s">
        <v>2</v>
      </c>
      <c r="K451" t="s">
        <v>19</v>
      </c>
      <c r="L451" t="s">
        <v>349</v>
      </c>
      <c r="M451" s="3" t="s">
        <v>746</v>
      </c>
      <c r="N451"/>
    </row>
    <row r="452" spans="1:14" hidden="1" x14ac:dyDescent="0.25">
      <c r="A452" s="1" t="str">
        <f>VLOOKUP(Table2[[#This Row],[Prod Line ]],Lists!A:E,5,0)</f>
        <v>b</v>
      </c>
      <c r="B452" s="1">
        <v>44207</v>
      </c>
      <c r="C452" s="1">
        <v>44205</v>
      </c>
      <c r="D452" s="1" t="s">
        <v>58</v>
      </c>
      <c r="E452" s="2" t="s">
        <v>406</v>
      </c>
      <c r="F452" s="1"/>
      <c r="G452" s="2">
        <v>8</v>
      </c>
      <c r="H452" s="1"/>
      <c r="I452" t="s">
        <v>1</v>
      </c>
      <c r="J452" t="s">
        <v>26</v>
      </c>
      <c r="K452" t="s">
        <v>25</v>
      </c>
      <c r="L452" t="s">
        <v>441</v>
      </c>
      <c r="M452" s="3" t="s">
        <v>441</v>
      </c>
      <c r="N452"/>
    </row>
    <row r="453" spans="1:14" hidden="1" x14ac:dyDescent="0.25">
      <c r="A453" s="1" t="str">
        <f>VLOOKUP(Table2[[#This Row],[Prod Line ]],Lists!A:E,5,0)</f>
        <v>d</v>
      </c>
      <c r="B453" s="1">
        <v>44207</v>
      </c>
      <c r="C453" s="1">
        <v>44205</v>
      </c>
      <c r="D453" s="1" t="s">
        <v>62</v>
      </c>
      <c r="E453" s="2" t="s">
        <v>406</v>
      </c>
      <c r="F453" s="1"/>
      <c r="G453" s="2">
        <v>8</v>
      </c>
      <c r="H453" s="1"/>
      <c r="I453" t="s">
        <v>1</v>
      </c>
      <c r="J453" t="s">
        <v>64</v>
      </c>
      <c r="K453" t="s">
        <v>379</v>
      </c>
      <c r="L453" t="s">
        <v>72</v>
      </c>
      <c r="M453" s="3" t="s">
        <v>537</v>
      </c>
      <c r="N453"/>
    </row>
    <row r="454" spans="1:14" hidden="1" x14ac:dyDescent="0.25">
      <c r="A454" s="1" t="str">
        <f>VLOOKUP(Table2[[#This Row],[Prod Line ]],Lists!A:E,5,0)</f>
        <v>d</v>
      </c>
      <c r="B454" s="1">
        <v>44207</v>
      </c>
      <c r="C454" s="1">
        <v>44205</v>
      </c>
      <c r="D454" s="1" t="s">
        <v>62</v>
      </c>
      <c r="E454" s="2" t="s">
        <v>406</v>
      </c>
      <c r="F454" s="1"/>
      <c r="G454" s="2">
        <v>4</v>
      </c>
      <c r="H454" s="1"/>
      <c r="I454" t="s">
        <v>1</v>
      </c>
      <c r="J454" t="s">
        <v>2</v>
      </c>
      <c r="K454" t="s">
        <v>19</v>
      </c>
      <c r="L454" t="s">
        <v>407</v>
      </c>
      <c r="M454" s="3" t="s">
        <v>747</v>
      </c>
      <c r="N454"/>
    </row>
    <row r="455" spans="1:14" hidden="1" x14ac:dyDescent="0.25">
      <c r="A455" s="1" t="str">
        <f>VLOOKUP(Table2[[#This Row],[Prod Line ]],Lists!A:E,5,0)</f>
        <v>d</v>
      </c>
      <c r="B455" s="1">
        <v>44207</v>
      </c>
      <c r="C455" s="1">
        <v>44205</v>
      </c>
      <c r="D455" s="1" t="s">
        <v>62</v>
      </c>
      <c r="E455" s="2" t="s">
        <v>404</v>
      </c>
      <c r="F455" s="1"/>
      <c r="G455" s="2">
        <v>15</v>
      </c>
      <c r="H455" s="1"/>
      <c r="I455" t="s">
        <v>1</v>
      </c>
      <c r="J455" t="s">
        <v>64</v>
      </c>
      <c r="K455" t="s">
        <v>379</v>
      </c>
      <c r="L455" t="s">
        <v>72</v>
      </c>
      <c r="M455" s="3" t="s">
        <v>543</v>
      </c>
      <c r="N455"/>
    </row>
    <row r="456" spans="1:14" hidden="1" x14ac:dyDescent="0.25">
      <c r="A456" s="1" t="str">
        <f>VLOOKUP(Table2[[#This Row],[Prod Line ]],Lists!A:E,5,0)</f>
        <v>d</v>
      </c>
      <c r="B456" s="1">
        <v>44207</v>
      </c>
      <c r="C456" s="1">
        <v>44205</v>
      </c>
      <c r="D456" s="1" t="s">
        <v>62</v>
      </c>
      <c r="E456" s="2" t="s">
        <v>405</v>
      </c>
      <c r="F456" s="1"/>
      <c r="G456" s="2">
        <v>10</v>
      </c>
      <c r="H456" s="1"/>
      <c r="I456" t="s">
        <v>1</v>
      </c>
      <c r="J456" t="s">
        <v>64</v>
      </c>
      <c r="K456" t="s">
        <v>379</v>
      </c>
      <c r="L456" t="s">
        <v>72</v>
      </c>
      <c r="M456" s="3" t="s">
        <v>522</v>
      </c>
      <c r="N456"/>
    </row>
    <row r="457" spans="1:14" hidden="1" x14ac:dyDescent="0.25">
      <c r="A457" s="1" t="str">
        <f>VLOOKUP(Table2[[#This Row],[Prod Line ]],Lists!A:E,5,0)</f>
        <v>d</v>
      </c>
      <c r="B457" s="1">
        <v>44207</v>
      </c>
      <c r="C457" s="1">
        <v>44205</v>
      </c>
      <c r="D457" s="1" t="s">
        <v>62</v>
      </c>
      <c r="E457" s="2" t="s">
        <v>405</v>
      </c>
      <c r="F457" s="1"/>
      <c r="G457" s="2">
        <v>10</v>
      </c>
      <c r="H457" s="1"/>
      <c r="I457" t="s">
        <v>1</v>
      </c>
      <c r="J457" t="s">
        <v>2</v>
      </c>
      <c r="K457" t="s">
        <v>19</v>
      </c>
      <c r="L457" t="s">
        <v>349</v>
      </c>
      <c r="M457" s="3" t="s">
        <v>748</v>
      </c>
      <c r="N457"/>
    </row>
    <row r="458" spans="1:14" hidden="1" x14ac:dyDescent="0.25">
      <c r="A458" s="1" t="str">
        <f>VLOOKUP(Table2[[#This Row],[Prod Line ]],Lists!A:E,5,0)</f>
        <v>b</v>
      </c>
      <c r="B458" s="1">
        <v>44208</v>
      </c>
      <c r="C458" s="1">
        <v>44206</v>
      </c>
      <c r="D458" s="1" t="s">
        <v>58</v>
      </c>
      <c r="E458" s="2" t="s">
        <v>404</v>
      </c>
      <c r="F458" s="1"/>
      <c r="G458" s="2">
        <v>5</v>
      </c>
      <c r="H458" s="1"/>
      <c r="I458" t="s">
        <v>1</v>
      </c>
      <c r="J458" t="s">
        <v>64</v>
      </c>
      <c r="K458" t="s">
        <v>22</v>
      </c>
      <c r="L458" t="s">
        <v>72</v>
      </c>
      <c r="M458" s="3" t="s">
        <v>655</v>
      </c>
      <c r="N458"/>
    </row>
    <row r="459" spans="1:14" hidden="1" x14ac:dyDescent="0.25">
      <c r="A459" s="1" t="str">
        <f>VLOOKUP(Table2[[#This Row],[Prod Line ]],Lists!A:E,5,0)</f>
        <v>b</v>
      </c>
      <c r="B459" s="1">
        <v>44208</v>
      </c>
      <c r="C459" s="1">
        <v>44206</v>
      </c>
      <c r="D459" s="1" t="s">
        <v>58</v>
      </c>
      <c r="E459" s="2" t="s">
        <v>404</v>
      </c>
      <c r="F459" s="1"/>
      <c r="G459" s="2">
        <v>10</v>
      </c>
      <c r="H459" s="1"/>
      <c r="I459" t="s">
        <v>1</v>
      </c>
      <c r="J459" t="s">
        <v>26</v>
      </c>
      <c r="K459" t="s">
        <v>25</v>
      </c>
      <c r="L459" t="s">
        <v>441</v>
      </c>
      <c r="M459" s="3" t="s">
        <v>749</v>
      </c>
      <c r="N459"/>
    </row>
    <row r="460" spans="1:14" hidden="1" x14ac:dyDescent="0.25">
      <c r="A460" s="1" t="str">
        <f>VLOOKUP(Table2[[#This Row],[Prod Line ]],Lists!A:E,5,0)</f>
        <v>d</v>
      </c>
      <c r="B460" s="1">
        <v>44208</v>
      </c>
      <c r="C460" s="1">
        <v>44206</v>
      </c>
      <c r="D460" s="1" t="s">
        <v>62</v>
      </c>
      <c r="E460" s="2" t="s">
        <v>404</v>
      </c>
      <c r="F460" s="1"/>
      <c r="G460" s="2">
        <v>5</v>
      </c>
      <c r="H460" s="1"/>
      <c r="I460" t="s">
        <v>1</v>
      </c>
      <c r="J460" t="s">
        <v>64</v>
      </c>
      <c r="K460" t="s">
        <v>379</v>
      </c>
      <c r="L460" t="s">
        <v>72</v>
      </c>
      <c r="M460" s="3" t="s">
        <v>750</v>
      </c>
      <c r="N460"/>
    </row>
    <row r="461" spans="1:14" hidden="1" x14ac:dyDescent="0.25">
      <c r="A461" s="1" t="str">
        <f>VLOOKUP(Table2[[#This Row],[Prod Line ]],Lists!A:E,5,0)</f>
        <v>d</v>
      </c>
      <c r="B461" s="1">
        <v>44208</v>
      </c>
      <c r="C461" s="1">
        <v>44206</v>
      </c>
      <c r="D461" s="1" t="s">
        <v>62</v>
      </c>
      <c r="E461" s="2" t="s">
        <v>404</v>
      </c>
      <c r="F461" s="1"/>
      <c r="G461" s="2">
        <v>4</v>
      </c>
      <c r="H461" s="1"/>
      <c r="I461" t="s">
        <v>1</v>
      </c>
      <c r="J461" t="s">
        <v>2</v>
      </c>
      <c r="K461" t="s">
        <v>19</v>
      </c>
      <c r="L461" t="s">
        <v>72</v>
      </c>
      <c r="M461" s="3" t="s">
        <v>751</v>
      </c>
      <c r="N461"/>
    </row>
    <row r="462" spans="1:14" hidden="1" x14ac:dyDescent="0.25">
      <c r="A462" s="1" t="str">
        <f>VLOOKUP(Table2[[#This Row],[Prod Line ]],Lists!A:E,5,0)</f>
        <v>d</v>
      </c>
      <c r="B462" s="1">
        <v>44208</v>
      </c>
      <c r="C462" s="1">
        <v>44206</v>
      </c>
      <c r="D462" s="1" t="s">
        <v>62</v>
      </c>
      <c r="E462" s="2" t="s">
        <v>404</v>
      </c>
      <c r="F462" s="1"/>
      <c r="G462" s="2">
        <v>15</v>
      </c>
      <c r="H462" s="1"/>
      <c r="I462" t="s">
        <v>1</v>
      </c>
      <c r="J462" t="s">
        <v>64</v>
      </c>
      <c r="K462" t="s">
        <v>379</v>
      </c>
      <c r="L462" t="s">
        <v>72</v>
      </c>
      <c r="M462" s="3" t="s">
        <v>610</v>
      </c>
      <c r="N462"/>
    </row>
    <row r="463" spans="1:14" hidden="1" x14ac:dyDescent="0.25">
      <c r="A463" s="1" t="str">
        <f>VLOOKUP(Table2[[#This Row],[Prod Line ]],Lists!A:E,5,0)</f>
        <v>c</v>
      </c>
      <c r="B463" s="1">
        <v>44208</v>
      </c>
      <c r="C463" s="1">
        <v>44206</v>
      </c>
      <c r="D463" s="1" t="s">
        <v>60</v>
      </c>
      <c r="E463" s="2" t="s">
        <v>404</v>
      </c>
      <c r="F463" s="1"/>
      <c r="G463" s="2">
        <v>90</v>
      </c>
      <c r="H463" s="1"/>
      <c r="I463" t="s">
        <v>0</v>
      </c>
      <c r="J463" t="s">
        <v>2</v>
      </c>
      <c r="K463" t="s">
        <v>378</v>
      </c>
      <c r="L463" t="s">
        <v>70</v>
      </c>
      <c r="M463" s="3" t="s">
        <v>752</v>
      </c>
    </row>
    <row r="464" spans="1:14" hidden="1" x14ac:dyDescent="0.25">
      <c r="A464" s="1" t="str">
        <f>VLOOKUP(Table2[[#This Row],[Prod Line ]],Lists!A:E,5,0)</f>
        <v>a</v>
      </c>
      <c r="B464" s="1">
        <v>44210</v>
      </c>
      <c r="C464" s="1">
        <v>44208</v>
      </c>
      <c r="D464" s="1" t="s">
        <v>56</v>
      </c>
      <c r="E464" s="2" t="s">
        <v>404</v>
      </c>
      <c r="F464" s="1"/>
      <c r="G464" s="2">
        <v>9</v>
      </c>
      <c r="H464" s="1"/>
      <c r="I464" t="s">
        <v>0</v>
      </c>
      <c r="J464" t="s">
        <v>2</v>
      </c>
      <c r="K464" t="s">
        <v>19</v>
      </c>
      <c r="L464" t="s">
        <v>70</v>
      </c>
      <c r="M464" s="3" t="s">
        <v>753</v>
      </c>
    </row>
    <row r="465" spans="1:16" hidden="1" x14ac:dyDescent="0.25">
      <c r="A465" s="1" t="str">
        <f>VLOOKUP(Table2[[#This Row],[Prod Line ]],Lists!A:E,5,0)</f>
        <v>b</v>
      </c>
      <c r="B465" s="1">
        <v>44210</v>
      </c>
      <c r="C465" s="1">
        <v>44208</v>
      </c>
      <c r="D465" s="1" t="s">
        <v>58</v>
      </c>
      <c r="E465" s="2" t="s">
        <v>404</v>
      </c>
      <c r="F465" s="1"/>
      <c r="G465" s="2">
        <v>10</v>
      </c>
      <c r="H465" s="1"/>
      <c r="I465" t="s">
        <v>0</v>
      </c>
      <c r="J465" t="s">
        <v>66</v>
      </c>
      <c r="K465" t="s">
        <v>4</v>
      </c>
      <c r="L465" t="s">
        <v>70</v>
      </c>
      <c r="M465" s="3" t="s">
        <v>755</v>
      </c>
    </row>
    <row r="466" spans="1:16" hidden="1" x14ac:dyDescent="0.25">
      <c r="A466" s="1" t="str">
        <f>VLOOKUP(Table2[[#This Row],[Prod Line ]],Lists!A:E,5,0)</f>
        <v>c</v>
      </c>
      <c r="B466" s="1">
        <v>44210</v>
      </c>
      <c r="C466" s="1">
        <v>44208</v>
      </c>
      <c r="D466" s="1" t="s">
        <v>60</v>
      </c>
      <c r="E466" s="2" t="s">
        <v>404</v>
      </c>
      <c r="F466" s="1"/>
      <c r="G466" s="2">
        <v>20</v>
      </c>
      <c r="H466" s="1"/>
      <c r="I466" t="s">
        <v>0</v>
      </c>
      <c r="J466" t="s">
        <v>26</v>
      </c>
      <c r="K466" t="s">
        <v>26</v>
      </c>
      <c r="L466" t="s">
        <v>70</v>
      </c>
      <c r="M466" s="3" t="s">
        <v>754</v>
      </c>
    </row>
    <row r="467" spans="1:16" hidden="1" x14ac:dyDescent="0.25">
      <c r="A467" s="1" t="str">
        <f>VLOOKUP(Table2[[#This Row],[Prod Line ]],Lists!A:E,5,0)</f>
        <v>b</v>
      </c>
      <c r="B467" s="1">
        <v>44210</v>
      </c>
      <c r="C467" s="1">
        <v>44208</v>
      </c>
      <c r="D467" s="1" t="s">
        <v>58</v>
      </c>
      <c r="E467" s="2" t="s">
        <v>404</v>
      </c>
      <c r="F467" s="1"/>
      <c r="G467" s="2">
        <v>6</v>
      </c>
      <c r="H467" s="1"/>
      <c r="I467" t="s">
        <v>67</v>
      </c>
      <c r="J467" t="s">
        <v>65</v>
      </c>
      <c r="K467" t="s">
        <v>3</v>
      </c>
      <c r="L467" t="s">
        <v>71</v>
      </c>
      <c r="M467" s="3" t="s">
        <v>756</v>
      </c>
      <c r="N467"/>
    </row>
    <row r="468" spans="1:16" hidden="1" x14ac:dyDescent="0.25">
      <c r="A468" s="1" t="str">
        <f>VLOOKUP(Table2[[#This Row],[Prod Line ]],Lists!A:E,5,0)</f>
        <v>b</v>
      </c>
      <c r="B468" s="1">
        <v>44211</v>
      </c>
      <c r="C468" s="1">
        <v>44209</v>
      </c>
      <c r="D468" s="1" t="s">
        <v>58</v>
      </c>
      <c r="E468" s="2" t="s">
        <v>404</v>
      </c>
      <c r="F468" s="1"/>
      <c r="G468" s="2">
        <v>3</v>
      </c>
      <c r="H468" s="1"/>
      <c r="I468" t="s">
        <v>1</v>
      </c>
      <c r="J468" t="s">
        <v>65</v>
      </c>
      <c r="K468" t="s">
        <v>3</v>
      </c>
      <c r="L468" t="s">
        <v>441</v>
      </c>
      <c r="M468" s="3" t="s">
        <v>482</v>
      </c>
      <c r="N468"/>
    </row>
    <row r="469" spans="1:16" hidden="1" x14ac:dyDescent="0.25">
      <c r="A469" s="1" t="str">
        <f>VLOOKUP(Table2[[#This Row],[Prod Line ]],Lists!A:E,5,0)</f>
        <v>b</v>
      </c>
      <c r="B469" s="1">
        <v>44211</v>
      </c>
      <c r="C469" s="1">
        <v>44209</v>
      </c>
      <c r="D469" s="1" t="s">
        <v>58</v>
      </c>
      <c r="E469" s="2" t="s">
        <v>404</v>
      </c>
      <c r="F469" s="1"/>
      <c r="G469" s="2">
        <v>3</v>
      </c>
      <c r="H469" s="1"/>
      <c r="I469" t="s">
        <v>1</v>
      </c>
      <c r="J469" t="s">
        <v>26</v>
      </c>
      <c r="K469" t="s">
        <v>25</v>
      </c>
      <c r="L469" t="s">
        <v>441</v>
      </c>
      <c r="M469" s="3" t="s">
        <v>757</v>
      </c>
      <c r="N469"/>
    </row>
    <row r="470" spans="1:16" hidden="1" x14ac:dyDescent="0.25">
      <c r="A470" s="1" t="str">
        <f>VLOOKUP(Table2[[#This Row],[Prod Line ]],Lists!A:E,5,0)</f>
        <v>c</v>
      </c>
      <c r="B470" s="1">
        <v>44211</v>
      </c>
      <c r="C470" s="1">
        <v>44209</v>
      </c>
      <c r="D470" s="1" t="s">
        <v>60</v>
      </c>
      <c r="E470" s="2" t="s">
        <v>404</v>
      </c>
      <c r="F470" s="1"/>
      <c r="G470" s="2">
        <v>22</v>
      </c>
      <c r="H470" s="1"/>
      <c r="I470" t="s">
        <v>0</v>
      </c>
      <c r="J470" t="s">
        <v>2</v>
      </c>
      <c r="K470" t="s">
        <v>378</v>
      </c>
      <c r="L470" t="s">
        <v>69</v>
      </c>
      <c r="M470" s="3" t="s">
        <v>718</v>
      </c>
    </row>
    <row r="471" spans="1:16" hidden="1" x14ac:dyDescent="0.25">
      <c r="A471" s="1" t="str">
        <f>VLOOKUP(Table2[[#This Row],[Prod Line ]],Lists!A:E,5,0)</f>
        <v>c</v>
      </c>
      <c r="B471" s="1">
        <v>44211</v>
      </c>
      <c r="C471" s="1">
        <v>44209</v>
      </c>
      <c r="D471" s="1" t="s">
        <v>60</v>
      </c>
      <c r="E471" s="2" t="s">
        <v>405</v>
      </c>
      <c r="F471" s="1"/>
      <c r="G471" s="2">
        <v>16</v>
      </c>
      <c r="H471" s="1"/>
      <c r="I471" t="s">
        <v>1</v>
      </c>
      <c r="J471" t="s">
        <v>26</v>
      </c>
      <c r="K471" t="s">
        <v>26</v>
      </c>
      <c r="L471" t="s">
        <v>430</v>
      </c>
      <c r="M471" s="3" t="s">
        <v>758</v>
      </c>
      <c r="N471"/>
    </row>
    <row r="472" spans="1:16" hidden="1" x14ac:dyDescent="0.25">
      <c r="A472" s="1" t="str">
        <f>VLOOKUP(Table2[[#This Row],[Prod Line ]],Lists!A:E,5,0)</f>
        <v>d</v>
      </c>
      <c r="B472" s="1">
        <v>44211</v>
      </c>
      <c r="C472" s="1">
        <v>44209</v>
      </c>
      <c r="D472" s="1" t="s">
        <v>62</v>
      </c>
      <c r="E472" s="2" t="s">
        <v>405</v>
      </c>
      <c r="F472" s="1"/>
      <c r="G472" s="2">
        <v>52</v>
      </c>
      <c r="H472" s="1"/>
      <c r="I472" t="s">
        <v>1</v>
      </c>
      <c r="J472" t="s">
        <v>2</v>
      </c>
      <c r="K472" t="s">
        <v>15</v>
      </c>
      <c r="L472" t="s">
        <v>407</v>
      </c>
      <c r="M472" s="3" t="s">
        <v>759</v>
      </c>
      <c r="N472"/>
    </row>
    <row r="473" spans="1:16" hidden="1" x14ac:dyDescent="0.25">
      <c r="A473" s="1" t="str">
        <f>VLOOKUP(Table2[[#This Row],[Prod Line ]],Lists!A:E,5,0)</f>
        <v>d</v>
      </c>
      <c r="B473" s="1">
        <v>44211</v>
      </c>
      <c r="C473" s="1">
        <v>44209</v>
      </c>
      <c r="D473" s="1" t="s">
        <v>62</v>
      </c>
      <c r="E473" s="2" t="s">
        <v>406</v>
      </c>
      <c r="F473" s="1"/>
      <c r="G473" s="2">
        <v>15</v>
      </c>
      <c r="H473" s="1"/>
      <c r="I473" t="s">
        <v>0</v>
      </c>
      <c r="J473" t="s">
        <v>2</v>
      </c>
      <c r="K473" t="s">
        <v>17</v>
      </c>
      <c r="L473" t="s">
        <v>69</v>
      </c>
      <c r="M473" s="3" t="s">
        <v>760</v>
      </c>
    </row>
    <row r="474" spans="1:16" hidden="1" x14ac:dyDescent="0.25">
      <c r="A474" s="1" t="str">
        <f>VLOOKUP(Table2[[#This Row],[Prod Line ]],Lists!A:E,5,0)</f>
        <v>a</v>
      </c>
      <c r="B474" s="1">
        <v>44212</v>
      </c>
      <c r="C474" s="1">
        <v>44210</v>
      </c>
      <c r="D474" s="1" t="s">
        <v>56</v>
      </c>
      <c r="E474" s="2" t="s">
        <v>405</v>
      </c>
      <c r="F474" s="1"/>
      <c r="G474" s="2">
        <v>20</v>
      </c>
      <c r="H474" s="1"/>
      <c r="I474" t="s">
        <v>1</v>
      </c>
      <c r="J474" t="s">
        <v>2</v>
      </c>
      <c r="K474" t="s">
        <v>19</v>
      </c>
      <c r="L474" t="s">
        <v>407</v>
      </c>
      <c r="M474" s="3" t="s">
        <v>761</v>
      </c>
      <c r="N474"/>
    </row>
    <row r="475" spans="1:16" hidden="1" x14ac:dyDescent="0.25">
      <c r="A475" s="1" t="str">
        <f>VLOOKUP(Table2[[#This Row],[Prod Line ]],Lists!A:E,5,0)</f>
        <v>b</v>
      </c>
      <c r="B475" s="1">
        <v>44212</v>
      </c>
      <c r="C475" s="1">
        <v>44210</v>
      </c>
      <c r="D475" s="1" t="s">
        <v>58</v>
      </c>
      <c r="E475" s="2" t="s">
        <v>405</v>
      </c>
      <c r="F475" s="1"/>
      <c r="G475" s="2">
        <v>8</v>
      </c>
      <c r="H475" s="1"/>
      <c r="I475" t="s">
        <v>1</v>
      </c>
      <c r="J475" t="s">
        <v>5</v>
      </c>
      <c r="K475" t="s">
        <v>36</v>
      </c>
      <c r="L475" t="s">
        <v>407</v>
      </c>
      <c r="M475" s="3" t="s">
        <v>762</v>
      </c>
      <c r="N475"/>
    </row>
    <row r="476" spans="1:16" hidden="1" x14ac:dyDescent="0.25">
      <c r="A476" s="1" t="str">
        <f>VLOOKUP(Table2[[#This Row],[Prod Line ]],Lists!A:E,5,0)</f>
        <v>b</v>
      </c>
      <c r="B476" s="1">
        <v>44212</v>
      </c>
      <c r="C476" s="1">
        <v>44210</v>
      </c>
      <c r="D476" s="1" t="s">
        <v>58</v>
      </c>
      <c r="E476" s="2" t="s">
        <v>406</v>
      </c>
      <c r="F476" s="1"/>
      <c r="G476" s="2">
        <v>32</v>
      </c>
      <c r="H476" s="1"/>
      <c r="I476" t="s">
        <v>67</v>
      </c>
      <c r="J476" t="s">
        <v>65</v>
      </c>
      <c r="K476" t="s">
        <v>3</v>
      </c>
      <c r="L476" t="s">
        <v>71</v>
      </c>
      <c r="M476" s="3" t="s">
        <v>756</v>
      </c>
      <c r="N476"/>
    </row>
    <row r="477" spans="1:16" hidden="1" x14ac:dyDescent="0.25">
      <c r="A477" s="1" t="str">
        <f>VLOOKUP(Table2[[#This Row],[Prod Line ]],Lists!A:E,5,0)</f>
        <v>c</v>
      </c>
      <c r="B477" s="28">
        <v>44212</v>
      </c>
      <c r="C477" s="28">
        <v>44210</v>
      </c>
      <c r="D477" s="28" t="s">
        <v>60</v>
      </c>
      <c r="E477" s="29" t="s">
        <v>405</v>
      </c>
      <c r="F477" s="28"/>
      <c r="G477" s="29">
        <v>32</v>
      </c>
      <c r="H477" s="28"/>
      <c r="I477" s="30" t="s">
        <v>0</v>
      </c>
      <c r="J477" s="30" t="s">
        <v>64</v>
      </c>
      <c r="K477" s="30" t="s">
        <v>380</v>
      </c>
      <c r="L477" s="30" t="s">
        <v>70</v>
      </c>
      <c r="M477" s="31" t="s">
        <v>763</v>
      </c>
      <c r="N477" s="32"/>
      <c r="O477" s="30"/>
      <c r="P477" s="30"/>
    </row>
    <row r="478" spans="1:16" hidden="1" x14ac:dyDescent="0.25">
      <c r="A478" s="1" t="str">
        <f>VLOOKUP(Table2[[#This Row],[Prod Line ]],Lists!A:E,5,0)</f>
        <v>d</v>
      </c>
      <c r="B478" s="1">
        <v>44212</v>
      </c>
      <c r="C478" s="1">
        <v>44210</v>
      </c>
      <c r="D478" s="1" t="s">
        <v>62</v>
      </c>
      <c r="E478" s="2" t="s">
        <v>404</v>
      </c>
      <c r="F478" s="1"/>
      <c r="G478" s="2">
        <v>20</v>
      </c>
      <c r="H478" s="1"/>
      <c r="I478" t="s">
        <v>1</v>
      </c>
      <c r="J478" t="s">
        <v>64</v>
      </c>
      <c r="K478" t="s">
        <v>379</v>
      </c>
      <c r="L478" t="s">
        <v>349</v>
      </c>
      <c r="M478" s="3" t="s">
        <v>610</v>
      </c>
      <c r="N478"/>
    </row>
    <row r="479" spans="1:16" hidden="1" x14ac:dyDescent="0.25">
      <c r="A479" s="1" t="str">
        <f>VLOOKUP(Table2[[#This Row],[Prod Line ]],Lists!A:E,5,0)</f>
        <v>d</v>
      </c>
      <c r="B479" s="1">
        <v>44212</v>
      </c>
      <c r="C479" s="1">
        <v>44210</v>
      </c>
      <c r="D479" s="1" t="s">
        <v>62</v>
      </c>
      <c r="E479" s="2" t="s">
        <v>405</v>
      </c>
      <c r="F479" s="1"/>
      <c r="G479" s="2">
        <v>10</v>
      </c>
      <c r="H479" s="1"/>
      <c r="I479" t="s">
        <v>1</v>
      </c>
      <c r="J479" t="s">
        <v>64</v>
      </c>
      <c r="K479" t="s">
        <v>379</v>
      </c>
      <c r="L479" t="s">
        <v>349</v>
      </c>
      <c r="M479" s="3" t="s">
        <v>610</v>
      </c>
      <c r="N479"/>
    </row>
    <row r="480" spans="1:16" hidden="1" x14ac:dyDescent="0.25">
      <c r="A480" s="1" t="str">
        <f>VLOOKUP(Table2[[#This Row],[Prod Line ]],Lists!A:E,5,0)</f>
        <v>d</v>
      </c>
      <c r="B480" s="1">
        <v>44212</v>
      </c>
      <c r="C480" s="1">
        <v>44210</v>
      </c>
      <c r="D480" s="1" t="s">
        <v>62</v>
      </c>
      <c r="E480" s="2" t="s">
        <v>405</v>
      </c>
      <c r="F480" s="1"/>
      <c r="G480" s="2">
        <v>15</v>
      </c>
      <c r="H480" s="1"/>
      <c r="I480" t="s">
        <v>1</v>
      </c>
      <c r="J480" t="s">
        <v>2</v>
      </c>
      <c r="K480" t="s">
        <v>19</v>
      </c>
      <c r="L480" t="s">
        <v>349</v>
      </c>
      <c r="M480" s="3" t="s">
        <v>575</v>
      </c>
      <c r="N480"/>
    </row>
    <row r="481" spans="1:14" hidden="1" x14ac:dyDescent="0.25">
      <c r="A481" s="1" t="str">
        <f>VLOOKUP(Table2[[#This Row],[Prod Line ]],Lists!A:E,5,0)</f>
        <v>c</v>
      </c>
      <c r="B481" s="1">
        <v>44214</v>
      </c>
      <c r="C481" s="1">
        <v>44212</v>
      </c>
      <c r="D481" s="1" t="s">
        <v>60</v>
      </c>
      <c r="E481" s="2" t="s">
        <v>405</v>
      </c>
      <c r="F481" s="1"/>
      <c r="G481" s="2">
        <v>7</v>
      </c>
      <c r="H481" s="1"/>
      <c r="I481" t="s">
        <v>1</v>
      </c>
      <c r="J481" t="s">
        <v>64</v>
      </c>
      <c r="K481" t="s">
        <v>381</v>
      </c>
      <c r="L481" t="s">
        <v>72</v>
      </c>
      <c r="M481" s="3" t="s">
        <v>764</v>
      </c>
      <c r="N481"/>
    </row>
    <row r="482" spans="1:14" hidden="1" x14ac:dyDescent="0.25">
      <c r="A482" s="1" t="str">
        <f>VLOOKUP(Table2[[#This Row],[Prod Line ]],Lists!A:E,5,0)</f>
        <v>d</v>
      </c>
      <c r="B482" s="1">
        <v>44214</v>
      </c>
      <c r="C482" s="1">
        <v>44212</v>
      </c>
      <c r="D482" s="1" t="s">
        <v>62</v>
      </c>
      <c r="E482" s="2" t="s">
        <v>404</v>
      </c>
      <c r="F482" s="1"/>
      <c r="G482" s="2">
        <v>9</v>
      </c>
      <c r="H482" s="1"/>
      <c r="I482" t="s">
        <v>1</v>
      </c>
      <c r="J482" t="s">
        <v>64</v>
      </c>
      <c r="K482" t="s">
        <v>379</v>
      </c>
      <c r="L482" t="s">
        <v>72</v>
      </c>
      <c r="M482" s="3" t="s">
        <v>543</v>
      </c>
      <c r="N482"/>
    </row>
    <row r="483" spans="1:14" hidden="1" x14ac:dyDescent="0.25">
      <c r="A483" s="1" t="str">
        <f>VLOOKUP(Table2[[#This Row],[Prod Line ]],Lists!A:E,5,0)</f>
        <v>d</v>
      </c>
      <c r="B483" s="1">
        <v>44214</v>
      </c>
      <c r="C483" s="1">
        <v>44212</v>
      </c>
      <c r="D483" s="1" t="s">
        <v>62</v>
      </c>
      <c r="E483" s="2" t="s">
        <v>405</v>
      </c>
      <c r="F483" s="1"/>
      <c r="G483" s="2">
        <v>4</v>
      </c>
      <c r="H483" s="1"/>
      <c r="I483" t="s">
        <v>1</v>
      </c>
      <c r="J483" t="s">
        <v>64</v>
      </c>
      <c r="K483" t="s">
        <v>379</v>
      </c>
      <c r="L483" t="s">
        <v>72</v>
      </c>
      <c r="M483" s="3" t="s">
        <v>765</v>
      </c>
      <c r="N483"/>
    </row>
    <row r="484" spans="1:14" hidden="1" x14ac:dyDescent="0.25">
      <c r="A484" s="1" t="str">
        <f>VLOOKUP(Table2[[#This Row],[Prod Line ]],Lists!A:E,5,0)</f>
        <v>d</v>
      </c>
      <c r="B484" s="1">
        <v>44214</v>
      </c>
      <c r="C484" s="1">
        <v>44212</v>
      </c>
      <c r="D484" s="1" t="s">
        <v>62</v>
      </c>
      <c r="E484" s="2" t="s">
        <v>405</v>
      </c>
      <c r="F484" s="1"/>
      <c r="G484" s="2">
        <v>14</v>
      </c>
      <c r="H484" s="1"/>
      <c r="I484" t="s">
        <v>1</v>
      </c>
      <c r="J484" t="s">
        <v>2</v>
      </c>
      <c r="K484" t="s">
        <v>19</v>
      </c>
      <c r="L484" t="s">
        <v>349</v>
      </c>
      <c r="M484" s="3" t="s">
        <v>766</v>
      </c>
      <c r="N484"/>
    </row>
    <row r="485" spans="1:14" hidden="1" x14ac:dyDescent="0.25">
      <c r="A485" s="1" t="str">
        <f>VLOOKUP(Table2[[#This Row],[Prod Line ]],Lists!A:E,5,0)</f>
        <v>b</v>
      </c>
      <c r="B485" s="1">
        <v>44215</v>
      </c>
      <c r="C485" s="1">
        <v>44213</v>
      </c>
      <c r="D485" s="1" t="s">
        <v>58</v>
      </c>
      <c r="E485" s="2" t="s">
        <v>406</v>
      </c>
      <c r="F485" s="1"/>
      <c r="G485" s="2">
        <v>8</v>
      </c>
      <c r="H485" s="1"/>
      <c r="I485" t="s">
        <v>0</v>
      </c>
      <c r="J485" t="s">
        <v>26</v>
      </c>
      <c r="K485" t="s">
        <v>25</v>
      </c>
      <c r="L485" t="s">
        <v>70</v>
      </c>
      <c r="M485" s="3" t="s">
        <v>767</v>
      </c>
    </row>
    <row r="486" spans="1:14" hidden="1" x14ac:dyDescent="0.25">
      <c r="A486" s="1" t="str">
        <f>VLOOKUP(Table2[[#This Row],[Prod Line ]],Lists!A:E,5,0)</f>
        <v>b</v>
      </c>
      <c r="B486" s="1">
        <v>44215</v>
      </c>
      <c r="C486" s="1">
        <v>44213</v>
      </c>
      <c r="D486" s="1" t="s">
        <v>58</v>
      </c>
      <c r="E486" s="2" t="s">
        <v>404</v>
      </c>
      <c r="F486" s="1"/>
      <c r="G486" s="2">
        <v>3</v>
      </c>
      <c r="H486" s="1"/>
      <c r="I486" t="s">
        <v>1</v>
      </c>
      <c r="J486" t="s">
        <v>64</v>
      </c>
      <c r="K486" t="s">
        <v>22</v>
      </c>
      <c r="L486" t="s">
        <v>72</v>
      </c>
      <c r="M486" s="3" t="s">
        <v>768</v>
      </c>
      <c r="N486"/>
    </row>
    <row r="487" spans="1:14" hidden="1" x14ac:dyDescent="0.25">
      <c r="A487" s="1" t="str">
        <f>VLOOKUP(Table2[[#This Row],[Prod Line ]],Lists!A:E,5,0)</f>
        <v>b</v>
      </c>
      <c r="B487" s="1">
        <v>44215</v>
      </c>
      <c r="C487" s="1">
        <v>44213</v>
      </c>
      <c r="D487" s="1" t="s">
        <v>58</v>
      </c>
      <c r="E487" s="2" t="s">
        <v>405</v>
      </c>
      <c r="F487" s="1"/>
      <c r="G487" s="2">
        <v>3</v>
      </c>
      <c r="H487" s="1"/>
      <c r="I487" t="s">
        <v>0</v>
      </c>
      <c r="J487" t="s">
        <v>26</v>
      </c>
      <c r="K487" t="s">
        <v>25</v>
      </c>
      <c r="L487" t="s">
        <v>70</v>
      </c>
      <c r="M487" s="3" t="s">
        <v>767</v>
      </c>
    </row>
    <row r="488" spans="1:14" hidden="1" x14ac:dyDescent="0.25">
      <c r="A488" s="1" t="str">
        <f>VLOOKUP(Table2[[#This Row],[Prod Line ]],Lists!A:E,5,0)</f>
        <v>b</v>
      </c>
      <c r="B488" s="1">
        <v>44215</v>
      </c>
      <c r="C488" s="1">
        <v>44213</v>
      </c>
      <c r="D488" s="1" t="s">
        <v>58</v>
      </c>
      <c r="E488" s="2" t="s">
        <v>404</v>
      </c>
      <c r="F488" s="1"/>
      <c r="G488" s="2">
        <v>11</v>
      </c>
      <c r="H488" s="1"/>
      <c r="I488" t="s">
        <v>0</v>
      </c>
      <c r="J488" t="s">
        <v>66</v>
      </c>
      <c r="K488" t="s">
        <v>4</v>
      </c>
      <c r="L488" t="s">
        <v>70</v>
      </c>
      <c r="M488" s="3" t="s">
        <v>769</v>
      </c>
    </row>
    <row r="489" spans="1:14" hidden="1" x14ac:dyDescent="0.25">
      <c r="A489" s="1" t="str">
        <f>VLOOKUP(Table2[[#This Row],[Prod Line ]],Lists!A:E,5,0)</f>
        <v>c</v>
      </c>
      <c r="B489" s="1">
        <v>44215</v>
      </c>
      <c r="C489" s="1">
        <v>44213</v>
      </c>
      <c r="D489" s="1" t="s">
        <v>60</v>
      </c>
      <c r="E489" s="2" t="s">
        <v>405</v>
      </c>
      <c r="F489" s="1"/>
      <c r="G489" s="2">
        <v>15</v>
      </c>
      <c r="H489" s="1"/>
      <c r="I489" t="s">
        <v>1</v>
      </c>
      <c r="J489" t="s">
        <v>64</v>
      </c>
      <c r="K489" t="s">
        <v>381</v>
      </c>
      <c r="L489" t="s">
        <v>407</v>
      </c>
      <c r="M489" s="3" t="s">
        <v>770</v>
      </c>
      <c r="N489"/>
    </row>
    <row r="490" spans="1:14" hidden="1" x14ac:dyDescent="0.25">
      <c r="A490" s="1" t="str">
        <f>VLOOKUP(Table2[[#This Row],[Prod Line ]],Lists!A:E,5,0)</f>
        <v>d</v>
      </c>
      <c r="B490" s="1">
        <v>44215</v>
      </c>
      <c r="C490" s="1">
        <v>44213</v>
      </c>
      <c r="D490" s="1" t="s">
        <v>62</v>
      </c>
      <c r="E490" s="2" t="s">
        <v>404</v>
      </c>
      <c r="F490" s="1"/>
      <c r="G490" s="2">
        <v>3</v>
      </c>
      <c r="H490" s="1"/>
      <c r="I490" t="s">
        <v>1</v>
      </c>
      <c r="J490" t="s">
        <v>2</v>
      </c>
      <c r="K490" t="s">
        <v>19</v>
      </c>
      <c r="L490" t="s">
        <v>349</v>
      </c>
      <c r="M490" s="3" t="s">
        <v>602</v>
      </c>
      <c r="N490"/>
    </row>
    <row r="491" spans="1:14" hidden="1" x14ac:dyDescent="0.25">
      <c r="A491" s="1" t="str">
        <f>VLOOKUP(Table2[[#This Row],[Prod Line ]],Lists!A:E,5,0)</f>
        <v>d</v>
      </c>
      <c r="B491" s="1">
        <v>44215</v>
      </c>
      <c r="C491" s="1">
        <v>44213</v>
      </c>
      <c r="D491" s="1" t="s">
        <v>62</v>
      </c>
      <c r="E491" s="2" t="s">
        <v>405</v>
      </c>
      <c r="F491" s="1"/>
      <c r="G491" s="2">
        <v>16</v>
      </c>
      <c r="H491" s="1"/>
      <c r="I491" t="s">
        <v>1</v>
      </c>
      <c r="J491" t="s">
        <v>2</v>
      </c>
      <c r="K491" t="s">
        <v>19</v>
      </c>
      <c r="L491" t="s">
        <v>349</v>
      </c>
      <c r="M491" s="3" t="s">
        <v>771</v>
      </c>
      <c r="N491"/>
    </row>
    <row r="492" spans="1:14" hidden="1" x14ac:dyDescent="0.25">
      <c r="A492" s="1" t="str">
        <f>VLOOKUP(Table2[[#This Row],[Prod Line ]],Lists!A:E,5,0)</f>
        <v>c</v>
      </c>
      <c r="B492" s="1">
        <v>44217</v>
      </c>
      <c r="C492" s="1">
        <v>44215</v>
      </c>
      <c r="D492" s="1" t="s">
        <v>60</v>
      </c>
      <c r="E492" s="2" t="s">
        <v>404</v>
      </c>
      <c r="F492" s="1"/>
      <c r="G492" s="2">
        <v>35</v>
      </c>
      <c r="H492" s="1"/>
      <c r="I492" t="s">
        <v>0</v>
      </c>
      <c r="J492" t="s">
        <v>65</v>
      </c>
      <c r="K492" t="s">
        <v>3</v>
      </c>
      <c r="L492" t="s">
        <v>70</v>
      </c>
      <c r="M492" s="3" t="s">
        <v>772</v>
      </c>
    </row>
    <row r="493" spans="1:14" hidden="1" x14ac:dyDescent="0.25">
      <c r="A493" s="1" t="str">
        <f>VLOOKUP(Table2[[#This Row],[Prod Line ]],Lists!A:E,5,0)</f>
        <v>d</v>
      </c>
      <c r="B493" s="1">
        <v>44217</v>
      </c>
      <c r="C493" s="1">
        <v>44215</v>
      </c>
      <c r="D493" s="1" t="s">
        <v>62</v>
      </c>
      <c r="E493" s="2" t="s">
        <v>404</v>
      </c>
      <c r="F493" s="1"/>
      <c r="G493" s="2">
        <v>3</v>
      </c>
      <c r="H493" s="1"/>
      <c r="I493" t="s">
        <v>1</v>
      </c>
      <c r="J493" t="s">
        <v>2</v>
      </c>
      <c r="K493" t="s">
        <v>19</v>
      </c>
      <c r="L493" t="s">
        <v>349</v>
      </c>
      <c r="M493" s="3" t="s">
        <v>602</v>
      </c>
      <c r="N493"/>
    </row>
    <row r="494" spans="1:14" hidden="1" x14ac:dyDescent="0.25">
      <c r="A494" s="1" t="str">
        <f>VLOOKUP(Table2[[#This Row],[Prod Line ]],Lists!A:E,5,0)</f>
        <v>d</v>
      </c>
      <c r="B494" s="1">
        <v>44217</v>
      </c>
      <c r="C494" s="1">
        <v>44215</v>
      </c>
      <c r="D494" s="1" t="s">
        <v>62</v>
      </c>
      <c r="E494" s="2" t="s">
        <v>404</v>
      </c>
      <c r="F494" s="1"/>
      <c r="G494" s="2">
        <v>8</v>
      </c>
      <c r="H494" s="1"/>
      <c r="I494" t="s">
        <v>1</v>
      </c>
      <c r="J494" t="s">
        <v>64</v>
      </c>
      <c r="K494" t="s">
        <v>379</v>
      </c>
      <c r="L494" t="s">
        <v>407</v>
      </c>
      <c r="M494" s="3" t="s">
        <v>610</v>
      </c>
      <c r="N494"/>
    </row>
    <row r="495" spans="1:14" hidden="1" x14ac:dyDescent="0.25">
      <c r="A495" s="1" t="str">
        <f>VLOOKUP(Table2[[#This Row],[Prod Line ]],Lists!A:E,5,0)</f>
        <v>d</v>
      </c>
      <c r="B495" s="1">
        <v>44217</v>
      </c>
      <c r="C495" s="1">
        <v>44215</v>
      </c>
      <c r="D495" s="1" t="s">
        <v>62</v>
      </c>
      <c r="E495" s="2" t="s">
        <v>405</v>
      </c>
      <c r="F495" s="1"/>
      <c r="G495" s="2">
        <v>8</v>
      </c>
      <c r="H495" s="1"/>
      <c r="I495" t="s">
        <v>1</v>
      </c>
      <c r="J495" t="s">
        <v>2</v>
      </c>
      <c r="K495" t="s">
        <v>19</v>
      </c>
      <c r="L495" t="s">
        <v>349</v>
      </c>
      <c r="M495" s="3" t="s">
        <v>602</v>
      </c>
      <c r="N495"/>
    </row>
    <row r="496" spans="1:14" hidden="1" x14ac:dyDescent="0.25">
      <c r="A496" s="1" t="str">
        <f>VLOOKUP(Table2[[#This Row],[Prod Line ]],Lists!A:E,5,0)</f>
        <v>d</v>
      </c>
      <c r="B496" s="1">
        <v>44217</v>
      </c>
      <c r="C496" s="1">
        <v>44215</v>
      </c>
      <c r="D496" s="1" t="s">
        <v>62</v>
      </c>
      <c r="E496" s="2" t="s">
        <v>406</v>
      </c>
      <c r="F496" s="1"/>
      <c r="G496" s="2">
        <v>25</v>
      </c>
      <c r="H496" s="1"/>
      <c r="I496" t="s">
        <v>1</v>
      </c>
      <c r="J496" t="s">
        <v>5</v>
      </c>
      <c r="K496" t="s">
        <v>397</v>
      </c>
      <c r="L496" t="s">
        <v>407</v>
      </c>
      <c r="M496" s="3" t="s">
        <v>773</v>
      </c>
      <c r="N496"/>
    </row>
    <row r="497" spans="1:14" hidden="1" x14ac:dyDescent="0.25">
      <c r="A497" s="1" t="str">
        <f>VLOOKUP(Table2[[#This Row],[Prod Line ]],Lists!A:E,5,0)</f>
        <v>a</v>
      </c>
      <c r="B497" s="1">
        <v>44218</v>
      </c>
      <c r="C497" s="1">
        <v>44216</v>
      </c>
      <c r="D497" s="1" t="s">
        <v>56</v>
      </c>
      <c r="E497" s="2" t="s">
        <v>404</v>
      </c>
      <c r="F497" s="1"/>
      <c r="G497" s="2">
        <v>13</v>
      </c>
      <c r="H497" s="1"/>
      <c r="I497" t="s">
        <v>0</v>
      </c>
      <c r="J497" t="s">
        <v>65</v>
      </c>
      <c r="K497" t="s">
        <v>372</v>
      </c>
      <c r="L497" t="s">
        <v>70</v>
      </c>
      <c r="M497" s="3" t="s">
        <v>745</v>
      </c>
    </row>
    <row r="498" spans="1:14" hidden="1" x14ac:dyDescent="0.25">
      <c r="A498" s="1" t="str">
        <f>VLOOKUP(Table2[[#This Row],[Prod Line ]],Lists!A:E,5,0)</f>
        <v>d</v>
      </c>
      <c r="B498" s="1">
        <v>44218</v>
      </c>
      <c r="C498" s="1">
        <v>44217</v>
      </c>
      <c r="D498" s="1" t="s">
        <v>62</v>
      </c>
      <c r="E498" s="2" t="s">
        <v>404</v>
      </c>
      <c r="F498" s="1"/>
      <c r="G498" s="2">
        <v>6</v>
      </c>
      <c r="H498" s="1"/>
      <c r="I498" t="s">
        <v>1</v>
      </c>
      <c r="J498" t="s">
        <v>64</v>
      </c>
      <c r="K498" t="s">
        <v>379</v>
      </c>
      <c r="L498" t="s">
        <v>407</v>
      </c>
      <c r="M498" s="3" t="s">
        <v>655</v>
      </c>
      <c r="N498"/>
    </row>
    <row r="499" spans="1:14" hidden="1" x14ac:dyDescent="0.25">
      <c r="A499" s="1" t="str">
        <f>VLOOKUP(Table2[[#This Row],[Prod Line ]],Lists!A:E,5,0)</f>
        <v>d</v>
      </c>
      <c r="B499" s="1">
        <v>44218</v>
      </c>
      <c r="C499" s="1">
        <v>44217</v>
      </c>
      <c r="D499" s="1" t="s">
        <v>62</v>
      </c>
      <c r="E499" s="2" t="s">
        <v>404</v>
      </c>
      <c r="F499" s="1"/>
      <c r="G499" s="2">
        <v>12</v>
      </c>
      <c r="H499" s="1"/>
      <c r="I499" t="s">
        <v>1</v>
      </c>
      <c r="J499" t="s">
        <v>64</v>
      </c>
      <c r="K499" t="s">
        <v>379</v>
      </c>
      <c r="L499" t="s">
        <v>407</v>
      </c>
      <c r="M499" s="3" t="s">
        <v>610</v>
      </c>
      <c r="N499"/>
    </row>
    <row r="500" spans="1:14" hidden="1" x14ac:dyDescent="0.25">
      <c r="A500" s="1" t="str">
        <f>VLOOKUP(Table2[[#This Row],[Prod Line ]],Lists!A:E,5,0)</f>
        <v>d</v>
      </c>
      <c r="B500" s="1">
        <v>44218</v>
      </c>
      <c r="C500" s="1">
        <v>44217</v>
      </c>
      <c r="D500" s="1" t="s">
        <v>62</v>
      </c>
      <c r="E500" s="2" t="s">
        <v>405</v>
      </c>
      <c r="F500" s="1"/>
      <c r="G500" s="2">
        <v>8</v>
      </c>
      <c r="H500" s="1"/>
      <c r="I500" t="s">
        <v>1</v>
      </c>
      <c r="J500" t="s">
        <v>2</v>
      </c>
      <c r="K500" t="s">
        <v>19</v>
      </c>
      <c r="L500" t="s">
        <v>349</v>
      </c>
      <c r="M500" s="3" t="s">
        <v>602</v>
      </c>
      <c r="N500"/>
    </row>
    <row r="501" spans="1:14" hidden="1" x14ac:dyDescent="0.25">
      <c r="A501" s="1" t="str">
        <f>VLOOKUP(Table2[[#This Row],[Prod Line ]],Lists!A:E,5,0)</f>
        <v>b</v>
      </c>
      <c r="B501" s="1">
        <v>44219</v>
      </c>
      <c r="C501" s="1">
        <v>44217</v>
      </c>
      <c r="D501" s="1" t="s">
        <v>58</v>
      </c>
      <c r="E501" s="2" t="s">
        <v>404</v>
      </c>
      <c r="F501" s="1"/>
      <c r="G501" s="2">
        <v>7</v>
      </c>
      <c r="H501" s="1"/>
      <c r="I501" t="s">
        <v>1</v>
      </c>
      <c r="J501" t="s">
        <v>2</v>
      </c>
      <c r="K501" t="s">
        <v>19</v>
      </c>
      <c r="L501" t="s">
        <v>349</v>
      </c>
      <c r="M501" s="3"/>
      <c r="N501"/>
    </row>
    <row r="502" spans="1:14" hidden="1" x14ac:dyDescent="0.25">
      <c r="A502" s="1" t="str">
        <f>VLOOKUP(Table2[[#This Row],[Prod Line ]],Lists!A:E,5,0)</f>
        <v>a</v>
      </c>
      <c r="B502" s="1">
        <v>44219</v>
      </c>
      <c r="C502" s="1">
        <v>44217</v>
      </c>
      <c r="D502" s="1" t="s">
        <v>56</v>
      </c>
      <c r="E502" s="2" t="s">
        <v>404</v>
      </c>
      <c r="F502" s="1"/>
      <c r="G502" s="2">
        <v>5</v>
      </c>
      <c r="H502" s="1"/>
      <c r="I502" t="s">
        <v>0</v>
      </c>
      <c r="J502" t="s">
        <v>2</v>
      </c>
      <c r="K502" t="s">
        <v>19</v>
      </c>
      <c r="L502" t="s">
        <v>69</v>
      </c>
      <c r="M502" s="3"/>
    </row>
    <row r="503" spans="1:14" hidden="1" x14ac:dyDescent="0.25">
      <c r="A503" s="1" t="str">
        <f>VLOOKUP(Table2[[#This Row],[Prod Line ]],Lists!A:E,5,0)</f>
        <v>a</v>
      </c>
      <c r="B503" s="1">
        <v>44219</v>
      </c>
      <c r="C503" s="1">
        <v>44217</v>
      </c>
      <c r="D503" s="1" t="s">
        <v>56</v>
      </c>
      <c r="E503" s="2" t="s">
        <v>774</v>
      </c>
      <c r="F503" s="1"/>
      <c r="G503" s="2">
        <v>16</v>
      </c>
      <c r="H503" s="1"/>
      <c r="I503" t="s">
        <v>0</v>
      </c>
      <c r="J503" t="s">
        <v>2</v>
      </c>
      <c r="K503" t="s">
        <v>14</v>
      </c>
      <c r="L503" t="s">
        <v>70</v>
      </c>
      <c r="M503" s="3"/>
    </row>
    <row r="504" spans="1:14" hidden="1" x14ac:dyDescent="0.25">
      <c r="A504" s="1" t="str">
        <f>VLOOKUP(Table2[[#This Row],[Prod Line ]],Lists!A:E,5,0)</f>
        <v>a</v>
      </c>
      <c r="B504" s="1">
        <v>44219</v>
      </c>
      <c r="C504" s="1">
        <v>44217</v>
      </c>
      <c r="D504" s="1" t="s">
        <v>56</v>
      </c>
      <c r="E504" s="2" t="s">
        <v>774</v>
      </c>
      <c r="F504" s="1"/>
      <c r="G504" s="2">
        <v>40</v>
      </c>
      <c r="H504" s="1" t="s">
        <v>1</v>
      </c>
      <c r="I504" t="s">
        <v>1</v>
      </c>
      <c r="J504" t="s">
        <v>65</v>
      </c>
      <c r="K504" t="s">
        <v>3</v>
      </c>
      <c r="L504" t="s">
        <v>407</v>
      </c>
      <c r="M504" s="3" t="s">
        <v>775</v>
      </c>
      <c r="N504"/>
    </row>
    <row r="505" spans="1:14" hidden="1" x14ac:dyDescent="0.25">
      <c r="A505" s="1" t="str">
        <f>VLOOKUP(Table2[[#This Row],[Prod Line ]],Lists!A:E,5,0)</f>
        <v>d</v>
      </c>
      <c r="B505" s="1">
        <v>44219</v>
      </c>
      <c r="C505" s="1">
        <v>44217</v>
      </c>
      <c r="D505" s="1" t="s">
        <v>62</v>
      </c>
      <c r="E505" s="2" t="s">
        <v>404</v>
      </c>
      <c r="F505" s="1"/>
      <c r="G505" s="2">
        <v>28</v>
      </c>
      <c r="H505" s="1"/>
      <c r="I505" t="s">
        <v>1</v>
      </c>
      <c r="J505" t="s">
        <v>2</v>
      </c>
      <c r="K505" t="s">
        <v>19</v>
      </c>
      <c r="L505" t="s">
        <v>349</v>
      </c>
      <c r="M505" s="3" t="s">
        <v>776</v>
      </c>
      <c r="N505"/>
    </row>
    <row r="506" spans="1:14" hidden="1" x14ac:dyDescent="0.25">
      <c r="A506" s="1" t="str">
        <f>VLOOKUP(Table2[[#This Row],[Prod Line ]],Lists!A:E,5,0)</f>
        <v>d</v>
      </c>
      <c r="B506" s="1">
        <v>44219</v>
      </c>
      <c r="C506" s="1">
        <v>44217</v>
      </c>
      <c r="D506" s="1" t="s">
        <v>62</v>
      </c>
      <c r="E506" s="2" t="s">
        <v>404</v>
      </c>
      <c r="F506" s="1"/>
      <c r="G506" s="2">
        <v>8</v>
      </c>
      <c r="H506" s="1"/>
      <c r="I506" t="s">
        <v>1</v>
      </c>
      <c r="J506" t="s">
        <v>64</v>
      </c>
      <c r="K506" t="s">
        <v>379</v>
      </c>
      <c r="L506" t="s">
        <v>407</v>
      </c>
      <c r="M506" s="3" t="s">
        <v>610</v>
      </c>
      <c r="N506"/>
    </row>
    <row r="507" spans="1:14" hidden="1" x14ac:dyDescent="0.25">
      <c r="A507" s="1" t="str">
        <f>VLOOKUP(Table2[[#This Row],[Prod Line ]],Lists!A:E,5,0)</f>
        <v>d</v>
      </c>
      <c r="B507" s="1">
        <v>44219</v>
      </c>
      <c r="C507" s="1">
        <v>44217</v>
      </c>
      <c r="D507" s="1" t="s">
        <v>62</v>
      </c>
      <c r="E507" s="2" t="s">
        <v>405</v>
      </c>
      <c r="F507" s="1"/>
      <c r="G507" s="2">
        <v>45</v>
      </c>
      <c r="H507" s="1"/>
      <c r="I507" t="s">
        <v>1</v>
      </c>
      <c r="J507" t="s">
        <v>2</v>
      </c>
      <c r="K507" t="s">
        <v>19</v>
      </c>
      <c r="L507" t="s">
        <v>407</v>
      </c>
      <c r="M507" s="3" t="s">
        <v>777</v>
      </c>
      <c r="N507"/>
    </row>
    <row r="508" spans="1:14" hidden="1" x14ac:dyDescent="0.25">
      <c r="A508" s="1" t="str">
        <f>VLOOKUP(Table2[[#This Row],[Prod Line ]],Lists!A:E,5,0)</f>
        <v>d</v>
      </c>
      <c r="B508" s="1">
        <v>44219</v>
      </c>
      <c r="C508" s="1">
        <v>44217</v>
      </c>
      <c r="D508" s="1" t="s">
        <v>62</v>
      </c>
      <c r="E508" s="2" t="s">
        <v>405</v>
      </c>
      <c r="F508" s="1"/>
      <c r="G508" s="2">
        <v>22</v>
      </c>
      <c r="H508" s="1" t="s">
        <v>1</v>
      </c>
      <c r="I508" t="s">
        <v>1</v>
      </c>
      <c r="J508" t="s">
        <v>2</v>
      </c>
      <c r="K508" t="s">
        <v>19</v>
      </c>
      <c r="L508" t="s">
        <v>407</v>
      </c>
      <c r="M508" s="3" t="s">
        <v>778</v>
      </c>
      <c r="N508"/>
    </row>
    <row r="509" spans="1:14" hidden="1" x14ac:dyDescent="0.25">
      <c r="A509" s="1" t="str">
        <f>VLOOKUP(Table2[[#This Row],[Prod Line ]],Lists!A:E,5,0)</f>
        <v>d</v>
      </c>
      <c r="B509" s="1">
        <v>44219</v>
      </c>
      <c r="C509" s="1">
        <v>44217</v>
      </c>
      <c r="D509" s="1" t="s">
        <v>62</v>
      </c>
      <c r="E509" s="2" t="s">
        <v>405</v>
      </c>
      <c r="F509" s="1"/>
      <c r="G509" s="2">
        <v>28</v>
      </c>
      <c r="H509" s="1"/>
      <c r="I509" t="s">
        <v>1</v>
      </c>
      <c r="J509" t="s">
        <v>2</v>
      </c>
      <c r="K509" t="s">
        <v>19</v>
      </c>
      <c r="L509" t="s">
        <v>407</v>
      </c>
      <c r="M509" s="3" t="s">
        <v>779</v>
      </c>
      <c r="N509"/>
    </row>
    <row r="510" spans="1:14" hidden="1" x14ac:dyDescent="0.25">
      <c r="A510" s="1" t="str">
        <f>VLOOKUP(Table2[[#This Row],[Prod Line ]],Lists!A:E,5,0)</f>
        <v>a</v>
      </c>
      <c r="B510" s="1">
        <v>44221</v>
      </c>
      <c r="C510" s="1">
        <v>44219</v>
      </c>
      <c r="D510" s="1" t="s">
        <v>56</v>
      </c>
      <c r="E510" s="2" t="s">
        <v>405</v>
      </c>
      <c r="F510" s="1"/>
      <c r="G510" s="2">
        <v>11</v>
      </c>
      <c r="H510" s="1"/>
      <c r="I510" t="s">
        <v>0</v>
      </c>
      <c r="J510" t="s">
        <v>2</v>
      </c>
      <c r="K510" t="s">
        <v>14</v>
      </c>
      <c r="L510" t="s">
        <v>70</v>
      </c>
      <c r="M510" s="3" t="s">
        <v>780</v>
      </c>
    </row>
    <row r="511" spans="1:14" hidden="1" x14ac:dyDescent="0.25">
      <c r="A511" s="1" t="str">
        <f>VLOOKUP(Table2[[#This Row],[Prod Line ]],Lists!A:E,5,0)</f>
        <v>a</v>
      </c>
      <c r="B511" s="1">
        <v>44221</v>
      </c>
      <c r="C511" s="1">
        <v>44219</v>
      </c>
      <c r="D511" s="1" t="s">
        <v>56</v>
      </c>
      <c r="E511" s="2" t="s">
        <v>405</v>
      </c>
      <c r="F511" s="1"/>
      <c r="G511" s="2">
        <v>26</v>
      </c>
      <c r="H511" s="1"/>
      <c r="I511" t="s">
        <v>0</v>
      </c>
      <c r="J511" t="s">
        <v>5</v>
      </c>
      <c r="K511" t="s">
        <v>376</v>
      </c>
      <c r="L511" t="s">
        <v>70</v>
      </c>
      <c r="M511" s="3" t="s">
        <v>781</v>
      </c>
    </row>
    <row r="512" spans="1:14" hidden="1" x14ac:dyDescent="0.25">
      <c r="A512" s="1" t="str">
        <f>VLOOKUP(Table2[[#This Row],[Prod Line ]],Lists!A:E,5,0)</f>
        <v>b</v>
      </c>
      <c r="B512" s="1">
        <v>44221</v>
      </c>
      <c r="C512" s="1">
        <v>44219</v>
      </c>
      <c r="D512" s="1" t="s">
        <v>58</v>
      </c>
      <c r="E512" s="2" t="s">
        <v>406</v>
      </c>
      <c r="F512" s="1"/>
      <c r="G512" s="2">
        <v>8</v>
      </c>
      <c r="H512" s="1"/>
      <c r="I512" t="s">
        <v>1</v>
      </c>
      <c r="J512" t="s">
        <v>2</v>
      </c>
      <c r="K512" t="s">
        <v>19</v>
      </c>
      <c r="L512" t="s">
        <v>407</v>
      </c>
      <c r="M512" s="3" t="s">
        <v>782</v>
      </c>
      <c r="N512"/>
    </row>
    <row r="513" spans="1:14" hidden="1" x14ac:dyDescent="0.25">
      <c r="A513" s="1" t="str">
        <f>VLOOKUP(Table2[[#This Row],[Prod Line ]],Lists!A:E,5,0)</f>
        <v>b</v>
      </c>
      <c r="B513" s="1">
        <v>44221</v>
      </c>
      <c r="C513" s="1">
        <v>44219</v>
      </c>
      <c r="D513" s="1" t="s">
        <v>58</v>
      </c>
      <c r="E513" s="2" t="s">
        <v>406</v>
      </c>
      <c r="F513" s="1"/>
      <c r="G513" s="2">
        <v>17</v>
      </c>
      <c r="H513" s="1"/>
      <c r="I513" t="s">
        <v>1</v>
      </c>
      <c r="J513" t="s">
        <v>5</v>
      </c>
      <c r="K513" t="s">
        <v>38</v>
      </c>
      <c r="L513" t="s">
        <v>407</v>
      </c>
      <c r="M513" s="3" t="s">
        <v>783</v>
      </c>
      <c r="N513"/>
    </row>
    <row r="514" spans="1:14" hidden="1" x14ac:dyDescent="0.25">
      <c r="A514" s="1" t="str">
        <f>VLOOKUP(Table2[[#This Row],[Prod Line ]],Lists!A:E,5,0)</f>
        <v>b</v>
      </c>
      <c r="B514" s="1">
        <v>44221</v>
      </c>
      <c r="C514" s="1">
        <v>44219</v>
      </c>
      <c r="D514" s="1" t="s">
        <v>58</v>
      </c>
      <c r="E514" s="2" t="s">
        <v>404</v>
      </c>
      <c r="F514" s="1"/>
      <c r="G514" s="2">
        <v>7</v>
      </c>
      <c r="H514" s="1"/>
      <c r="I514" t="s">
        <v>1</v>
      </c>
      <c r="J514" t="s">
        <v>65</v>
      </c>
      <c r="K514" t="s">
        <v>27</v>
      </c>
      <c r="L514" t="s">
        <v>441</v>
      </c>
      <c r="M514" s="3" t="s">
        <v>784</v>
      </c>
      <c r="N514"/>
    </row>
    <row r="515" spans="1:14" hidden="1" x14ac:dyDescent="0.25">
      <c r="A515" s="1" t="str">
        <f>VLOOKUP(Table2[[#This Row],[Prod Line ]],Lists!A:E,5,0)</f>
        <v>b</v>
      </c>
      <c r="B515" s="1">
        <v>44221</v>
      </c>
      <c r="C515" s="1">
        <v>44219</v>
      </c>
      <c r="D515" s="1" t="s">
        <v>58</v>
      </c>
      <c r="E515" s="2" t="s">
        <v>404</v>
      </c>
      <c r="F515" s="1"/>
      <c r="G515" s="2">
        <v>10</v>
      </c>
      <c r="H515" s="1"/>
      <c r="I515" t="s">
        <v>0</v>
      </c>
      <c r="J515" t="s">
        <v>64</v>
      </c>
      <c r="K515" t="s">
        <v>23</v>
      </c>
      <c r="L515" t="s">
        <v>70</v>
      </c>
      <c r="M515" s="3" t="s">
        <v>785</v>
      </c>
    </row>
    <row r="516" spans="1:14" hidden="1" x14ac:dyDescent="0.25">
      <c r="A516" s="1" t="str">
        <f>VLOOKUP(Table2[[#This Row],[Prod Line ]],Lists!A:E,5,0)</f>
        <v>b</v>
      </c>
      <c r="B516" s="1">
        <v>44221</v>
      </c>
      <c r="C516" s="1">
        <v>44219</v>
      </c>
      <c r="D516" s="1" t="s">
        <v>58</v>
      </c>
      <c r="E516" s="2" t="s">
        <v>404</v>
      </c>
      <c r="F516" s="1"/>
      <c r="G516" s="2">
        <v>5</v>
      </c>
      <c r="H516" s="1"/>
      <c r="I516" t="s">
        <v>0</v>
      </c>
      <c r="J516" t="s">
        <v>26</v>
      </c>
      <c r="K516" t="s">
        <v>26</v>
      </c>
      <c r="L516" t="s">
        <v>70</v>
      </c>
      <c r="M516" s="3" t="s">
        <v>786</v>
      </c>
    </row>
    <row r="517" spans="1:14" hidden="1" x14ac:dyDescent="0.25">
      <c r="A517" s="1" t="str">
        <f>VLOOKUP(Table2[[#This Row],[Prod Line ]],Lists!A:E,5,0)</f>
        <v>b</v>
      </c>
      <c r="B517" s="1">
        <v>44221</v>
      </c>
      <c r="C517" s="1">
        <v>44219</v>
      </c>
      <c r="D517" s="1" t="s">
        <v>58</v>
      </c>
      <c r="E517" s="2" t="s">
        <v>406</v>
      </c>
      <c r="F517" s="1"/>
      <c r="G517" s="2">
        <v>230</v>
      </c>
      <c r="H517" s="1"/>
      <c r="I517" t="s">
        <v>1</v>
      </c>
      <c r="J517" t="s">
        <v>5</v>
      </c>
      <c r="K517" t="s">
        <v>37</v>
      </c>
      <c r="L517" t="s">
        <v>72</v>
      </c>
      <c r="M517" s="3" t="s">
        <v>787</v>
      </c>
      <c r="N517"/>
    </row>
    <row r="518" spans="1:14" hidden="1" x14ac:dyDescent="0.25">
      <c r="A518" s="1" t="str">
        <f>VLOOKUP(Table2[[#This Row],[Prod Line ]],Lists!A:E,5,0)</f>
        <v>c</v>
      </c>
      <c r="B518" s="1">
        <v>44221</v>
      </c>
      <c r="C518" s="1">
        <v>44219</v>
      </c>
      <c r="D518" s="1" t="s">
        <v>60</v>
      </c>
      <c r="E518" s="2" t="s">
        <v>405</v>
      </c>
      <c r="F518" s="1"/>
      <c r="G518" s="2">
        <v>20</v>
      </c>
      <c r="H518" s="1"/>
      <c r="I518" t="s">
        <v>1</v>
      </c>
      <c r="J518" t="s">
        <v>65</v>
      </c>
      <c r="K518" t="s">
        <v>3</v>
      </c>
      <c r="L518" t="s">
        <v>407</v>
      </c>
      <c r="M518" s="3" t="s">
        <v>788</v>
      </c>
      <c r="N518"/>
    </row>
    <row r="519" spans="1:14" hidden="1" x14ac:dyDescent="0.25">
      <c r="A519" s="1" t="str">
        <f>VLOOKUP(Table2[[#This Row],[Prod Line ]],Lists!A:E,5,0)</f>
        <v>c</v>
      </c>
      <c r="B519" s="1">
        <v>44221</v>
      </c>
      <c r="C519" s="1">
        <v>44219</v>
      </c>
      <c r="D519" s="1" t="s">
        <v>60</v>
      </c>
      <c r="E519" s="2" t="s">
        <v>405</v>
      </c>
      <c r="F519" s="1"/>
      <c r="G519" s="2">
        <v>8</v>
      </c>
      <c r="H519" s="1"/>
      <c r="I519" t="s">
        <v>1</v>
      </c>
      <c r="J519" t="s">
        <v>2</v>
      </c>
      <c r="K519" t="s">
        <v>378</v>
      </c>
      <c r="L519" t="s">
        <v>72</v>
      </c>
      <c r="M519" s="3" t="s">
        <v>789</v>
      </c>
      <c r="N519"/>
    </row>
    <row r="520" spans="1:14" hidden="1" x14ac:dyDescent="0.25">
      <c r="A520" s="1" t="str">
        <f>VLOOKUP(Table2[[#This Row],[Prod Line ]],Lists!A:E,5,0)</f>
        <v>d</v>
      </c>
      <c r="B520" s="1">
        <v>44221</v>
      </c>
      <c r="C520" s="1">
        <v>44219</v>
      </c>
      <c r="D520" s="1" t="s">
        <v>62</v>
      </c>
      <c r="E520" s="2" t="s">
        <v>404</v>
      </c>
      <c r="F520" s="1"/>
      <c r="G520" s="2">
        <v>10</v>
      </c>
      <c r="H520" s="1"/>
      <c r="I520" t="s">
        <v>1</v>
      </c>
      <c r="J520" t="s">
        <v>5</v>
      </c>
      <c r="K520" t="s">
        <v>395</v>
      </c>
      <c r="L520" t="s">
        <v>72</v>
      </c>
      <c r="M520" s="3" t="s">
        <v>790</v>
      </c>
      <c r="N520"/>
    </row>
    <row r="521" spans="1:14" hidden="1" x14ac:dyDescent="0.25">
      <c r="A521" s="1" t="str">
        <f>VLOOKUP(Table2[[#This Row],[Prod Line ]],Lists!A:E,5,0)</f>
        <v>d</v>
      </c>
      <c r="B521" s="1">
        <v>44221</v>
      </c>
      <c r="C521" s="1">
        <v>44219</v>
      </c>
      <c r="D521" s="1" t="s">
        <v>62</v>
      </c>
      <c r="E521" s="2" t="s">
        <v>404</v>
      </c>
      <c r="F521" s="1"/>
      <c r="G521" s="2">
        <v>6</v>
      </c>
      <c r="H521" s="1"/>
      <c r="I521" t="s">
        <v>1</v>
      </c>
      <c r="J521" t="s">
        <v>2</v>
      </c>
      <c r="K521" t="s">
        <v>19</v>
      </c>
      <c r="L521" t="s">
        <v>72</v>
      </c>
      <c r="M521" s="3" t="s">
        <v>791</v>
      </c>
      <c r="N521"/>
    </row>
    <row r="522" spans="1:14" hidden="1" x14ac:dyDescent="0.25">
      <c r="A522" s="1" t="str">
        <f>VLOOKUP(Table2[[#This Row],[Prod Line ]],Lists!A:E,5,0)</f>
        <v>d</v>
      </c>
      <c r="B522" s="1">
        <v>44221</v>
      </c>
      <c r="C522" s="1">
        <v>44219</v>
      </c>
      <c r="D522" s="1" t="s">
        <v>62</v>
      </c>
      <c r="E522" s="2" t="s">
        <v>405</v>
      </c>
      <c r="F522" s="1"/>
      <c r="G522" s="2">
        <v>3</v>
      </c>
      <c r="H522" s="1"/>
      <c r="I522" t="s">
        <v>1</v>
      </c>
      <c r="J522" t="s">
        <v>64</v>
      </c>
      <c r="K522" t="s">
        <v>379</v>
      </c>
      <c r="L522" t="s">
        <v>72</v>
      </c>
      <c r="M522" s="3" t="s">
        <v>792</v>
      </c>
      <c r="N522"/>
    </row>
    <row r="523" spans="1:14" hidden="1" x14ac:dyDescent="0.25">
      <c r="A523" s="1" t="str">
        <f>VLOOKUP(Table2[[#This Row],[Prod Line ]],Lists!A:E,5,0)</f>
        <v>b</v>
      </c>
      <c r="B523" s="1">
        <v>44222</v>
      </c>
      <c r="C523" s="1">
        <v>44221</v>
      </c>
      <c r="D523" s="1" t="s">
        <v>58</v>
      </c>
      <c r="E523" s="2" t="s">
        <v>405</v>
      </c>
      <c r="F523" s="1"/>
      <c r="G523" s="2">
        <v>8</v>
      </c>
      <c r="H523" s="1"/>
      <c r="I523" t="s">
        <v>0</v>
      </c>
      <c r="J523" t="s">
        <v>66</v>
      </c>
      <c r="K523" t="s">
        <v>4</v>
      </c>
      <c r="L523" t="s">
        <v>69</v>
      </c>
      <c r="M523" s="3" t="s">
        <v>793</v>
      </c>
    </row>
    <row r="524" spans="1:14" hidden="1" x14ac:dyDescent="0.25">
      <c r="A524" s="1" t="str">
        <f>VLOOKUP(Table2[[#This Row],[Prod Line ]],Lists!A:E,5,0)</f>
        <v>b</v>
      </c>
      <c r="B524" s="1">
        <v>44222</v>
      </c>
      <c r="C524" s="1">
        <v>44221</v>
      </c>
      <c r="D524" s="1" t="s">
        <v>58</v>
      </c>
      <c r="E524" s="2" t="s">
        <v>405</v>
      </c>
      <c r="F524" s="1"/>
      <c r="G524" s="2">
        <v>6</v>
      </c>
      <c r="H524" s="1"/>
      <c r="I524" t="s">
        <v>1</v>
      </c>
      <c r="J524" t="s">
        <v>67</v>
      </c>
      <c r="K524" t="s">
        <v>67</v>
      </c>
      <c r="L524" t="s">
        <v>407</v>
      </c>
      <c r="M524" s="3" t="s">
        <v>794</v>
      </c>
      <c r="N524"/>
    </row>
    <row r="525" spans="1:14" hidden="1" x14ac:dyDescent="0.25">
      <c r="A525" s="1" t="str">
        <f>VLOOKUP(Table2[[#This Row],[Prod Line ]],Lists!A:E,5,0)</f>
        <v>d</v>
      </c>
      <c r="B525" s="1">
        <v>44222</v>
      </c>
      <c r="C525" s="1">
        <v>44221</v>
      </c>
      <c r="D525" s="1" t="s">
        <v>62</v>
      </c>
      <c r="E525" s="2" t="s">
        <v>404</v>
      </c>
      <c r="F525" s="1"/>
      <c r="G525" s="2">
        <v>6</v>
      </c>
      <c r="H525" s="1"/>
      <c r="I525" t="s">
        <v>1</v>
      </c>
      <c r="J525" t="s">
        <v>64</v>
      </c>
      <c r="K525" t="s">
        <v>379</v>
      </c>
      <c r="L525" t="s">
        <v>407</v>
      </c>
      <c r="M525" s="3" t="s">
        <v>610</v>
      </c>
      <c r="N525"/>
    </row>
    <row r="526" spans="1:14" hidden="1" x14ac:dyDescent="0.25">
      <c r="A526" s="1" t="str">
        <f>VLOOKUP(Table2[[#This Row],[Prod Line ]],Lists!A:E,5,0)</f>
        <v>d</v>
      </c>
      <c r="B526" s="1">
        <v>44222</v>
      </c>
      <c r="C526" s="1">
        <v>44221</v>
      </c>
      <c r="D526" s="1" t="s">
        <v>62</v>
      </c>
      <c r="E526" s="2" t="s">
        <v>404</v>
      </c>
      <c r="F526" s="1"/>
      <c r="G526" s="2">
        <v>3</v>
      </c>
      <c r="H526" s="1"/>
      <c r="I526" t="s">
        <v>1</v>
      </c>
      <c r="J526" t="s">
        <v>64</v>
      </c>
      <c r="K526" t="s">
        <v>379</v>
      </c>
      <c r="L526" t="s">
        <v>407</v>
      </c>
      <c r="M526" s="3" t="s">
        <v>655</v>
      </c>
      <c r="N526"/>
    </row>
    <row r="527" spans="1:14" hidden="1" x14ac:dyDescent="0.25">
      <c r="A527" s="1" t="str">
        <f>VLOOKUP(Table2[[#This Row],[Prod Line ]],Lists!A:E,5,0)</f>
        <v>d</v>
      </c>
      <c r="B527" s="1">
        <v>44222</v>
      </c>
      <c r="C527" s="1">
        <v>44221</v>
      </c>
      <c r="D527" s="1" t="s">
        <v>62</v>
      </c>
      <c r="E527" s="2" t="s">
        <v>405</v>
      </c>
      <c r="F527" s="1"/>
      <c r="G527" s="2">
        <v>29</v>
      </c>
      <c r="H527" s="1"/>
      <c r="I527" t="s">
        <v>1</v>
      </c>
      <c r="J527" t="s">
        <v>5</v>
      </c>
      <c r="K527" t="s">
        <v>397</v>
      </c>
      <c r="L527" t="s">
        <v>407</v>
      </c>
      <c r="M527" s="3" t="s">
        <v>48</v>
      </c>
      <c r="N527"/>
    </row>
    <row r="528" spans="1:14" hidden="1" x14ac:dyDescent="0.25">
      <c r="A528" s="1" t="str">
        <f>VLOOKUP(Table2[[#This Row],[Prod Line ]],Lists!A:E,5,0)</f>
        <v>d</v>
      </c>
      <c r="B528" s="1">
        <v>44222</v>
      </c>
      <c r="C528" s="1">
        <v>44221</v>
      </c>
      <c r="D528" s="1" t="s">
        <v>62</v>
      </c>
      <c r="E528" s="2" t="s">
        <v>405</v>
      </c>
      <c r="F528" s="1"/>
      <c r="G528" s="2">
        <v>5</v>
      </c>
      <c r="H528" s="1"/>
      <c r="I528" t="s">
        <v>1</v>
      </c>
      <c r="J528" t="s">
        <v>64</v>
      </c>
      <c r="K528" t="s">
        <v>379</v>
      </c>
      <c r="L528" t="s">
        <v>407</v>
      </c>
      <c r="M528" s="3" t="s">
        <v>655</v>
      </c>
      <c r="N528"/>
    </row>
    <row r="529" spans="1:14" hidden="1" x14ac:dyDescent="0.25">
      <c r="A529" s="1" t="str">
        <f>VLOOKUP(Table2[[#This Row],[Prod Line ]],Lists!A:E,5,0)</f>
        <v>c</v>
      </c>
      <c r="B529" s="1">
        <v>44222</v>
      </c>
      <c r="C529" s="1">
        <v>44221</v>
      </c>
      <c r="D529" s="1" t="s">
        <v>60</v>
      </c>
      <c r="E529" s="2" t="s">
        <v>404</v>
      </c>
      <c r="F529" s="1"/>
      <c r="G529" s="2">
        <v>49</v>
      </c>
      <c r="H529" s="1"/>
      <c r="I529" t="s">
        <v>1</v>
      </c>
      <c r="J529" t="s">
        <v>64</v>
      </c>
      <c r="K529" t="s">
        <v>381</v>
      </c>
      <c r="L529" t="s">
        <v>72</v>
      </c>
      <c r="M529" s="3" t="s">
        <v>795</v>
      </c>
      <c r="N529"/>
    </row>
    <row r="530" spans="1:14" hidden="1" x14ac:dyDescent="0.25">
      <c r="A530" s="1" t="str">
        <f>VLOOKUP(Table2[[#This Row],[Prod Line ]],Lists!A:E,5,0)</f>
        <v>c</v>
      </c>
      <c r="B530" s="1">
        <v>44222</v>
      </c>
      <c r="C530" s="1">
        <v>44220</v>
      </c>
      <c r="D530" s="1" t="s">
        <v>60</v>
      </c>
      <c r="E530" s="2" t="s">
        <v>404</v>
      </c>
      <c r="F530" s="1"/>
      <c r="G530" s="2">
        <v>20</v>
      </c>
      <c r="H530" s="1"/>
      <c r="I530" t="s">
        <v>1</v>
      </c>
      <c r="J530" t="s">
        <v>26</v>
      </c>
      <c r="K530" t="s">
        <v>26</v>
      </c>
      <c r="L530" t="s">
        <v>430</v>
      </c>
      <c r="M530" s="3" t="s">
        <v>796</v>
      </c>
      <c r="N530"/>
    </row>
    <row r="531" spans="1:14" hidden="1" x14ac:dyDescent="0.25">
      <c r="A531" s="1" t="str">
        <f>VLOOKUP(Table2[[#This Row],[Prod Line ]],Lists!A:E,5,0)</f>
        <v>c</v>
      </c>
      <c r="B531" s="1">
        <v>44222</v>
      </c>
      <c r="C531" s="1">
        <v>44220</v>
      </c>
      <c r="D531" s="1" t="s">
        <v>60</v>
      </c>
      <c r="E531" s="2" t="s">
        <v>404</v>
      </c>
      <c r="F531" s="1"/>
      <c r="G531" s="2">
        <v>9</v>
      </c>
      <c r="H531" s="1"/>
      <c r="I531" t="s">
        <v>1</v>
      </c>
      <c r="J531" t="s">
        <v>2</v>
      </c>
      <c r="K531" t="s">
        <v>378</v>
      </c>
      <c r="L531" t="s">
        <v>349</v>
      </c>
      <c r="M531" s="3" t="s">
        <v>797</v>
      </c>
      <c r="N531"/>
    </row>
    <row r="532" spans="1:14" hidden="1" x14ac:dyDescent="0.25">
      <c r="A532" s="1" t="str">
        <f>VLOOKUP(Table2[[#This Row],[Prod Line ]],Lists!A:E,5,0)</f>
        <v>c</v>
      </c>
      <c r="B532" s="1">
        <v>44222</v>
      </c>
      <c r="C532" s="1">
        <v>44220</v>
      </c>
      <c r="D532" s="1" t="s">
        <v>60</v>
      </c>
      <c r="E532" s="2" t="s">
        <v>405</v>
      </c>
      <c r="F532" s="1"/>
      <c r="G532" s="2">
        <v>15</v>
      </c>
      <c r="H532" s="1"/>
      <c r="I532" t="s">
        <v>1</v>
      </c>
      <c r="J532" t="s">
        <v>26</v>
      </c>
      <c r="K532" t="s">
        <v>26</v>
      </c>
      <c r="L532" t="s">
        <v>72</v>
      </c>
      <c r="M532" s="3" t="s">
        <v>798</v>
      </c>
      <c r="N532"/>
    </row>
    <row r="533" spans="1:14" hidden="1" x14ac:dyDescent="0.25">
      <c r="A533" s="1" t="str">
        <f>VLOOKUP(Table2[[#This Row],[Prod Line ]],Lists!A:E,5,0)</f>
        <v>d</v>
      </c>
      <c r="B533" s="1">
        <v>44224</v>
      </c>
      <c r="C533" s="1">
        <v>44222</v>
      </c>
      <c r="D533" s="1" t="s">
        <v>62</v>
      </c>
      <c r="E533" s="2" t="s">
        <v>404</v>
      </c>
      <c r="F533" s="1"/>
      <c r="G533" s="2">
        <v>4</v>
      </c>
      <c r="H533" s="1"/>
      <c r="I533" t="s">
        <v>1</v>
      </c>
      <c r="J533" t="s">
        <v>64</v>
      </c>
      <c r="K533" t="s">
        <v>379</v>
      </c>
      <c r="L533" t="s">
        <v>407</v>
      </c>
      <c r="M533" s="3" t="s">
        <v>553</v>
      </c>
      <c r="N533"/>
    </row>
    <row r="534" spans="1:14" hidden="1" x14ac:dyDescent="0.25">
      <c r="A534" s="1" t="str">
        <f>VLOOKUP(Table2[[#This Row],[Prod Line ]],Lists!A:E,5,0)</f>
        <v>d</v>
      </c>
      <c r="B534" s="1">
        <v>44224</v>
      </c>
      <c r="C534" s="1">
        <v>44222</v>
      </c>
      <c r="D534" s="1" t="s">
        <v>62</v>
      </c>
      <c r="E534" s="2" t="s">
        <v>406</v>
      </c>
      <c r="F534" s="1"/>
      <c r="G534" s="2">
        <v>2</v>
      </c>
      <c r="H534" s="1"/>
      <c r="I534" t="s">
        <v>1</v>
      </c>
      <c r="J534" t="s">
        <v>64</v>
      </c>
      <c r="K534" t="s">
        <v>379</v>
      </c>
      <c r="L534" t="s">
        <v>407</v>
      </c>
      <c r="M534" s="3" t="s">
        <v>678</v>
      </c>
      <c r="N534"/>
    </row>
    <row r="535" spans="1:14" hidden="1" x14ac:dyDescent="0.25">
      <c r="A535" s="1" t="str">
        <f>VLOOKUP(Table2[[#This Row],[Prod Line ]],Lists!A:E,5,0)</f>
        <v>c</v>
      </c>
      <c r="B535" s="1">
        <v>44224</v>
      </c>
      <c r="C535" s="1">
        <v>44222</v>
      </c>
      <c r="D535" s="1" t="s">
        <v>60</v>
      </c>
      <c r="E535" s="2" t="s">
        <v>404</v>
      </c>
      <c r="F535" s="1"/>
      <c r="G535" s="2">
        <v>44</v>
      </c>
      <c r="H535" s="1"/>
      <c r="I535" t="s">
        <v>1</v>
      </c>
      <c r="J535" t="s">
        <v>64</v>
      </c>
      <c r="K535" t="s">
        <v>379</v>
      </c>
      <c r="L535" t="s">
        <v>72</v>
      </c>
      <c r="M535" s="3" t="s">
        <v>799</v>
      </c>
      <c r="N535"/>
    </row>
    <row r="536" spans="1:14" hidden="1" x14ac:dyDescent="0.25">
      <c r="A536" s="1" t="str">
        <f>VLOOKUP(Table2[[#This Row],[Prod Line ]],Lists!A:E,5,0)</f>
        <v>a</v>
      </c>
      <c r="B536" s="1">
        <v>44224</v>
      </c>
      <c r="C536" s="1">
        <v>44222</v>
      </c>
      <c r="D536" s="1" t="s">
        <v>56</v>
      </c>
      <c r="E536" s="2" t="s">
        <v>405</v>
      </c>
      <c r="F536" s="1"/>
      <c r="G536" s="2">
        <v>15</v>
      </c>
      <c r="H536" s="1"/>
      <c r="I536" t="s">
        <v>0</v>
      </c>
      <c r="J536" t="s">
        <v>5</v>
      </c>
      <c r="K536" t="s">
        <v>376</v>
      </c>
      <c r="L536" t="s">
        <v>70</v>
      </c>
      <c r="M536" s="3" t="s">
        <v>572</v>
      </c>
    </row>
    <row r="537" spans="1:14" hidden="1" x14ac:dyDescent="0.25">
      <c r="A537" s="1" t="str">
        <f>VLOOKUP(Table2[[#This Row],[Prod Line ]],Lists!A:E,5,0)</f>
        <v>a</v>
      </c>
      <c r="B537" s="1">
        <v>44225</v>
      </c>
      <c r="C537" s="1">
        <v>44223</v>
      </c>
      <c r="D537" s="1" t="s">
        <v>56</v>
      </c>
      <c r="E537" s="2" t="s">
        <v>405</v>
      </c>
      <c r="F537" s="1"/>
      <c r="G537" s="2">
        <v>20</v>
      </c>
      <c r="H537" s="1"/>
      <c r="I537" t="s">
        <v>1</v>
      </c>
      <c r="J537" t="s">
        <v>65</v>
      </c>
      <c r="K537" t="s">
        <v>3</v>
      </c>
      <c r="L537" t="s">
        <v>441</v>
      </c>
      <c r="M537" s="3" t="s">
        <v>800</v>
      </c>
      <c r="N537"/>
    </row>
    <row r="538" spans="1:14" hidden="1" x14ac:dyDescent="0.25">
      <c r="A538" s="1" t="str">
        <f>VLOOKUP(Table2[[#This Row],[Prod Line ]],Lists!A:E,5,0)</f>
        <v>d</v>
      </c>
      <c r="B538" s="1">
        <v>44225</v>
      </c>
      <c r="C538" s="1">
        <v>44223</v>
      </c>
      <c r="D538" s="1" t="s">
        <v>357</v>
      </c>
      <c r="E538" s="2" t="s">
        <v>406</v>
      </c>
      <c r="F538" s="1"/>
      <c r="G538" s="2">
        <v>2</v>
      </c>
      <c r="H538" s="1"/>
      <c r="I538" t="s">
        <v>1</v>
      </c>
      <c r="J538" t="s">
        <v>64</v>
      </c>
      <c r="K538" t="s">
        <v>379</v>
      </c>
      <c r="L538" t="s">
        <v>407</v>
      </c>
      <c r="M538" s="3" t="s">
        <v>678</v>
      </c>
      <c r="N538"/>
    </row>
    <row r="539" spans="1:14" hidden="1" x14ac:dyDescent="0.25">
      <c r="A539" s="1" t="str">
        <f>VLOOKUP(Table2[[#This Row],[Prod Line ]],Lists!A:E,5,0)</f>
        <v>d</v>
      </c>
      <c r="B539" s="1">
        <v>44225</v>
      </c>
      <c r="C539" s="1">
        <v>44223</v>
      </c>
      <c r="D539" s="1" t="s">
        <v>62</v>
      </c>
      <c r="E539" s="2" t="s">
        <v>405</v>
      </c>
      <c r="F539" s="1"/>
      <c r="G539" s="2">
        <v>6</v>
      </c>
      <c r="H539" s="1"/>
      <c r="I539" t="s">
        <v>1</v>
      </c>
      <c r="J539" t="s">
        <v>2</v>
      </c>
      <c r="K539" t="s">
        <v>19</v>
      </c>
      <c r="L539" t="s">
        <v>72</v>
      </c>
      <c r="M539" s="3" t="s">
        <v>801</v>
      </c>
      <c r="N539"/>
    </row>
    <row r="540" spans="1:14" hidden="1" x14ac:dyDescent="0.25">
      <c r="A540" s="1" t="str">
        <f>VLOOKUP(Table2[[#This Row],[Prod Line ]],Lists!A:E,5,0)</f>
        <v>d</v>
      </c>
      <c r="B540" s="1">
        <v>44226</v>
      </c>
      <c r="C540" s="1">
        <v>44224</v>
      </c>
      <c r="D540" s="1" t="s">
        <v>62</v>
      </c>
      <c r="E540" s="2" t="s">
        <v>405</v>
      </c>
      <c r="F540" s="1"/>
      <c r="G540" s="2">
        <v>4</v>
      </c>
      <c r="H540" s="1"/>
      <c r="I540" t="s">
        <v>1</v>
      </c>
      <c r="J540" t="s">
        <v>2</v>
      </c>
      <c r="K540" t="s">
        <v>19</v>
      </c>
      <c r="L540" t="s">
        <v>407</v>
      </c>
      <c r="M540" s="3" t="s">
        <v>802</v>
      </c>
      <c r="N540"/>
    </row>
    <row r="541" spans="1:14" hidden="1" x14ac:dyDescent="0.25">
      <c r="A541" s="1" t="str">
        <f>VLOOKUP(Table2[[#This Row],[Prod Line ]],Lists!A:E,5,0)</f>
        <v>d</v>
      </c>
      <c r="B541" s="1">
        <v>44226</v>
      </c>
      <c r="C541" s="1">
        <v>44224</v>
      </c>
      <c r="D541" s="1" t="s">
        <v>62</v>
      </c>
      <c r="E541" s="2" t="s">
        <v>405</v>
      </c>
      <c r="F541" s="1"/>
      <c r="G541" s="2">
        <v>5</v>
      </c>
      <c r="H541" s="1"/>
      <c r="I541" t="s">
        <v>1</v>
      </c>
      <c r="J541" t="s">
        <v>64</v>
      </c>
      <c r="K541" t="s">
        <v>379</v>
      </c>
      <c r="L541" t="s">
        <v>407</v>
      </c>
      <c r="M541" s="3" t="s">
        <v>553</v>
      </c>
      <c r="N541"/>
    </row>
    <row r="542" spans="1:14" hidden="1" x14ac:dyDescent="0.25">
      <c r="A542" s="1" t="str">
        <f>VLOOKUP(Table2[[#This Row],[Prod Line ]],Lists!A:E,5,0)</f>
        <v>c</v>
      </c>
      <c r="B542" s="1">
        <v>44226</v>
      </c>
      <c r="C542" s="1">
        <v>44225</v>
      </c>
      <c r="D542" s="1" t="s">
        <v>60</v>
      </c>
      <c r="E542" s="2" t="s">
        <v>404</v>
      </c>
      <c r="F542" s="1"/>
      <c r="G542" s="2">
        <v>27</v>
      </c>
      <c r="H542" s="1"/>
      <c r="I542" t="s">
        <v>1</v>
      </c>
      <c r="J542" t="s">
        <v>2</v>
      </c>
      <c r="K542" t="s">
        <v>378</v>
      </c>
      <c r="L542" t="s">
        <v>349</v>
      </c>
      <c r="M542" s="3" t="s">
        <v>797</v>
      </c>
      <c r="N542"/>
    </row>
    <row r="543" spans="1:14" hidden="1" x14ac:dyDescent="0.25">
      <c r="A543" s="1" t="str">
        <f>VLOOKUP(Table2[[#This Row],[Prod Line ]],Lists!A:E,5,0)</f>
        <v>a</v>
      </c>
      <c r="B543" s="1">
        <v>44228</v>
      </c>
      <c r="C543" s="1">
        <v>44226</v>
      </c>
      <c r="D543" s="1" t="s">
        <v>56</v>
      </c>
      <c r="E543" s="2" t="s">
        <v>404</v>
      </c>
      <c r="F543" s="1"/>
      <c r="G543" s="2">
        <v>7</v>
      </c>
      <c r="H543" s="1"/>
      <c r="I543" t="s">
        <v>1</v>
      </c>
      <c r="J543" t="s">
        <v>64</v>
      </c>
      <c r="K543" t="s">
        <v>365</v>
      </c>
      <c r="L543" t="s">
        <v>72</v>
      </c>
      <c r="M543" s="3" t="s">
        <v>804</v>
      </c>
      <c r="N543"/>
    </row>
    <row r="544" spans="1:14" hidden="1" x14ac:dyDescent="0.25">
      <c r="A544" s="1" t="str">
        <f>VLOOKUP(Table2[[#This Row],[Prod Line ]],Lists!A:E,5,0)</f>
        <v>b</v>
      </c>
      <c r="B544" s="1">
        <v>44228</v>
      </c>
      <c r="C544" s="1">
        <v>44226</v>
      </c>
      <c r="D544" s="1" t="s">
        <v>58</v>
      </c>
      <c r="E544" s="2" t="s">
        <v>405</v>
      </c>
      <c r="F544" s="1"/>
      <c r="G544" s="2">
        <v>14</v>
      </c>
      <c r="H544" s="1"/>
      <c r="I544" t="s">
        <v>0</v>
      </c>
      <c r="J544" t="s">
        <v>66</v>
      </c>
      <c r="K544" t="s">
        <v>4</v>
      </c>
      <c r="L544" t="s">
        <v>70</v>
      </c>
      <c r="M544" s="3" t="s">
        <v>805</v>
      </c>
    </row>
    <row r="545" spans="1:14" hidden="1" x14ac:dyDescent="0.25">
      <c r="A545" s="1" t="str">
        <f>VLOOKUP(Table2[[#This Row],[Prod Line ]],Lists!A:E,5,0)</f>
        <v>b</v>
      </c>
      <c r="B545" s="1">
        <v>44228</v>
      </c>
      <c r="C545" s="1">
        <v>44226</v>
      </c>
      <c r="D545" s="1" t="s">
        <v>58</v>
      </c>
      <c r="E545" s="2" t="s">
        <v>405</v>
      </c>
      <c r="F545" s="1"/>
      <c r="G545" s="2">
        <v>26</v>
      </c>
      <c r="H545" s="1"/>
      <c r="I545" t="s">
        <v>0</v>
      </c>
      <c r="J545" t="s">
        <v>66</v>
      </c>
      <c r="K545" t="s">
        <v>4</v>
      </c>
      <c r="L545" t="s">
        <v>70</v>
      </c>
      <c r="M545" s="3" t="s">
        <v>806</v>
      </c>
    </row>
    <row r="546" spans="1:14" hidden="1" x14ac:dyDescent="0.25">
      <c r="A546" s="1" t="str">
        <f>VLOOKUP(Table2[[#This Row],[Prod Line ]],Lists!A:E,5,0)</f>
        <v>b</v>
      </c>
      <c r="B546" s="1">
        <v>44228</v>
      </c>
      <c r="C546" s="1">
        <v>44226</v>
      </c>
      <c r="D546" s="1" t="s">
        <v>58</v>
      </c>
      <c r="E546" s="2" t="s">
        <v>405</v>
      </c>
      <c r="F546" s="1"/>
      <c r="G546" s="2">
        <v>14</v>
      </c>
      <c r="H546" s="1"/>
      <c r="I546" t="s">
        <v>0</v>
      </c>
      <c r="J546" t="s">
        <v>66</v>
      </c>
      <c r="K546" t="s">
        <v>4</v>
      </c>
      <c r="L546" t="s">
        <v>70</v>
      </c>
      <c r="M546" s="3" t="s">
        <v>807</v>
      </c>
    </row>
    <row r="547" spans="1:14" hidden="1" x14ac:dyDescent="0.25">
      <c r="A547" s="1" t="str">
        <f>VLOOKUP(Table2[[#This Row],[Prod Line ]],Lists!A:E,5,0)</f>
        <v>b</v>
      </c>
      <c r="B547" s="1">
        <v>44228</v>
      </c>
      <c r="C547" s="1">
        <v>44226</v>
      </c>
      <c r="D547" s="1" t="s">
        <v>58</v>
      </c>
      <c r="E547" s="2" t="s">
        <v>405</v>
      </c>
      <c r="F547" s="1"/>
      <c r="G547" s="2">
        <v>12</v>
      </c>
      <c r="H547" s="1"/>
      <c r="I547" t="s">
        <v>1</v>
      </c>
      <c r="J547" t="s">
        <v>2</v>
      </c>
      <c r="K547" t="s">
        <v>19</v>
      </c>
      <c r="L547" t="s">
        <v>349</v>
      </c>
      <c r="M547" s="3" t="s">
        <v>557</v>
      </c>
      <c r="N547"/>
    </row>
    <row r="548" spans="1:14" hidden="1" x14ac:dyDescent="0.25">
      <c r="A548" s="1" t="str">
        <f>VLOOKUP(Table2[[#This Row],[Prod Line ]],Lists!A:E,5,0)</f>
        <v>b</v>
      </c>
      <c r="B548" s="1">
        <v>44228</v>
      </c>
      <c r="C548" s="1">
        <v>44226</v>
      </c>
      <c r="D548" s="1" t="s">
        <v>58</v>
      </c>
      <c r="E548" s="2" t="s">
        <v>405</v>
      </c>
      <c r="F548" s="1"/>
      <c r="G548" s="2">
        <v>85</v>
      </c>
      <c r="H548" s="1"/>
      <c r="I548" t="s">
        <v>0</v>
      </c>
      <c r="J548" t="s">
        <v>2</v>
      </c>
      <c r="K548" t="s">
        <v>19</v>
      </c>
      <c r="L548" t="s">
        <v>70</v>
      </c>
      <c r="M548" s="3" t="s">
        <v>808</v>
      </c>
    </row>
    <row r="549" spans="1:14" hidden="1" x14ac:dyDescent="0.25">
      <c r="A549" s="1" t="str">
        <f>VLOOKUP(Table2[[#This Row],[Prod Line ]],Lists!A:E,5,0)</f>
        <v>c</v>
      </c>
      <c r="B549" s="1">
        <v>44228</v>
      </c>
      <c r="C549" s="1">
        <v>44226</v>
      </c>
      <c r="D549" s="1" t="s">
        <v>60</v>
      </c>
      <c r="E549" s="2" t="s">
        <v>405</v>
      </c>
      <c r="F549" s="1"/>
      <c r="G549" s="2">
        <v>15</v>
      </c>
      <c r="H549" s="1"/>
      <c r="I549" t="s">
        <v>1</v>
      </c>
      <c r="J549" t="s">
        <v>2</v>
      </c>
      <c r="K549" t="s">
        <v>378</v>
      </c>
      <c r="L549" t="s">
        <v>407</v>
      </c>
      <c r="M549" s="3" t="s">
        <v>809</v>
      </c>
      <c r="N549"/>
    </row>
    <row r="550" spans="1:14" hidden="1" x14ac:dyDescent="0.25">
      <c r="A550" s="1" t="str">
        <f>VLOOKUP(Table2[[#This Row],[Prod Line ]],Lists!A:E,5,0)</f>
        <v>d</v>
      </c>
      <c r="B550" s="1">
        <v>44228</v>
      </c>
      <c r="C550" s="1">
        <v>44226</v>
      </c>
      <c r="D550" s="1" t="s">
        <v>62</v>
      </c>
      <c r="E550" s="2" t="s">
        <v>406</v>
      </c>
      <c r="F550" s="1"/>
      <c r="G550" s="2">
        <v>10</v>
      </c>
      <c r="H550" s="1"/>
      <c r="I550" t="s">
        <v>1</v>
      </c>
      <c r="J550" t="s">
        <v>2</v>
      </c>
      <c r="K550" t="s">
        <v>19</v>
      </c>
      <c r="L550" t="s">
        <v>72</v>
      </c>
      <c r="M550" s="3" t="s">
        <v>810</v>
      </c>
      <c r="N550"/>
    </row>
    <row r="551" spans="1:14" hidden="1" x14ac:dyDescent="0.25">
      <c r="A551" s="1" t="str">
        <f>VLOOKUP(Table2[[#This Row],[Prod Line ]],Lists!A:E,5,0)</f>
        <v>d</v>
      </c>
      <c r="B551" s="1">
        <v>44228</v>
      </c>
      <c r="C551" s="1">
        <v>44226</v>
      </c>
      <c r="D551" s="1" t="s">
        <v>62</v>
      </c>
      <c r="E551" s="2" t="s">
        <v>406</v>
      </c>
      <c r="F551" s="1"/>
      <c r="G551" s="2">
        <v>6</v>
      </c>
      <c r="H551" s="1"/>
      <c r="I551" t="s">
        <v>1</v>
      </c>
      <c r="J551" t="s">
        <v>64</v>
      </c>
      <c r="K551" t="s">
        <v>379</v>
      </c>
      <c r="L551" t="s">
        <v>72</v>
      </c>
      <c r="M551" s="3" t="s">
        <v>811</v>
      </c>
      <c r="N551"/>
    </row>
    <row r="552" spans="1:14" hidden="1" x14ac:dyDescent="0.25">
      <c r="A552" s="1" t="str">
        <f>VLOOKUP(Table2[[#This Row],[Prod Line ]],Lists!A:E,5,0)</f>
        <v>b</v>
      </c>
      <c r="B552" s="1">
        <v>44229</v>
      </c>
      <c r="C552" s="1">
        <v>44227</v>
      </c>
      <c r="D552" s="1" t="s">
        <v>58</v>
      </c>
      <c r="E552" s="2" t="s">
        <v>406</v>
      </c>
      <c r="F552" s="1"/>
      <c r="G552" s="2">
        <v>96</v>
      </c>
      <c r="H552" s="1"/>
      <c r="I552" t="s">
        <v>0</v>
      </c>
      <c r="J552" t="s">
        <v>65</v>
      </c>
      <c r="K552" t="s">
        <v>3</v>
      </c>
      <c r="L552" t="s">
        <v>69</v>
      </c>
      <c r="M552" s="3" t="s">
        <v>812</v>
      </c>
    </row>
    <row r="553" spans="1:14" hidden="1" x14ac:dyDescent="0.25">
      <c r="A553" s="1" t="str">
        <f>VLOOKUP(Table2[[#This Row],[Prod Line ]],Lists!A:E,5,0)</f>
        <v>b</v>
      </c>
      <c r="B553" s="1">
        <v>44229</v>
      </c>
      <c r="C553" s="1">
        <v>44227</v>
      </c>
      <c r="D553" s="1" t="s">
        <v>58</v>
      </c>
      <c r="E553" s="2" t="s">
        <v>404</v>
      </c>
      <c r="F553" s="1"/>
      <c r="G553" s="2">
        <v>85</v>
      </c>
      <c r="H553" s="1"/>
      <c r="I553" t="s">
        <v>0</v>
      </c>
      <c r="J553" t="s">
        <v>65</v>
      </c>
      <c r="K553" t="s">
        <v>3</v>
      </c>
      <c r="L553" t="s">
        <v>70</v>
      </c>
      <c r="M553" s="3" t="s">
        <v>813</v>
      </c>
    </row>
    <row r="554" spans="1:14" hidden="1" x14ac:dyDescent="0.25">
      <c r="A554" s="1" t="str">
        <f>VLOOKUP(Table2[[#This Row],[Prod Line ]],Lists!A:E,5,0)</f>
        <v>b</v>
      </c>
      <c r="B554" s="1">
        <v>44229</v>
      </c>
      <c r="C554" s="1">
        <v>44227</v>
      </c>
      <c r="D554" s="1" t="s">
        <v>58</v>
      </c>
      <c r="E554" s="2" t="s">
        <v>404</v>
      </c>
      <c r="F554" s="1"/>
      <c r="G554" s="2">
        <v>7</v>
      </c>
      <c r="H554" s="1"/>
      <c r="I554" t="s">
        <v>1</v>
      </c>
      <c r="J554" t="s">
        <v>65</v>
      </c>
      <c r="K554" t="s">
        <v>27</v>
      </c>
      <c r="L554" t="s">
        <v>441</v>
      </c>
      <c r="M554" s="3" t="s">
        <v>814</v>
      </c>
      <c r="N554"/>
    </row>
    <row r="555" spans="1:14" hidden="1" x14ac:dyDescent="0.25">
      <c r="A555" s="1" t="str">
        <f>VLOOKUP(Table2[[#This Row],[Prod Line ]],Lists!A:E,5,0)</f>
        <v>b</v>
      </c>
      <c r="B555" s="1">
        <v>44229</v>
      </c>
      <c r="C555" s="1">
        <v>44227</v>
      </c>
      <c r="D555" s="1" t="s">
        <v>58</v>
      </c>
      <c r="E555" s="2" t="s">
        <v>405</v>
      </c>
      <c r="F555" s="1"/>
      <c r="G555" s="2">
        <v>6</v>
      </c>
      <c r="H555" s="1"/>
      <c r="I555" t="s">
        <v>0</v>
      </c>
      <c r="J555" t="s">
        <v>65</v>
      </c>
      <c r="K555" t="s">
        <v>3</v>
      </c>
      <c r="L555" t="s">
        <v>70</v>
      </c>
      <c r="M555" s="3" t="s">
        <v>502</v>
      </c>
    </row>
    <row r="556" spans="1:14" hidden="1" x14ac:dyDescent="0.25">
      <c r="A556" s="1" t="str">
        <f>VLOOKUP(Table2[[#This Row],[Prod Line ]],Lists!A:E,5,0)</f>
        <v>b</v>
      </c>
      <c r="B556" s="1">
        <v>44229</v>
      </c>
      <c r="C556" s="1">
        <v>44227</v>
      </c>
      <c r="D556" s="1" t="s">
        <v>58</v>
      </c>
      <c r="E556" s="2" t="s">
        <v>404</v>
      </c>
      <c r="F556" s="1"/>
      <c r="G556" s="2">
        <v>60</v>
      </c>
      <c r="H556" s="1"/>
      <c r="I556" t="s">
        <v>0</v>
      </c>
      <c r="J556" t="s">
        <v>65</v>
      </c>
      <c r="K556" t="s">
        <v>3</v>
      </c>
      <c r="L556" t="s">
        <v>70</v>
      </c>
      <c r="M556" s="3" t="s">
        <v>815</v>
      </c>
    </row>
    <row r="557" spans="1:14" hidden="1" x14ac:dyDescent="0.25">
      <c r="A557" s="1" t="str">
        <f>VLOOKUP(Table2[[#This Row],[Prod Line ]],Lists!A:E,5,0)</f>
        <v>d</v>
      </c>
      <c r="B557" s="1">
        <v>44229</v>
      </c>
      <c r="C557" s="1">
        <v>44227</v>
      </c>
      <c r="D557" s="1" t="s">
        <v>62</v>
      </c>
      <c r="E557" s="2" t="s">
        <v>406</v>
      </c>
      <c r="F557" s="1"/>
      <c r="G557" s="2">
        <v>3</v>
      </c>
      <c r="H557" s="1"/>
      <c r="I557" t="s">
        <v>1</v>
      </c>
      <c r="J557" t="s">
        <v>64</v>
      </c>
      <c r="K557" t="s">
        <v>379</v>
      </c>
      <c r="L557" t="s">
        <v>407</v>
      </c>
      <c r="M557" s="3" t="s">
        <v>610</v>
      </c>
      <c r="N557"/>
    </row>
    <row r="558" spans="1:14" hidden="1" x14ac:dyDescent="0.25">
      <c r="A558" s="1" t="str">
        <f>VLOOKUP(Table2[[#This Row],[Prod Line ]],Lists!A:E,5,0)</f>
        <v>d</v>
      </c>
      <c r="B558" s="1">
        <v>44229</v>
      </c>
      <c r="C558" s="1">
        <v>44227</v>
      </c>
      <c r="D558" s="1" t="s">
        <v>62</v>
      </c>
      <c r="E558" s="2" t="s">
        <v>404</v>
      </c>
      <c r="F558" s="1"/>
      <c r="G558" s="2">
        <v>11</v>
      </c>
      <c r="H558" s="1"/>
      <c r="I558" t="s">
        <v>1</v>
      </c>
      <c r="J558" t="s">
        <v>64</v>
      </c>
      <c r="K558" t="s">
        <v>379</v>
      </c>
      <c r="L558" t="s">
        <v>407</v>
      </c>
      <c r="M558" s="3" t="s">
        <v>816</v>
      </c>
      <c r="N558"/>
    </row>
    <row r="559" spans="1:14" hidden="1" x14ac:dyDescent="0.25">
      <c r="A559" s="1" t="str">
        <f>VLOOKUP(Table2[[#This Row],[Prod Line ]],Lists!A:E,5,0)</f>
        <v>d</v>
      </c>
      <c r="B559" s="1">
        <v>44229</v>
      </c>
      <c r="C559" s="1">
        <v>44227</v>
      </c>
      <c r="D559" s="1" t="s">
        <v>62</v>
      </c>
      <c r="E559" s="2" t="s">
        <v>404</v>
      </c>
      <c r="F559" s="1"/>
      <c r="G559" s="2">
        <v>6</v>
      </c>
      <c r="H559" s="1"/>
      <c r="I559" t="s">
        <v>1</v>
      </c>
      <c r="J559" t="s">
        <v>64</v>
      </c>
      <c r="K559" t="s">
        <v>379</v>
      </c>
      <c r="L559" t="s">
        <v>407</v>
      </c>
      <c r="M559" s="3" t="s">
        <v>610</v>
      </c>
      <c r="N559"/>
    </row>
    <row r="560" spans="1:14" hidden="1" x14ac:dyDescent="0.25">
      <c r="A560" s="1" t="str">
        <f>VLOOKUP(Table2[[#This Row],[Prod Line ]],Lists!A:E,5,0)</f>
        <v>d</v>
      </c>
      <c r="B560" s="1">
        <v>44229</v>
      </c>
      <c r="C560" s="1">
        <v>44227</v>
      </c>
      <c r="D560" s="1" t="s">
        <v>62</v>
      </c>
      <c r="E560" s="2" t="s">
        <v>404</v>
      </c>
      <c r="F560" s="1"/>
      <c r="G560" s="2">
        <v>6</v>
      </c>
      <c r="H560" s="1"/>
      <c r="I560" t="s">
        <v>1</v>
      </c>
      <c r="J560" t="s">
        <v>64</v>
      </c>
      <c r="K560" t="s">
        <v>379</v>
      </c>
      <c r="L560" t="s">
        <v>407</v>
      </c>
      <c r="M560" s="3" t="s">
        <v>655</v>
      </c>
      <c r="N560"/>
    </row>
    <row r="561" spans="1:14" hidden="1" x14ac:dyDescent="0.25">
      <c r="A561" s="1" t="str">
        <f>VLOOKUP(Table2[[#This Row],[Prod Line ]],Lists!A:E,5,0)</f>
        <v>a</v>
      </c>
      <c r="B561" s="1">
        <v>44231</v>
      </c>
      <c r="C561" s="1">
        <v>44229</v>
      </c>
      <c r="D561" s="1" t="s">
        <v>56</v>
      </c>
      <c r="E561" s="2" t="s">
        <v>404</v>
      </c>
      <c r="F561" s="1"/>
      <c r="G561" s="2">
        <v>27</v>
      </c>
      <c r="H561" s="1"/>
      <c r="I561" t="s">
        <v>0</v>
      </c>
      <c r="J561" t="s">
        <v>2</v>
      </c>
      <c r="K561" t="s">
        <v>14</v>
      </c>
      <c r="L561" t="s">
        <v>70</v>
      </c>
      <c r="M561" s="3" t="s">
        <v>819</v>
      </c>
    </row>
    <row r="562" spans="1:14" hidden="1" x14ac:dyDescent="0.25">
      <c r="A562" s="1" t="str">
        <f>VLOOKUP(Table2[[#This Row],[Prod Line ]],Lists!A:E,5,0)</f>
        <v>b</v>
      </c>
      <c r="B562" s="1">
        <v>44231</v>
      </c>
      <c r="C562" s="1">
        <v>44229</v>
      </c>
      <c r="D562" s="1" t="s">
        <v>58</v>
      </c>
      <c r="E562" s="2" t="s">
        <v>404</v>
      </c>
      <c r="F562" s="1"/>
      <c r="G562" s="2">
        <v>4</v>
      </c>
      <c r="H562" s="1"/>
      <c r="I562" t="s">
        <v>1</v>
      </c>
      <c r="J562" t="s">
        <v>67</v>
      </c>
      <c r="K562" t="s">
        <v>67</v>
      </c>
      <c r="L562" t="s">
        <v>441</v>
      </c>
      <c r="M562" s="3" t="s">
        <v>818</v>
      </c>
      <c r="N562"/>
    </row>
    <row r="563" spans="1:14" hidden="1" x14ac:dyDescent="0.25">
      <c r="A563" s="1" t="str">
        <f>VLOOKUP(Table2[[#This Row],[Prod Line ]],Lists!A:E,5,0)</f>
        <v>b</v>
      </c>
      <c r="B563" s="1">
        <v>44231</v>
      </c>
      <c r="C563" s="1">
        <v>44229</v>
      </c>
      <c r="D563" s="1" t="s">
        <v>58</v>
      </c>
      <c r="E563" s="2" t="s">
        <v>406</v>
      </c>
      <c r="F563" s="1"/>
      <c r="G563" s="2">
        <v>20</v>
      </c>
      <c r="H563" s="1"/>
      <c r="I563" t="s">
        <v>0</v>
      </c>
      <c r="J563" t="s">
        <v>2</v>
      </c>
      <c r="K563" t="s">
        <v>19</v>
      </c>
      <c r="L563" t="s">
        <v>70</v>
      </c>
      <c r="M563" s="3" t="s">
        <v>817</v>
      </c>
    </row>
    <row r="564" spans="1:14" hidden="1" x14ac:dyDescent="0.25">
      <c r="A564" s="1" t="str">
        <f>VLOOKUP(Table2[[#This Row],[Prod Line ]],Lists!A:E,5,0)</f>
        <v>c</v>
      </c>
      <c r="B564" s="1">
        <v>44231</v>
      </c>
      <c r="C564" s="1">
        <v>44229</v>
      </c>
      <c r="D564" s="1" t="s">
        <v>60</v>
      </c>
      <c r="E564" s="2" t="s">
        <v>404</v>
      </c>
      <c r="F564" s="1"/>
      <c r="G564" s="2">
        <v>71</v>
      </c>
      <c r="H564" s="1"/>
      <c r="I564" t="s">
        <v>0</v>
      </c>
      <c r="J564" t="s">
        <v>2</v>
      </c>
      <c r="K564" t="s">
        <v>14</v>
      </c>
      <c r="L564" t="s">
        <v>70</v>
      </c>
      <c r="M564" s="3" t="s">
        <v>819</v>
      </c>
    </row>
    <row r="565" spans="1:14" hidden="1" x14ac:dyDescent="0.25">
      <c r="A565" s="1" t="str">
        <f>VLOOKUP(Table2[[#This Row],[Prod Line ]],Lists!A:E,5,0)</f>
        <v>c</v>
      </c>
      <c r="B565" s="1">
        <v>44231</v>
      </c>
      <c r="C565" s="1">
        <v>44229</v>
      </c>
      <c r="D565" s="1" t="s">
        <v>60</v>
      </c>
      <c r="E565" s="2" t="s">
        <v>404</v>
      </c>
      <c r="F565" s="1"/>
      <c r="G565" s="2">
        <v>10</v>
      </c>
      <c r="H565" s="1"/>
      <c r="I565" t="s">
        <v>0</v>
      </c>
      <c r="J565" t="s">
        <v>67</v>
      </c>
      <c r="K565" t="s">
        <v>67</v>
      </c>
      <c r="L565" t="s">
        <v>70</v>
      </c>
      <c r="M565" s="3" t="s">
        <v>820</v>
      </c>
    </row>
    <row r="566" spans="1:14" hidden="1" x14ac:dyDescent="0.25">
      <c r="A566" s="1" t="str">
        <f>VLOOKUP(Table2[[#This Row],[Prod Line ]],Lists!A:E,5,0)</f>
        <v>d</v>
      </c>
      <c r="B566" s="1">
        <v>44231</v>
      </c>
      <c r="C566" s="1">
        <v>44229</v>
      </c>
      <c r="D566" s="1" t="s">
        <v>62</v>
      </c>
      <c r="E566" s="2" t="s">
        <v>404</v>
      </c>
      <c r="F566" s="1"/>
      <c r="G566" s="2">
        <v>6</v>
      </c>
      <c r="H566" s="1"/>
      <c r="I566" t="s">
        <v>1</v>
      </c>
      <c r="J566" t="s">
        <v>2</v>
      </c>
      <c r="K566" t="s">
        <v>19</v>
      </c>
      <c r="L566" t="s">
        <v>407</v>
      </c>
      <c r="M566" s="3" t="s">
        <v>553</v>
      </c>
      <c r="N566"/>
    </row>
    <row r="567" spans="1:14" hidden="1" x14ac:dyDescent="0.25">
      <c r="A567" s="1" t="str">
        <f>VLOOKUP(Table2[[#This Row],[Prod Line ]],Lists!A:E,5,0)</f>
        <v>d</v>
      </c>
      <c r="B567" s="1">
        <v>44231</v>
      </c>
      <c r="C567" s="1">
        <v>44229</v>
      </c>
      <c r="D567" s="1" t="s">
        <v>62</v>
      </c>
      <c r="E567" s="2" t="s">
        <v>404</v>
      </c>
      <c r="F567" s="1"/>
      <c r="G567" s="2">
        <v>4</v>
      </c>
      <c r="H567" s="1"/>
      <c r="I567" t="s">
        <v>1</v>
      </c>
      <c r="J567" t="s">
        <v>64</v>
      </c>
      <c r="K567" t="s">
        <v>379</v>
      </c>
      <c r="L567" t="s">
        <v>407</v>
      </c>
      <c r="M567" s="3" t="s">
        <v>631</v>
      </c>
      <c r="N567"/>
    </row>
    <row r="568" spans="1:14" hidden="1" x14ac:dyDescent="0.25">
      <c r="A568" s="1" t="str">
        <f>VLOOKUP(Table2[[#This Row],[Prod Line ]],Lists!A:E,5,0)</f>
        <v>d</v>
      </c>
      <c r="B568" s="1">
        <v>44231</v>
      </c>
      <c r="C568" s="1">
        <v>44229</v>
      </c>
      <c r="D568" s="1" t="s">
        <v>62</v>
      </c>
      <c r="E568" s="2" t="s">
        <v>405</v>
      </c>
      <c r="F568" s="1"/>
      <c r="G568" s="2">
        <v>8</v>
      </c>
      <c r="H568" s="1"/>
      <c r="I568" t="s">
        <v>1</v>
      </c>
      <c r="J568" t="s">
        <v>2</v>
      </c>
      <c r="K568" t="s">
        <v>19</v>
      </c>
      <c r="L568" t="s">
        <v>407</v>
      </c>
      <c r="M568" s="3" t="s">
        <v>553</v>
      </c>
      <c r="N568"/>
    </row>
    <row r="569" spans="1:14" hidden="1" x14ac:dyDescent="0.25">
      <c r="A569" s="1" t="str">
        <f>VLOOKUP(Table2[[#This Row],[Prod Line ]],Lists!A:E,5,0)</f>
        <v>d</v>
      </c>
      <c r="B569" s="1">
        <v>44231</v>
      </c>
      <c r="C569" s="1">
        <v>44229</v>
      </c>
      <c r="D569" s="1" t="s">
        <v>62</v>
      </c>
      <c r="E569" s="2" t="s">
        <v>405</v>
      </c>
      <c r="F569" s="1"/>
      <c r="G569" s="2">
        <v>5</v>
      </c>
      <c r="H569" s="1"/>
      <c r="I569" t="s">
        <v>1</v>
      </c>
      <c r="J569" t="s">
        <v>64</v>
      </c>
      <c r="K569" t="s">
        <v>379</v>
      </c>
      <c r="L569" t="s">
        <v>407</v>
      </c>
      <c r="M569" s="3" t="s">
        <v>821</v>
      </c>
      <c r="N569"/>
    </row>
    <row r="570" spans="1:14" hidden="1" x14ac:dyDescent="0.25">
      <c r="A570" s="1" t="str">
        <f>VLOOKUP(Table2[[#This Row],[Prod Line ]],Lists!A:E,5,0)</f>
        <v>d</v>
      </c>
      <c r="B570" s="1">
        <v>44231</v>
      </c>
      <c r="C570" s="1">
        <v>44229</v>
      </c>
      <c r="D570" s="1" t="s">
        <v>62</v>
      </c>
      <c r="E570" s="2" t="s">
        <v>405</v>
      </c>
      <c r="F570" s="1"/>
      <c r="G570" s="2">
        <v>18</v>
      </c>
      <c r="H570" s="1"/>
      <c r="I570" t="s">
        <v>1</v>
      </c>
      <c r="J570" t="s">
        <v>2</v>
      </c>
      <c r="K570" t="s">
        <v>19</v>
      </c>
      <c r="L570" t="s">
        <v>349</v>
      </c>
      <c r="M570" s="3" t="s">
        <v>822</v>
      </c>
      <c r="N570"/>
    </row>
    <row r="571" spans="1:14" hidden="1" x14ac:dyDescent="0.25">
      <c r="A571" s="1" t="str">
        <f>VLOOKUP(Table2[[#This Row],[Prod Line ]],Lists!A:E,5,0)</f>
        <v>b</v>
      </c>
      <c r="B571" s="1">
        <v>44232</v>
      </c>
      <c r="C571" s="1">
        <v>44230</v>
      </c>
      <c r="D571" s="1" t="s">
        <v>58</v>
      </c>
      <c r="E571" s="2" t="s">
        <v>404</v>
      </c>
      <c r="F571" s="1"/>
      <c r="G571" s="2">
        <v>12</v>
      </c>
      <c r="H571" s="1"/>
      <c r="I571" t="s">
        <v>1</v>
      </c>
      <c r="J571" t="s">
        <v>67</v>
      </c>
      <c r="K571" t="s">
        <v>67</v>
      </c>
      <c r="L571" t="s">
        <v>441</v>
      </c>
      <c r="M571" s="3" t="s">
        <v>823</v>
      </c>
      <c r="N571"/>
    </row>
    <row r="572" spans="1:14" hidden="1" x14ac:dyDescent="0.25">
      <c r="A572" s="1" t="str">
        <f>VLOOKUP(Table2[[#This Row],[Prod Line ]],Lists!A:E,5,0)</f>
        <v>c</v>
      </c>
      <c r="B572" s="1">
        <v>44232</v>
      </c>
      <c r="C572" s="1">
        <v>44230</v>
      </c>
      <c r="D572" s="1" t="s">
        <v>60</v>
      </c>
      <c r="E572" s="2" t="s">
        <v>404</v>
      </c>
      <c r="F572" s="1"/>
      <c r="G572" s="2">
        <v>4</v>
      </c>
      <c r="H572" s="1"/>
      <c r="I572" t="s">
        <v>1</v>
      </c>
      <c r="J572" t="s">
        <v>64</v>
      </c>
      <c r="K572" t="s">
        <v>379</v>
      </c>
      <c r="L572" t="s">
        <v>407</v>
      </c>
      <c r="M572" s="3" t="s">
        <v>685</v>
      </c>
      <c r="N572"/>
    </row>
    <row r="573" spans="1:14" hidden="1" x14ac:dyDescent="0.25">
      <c r="A573" s="1" t="str">
        <f>VLOOKUP(Table2[[#This Row],[Prod Line ]],Lists!A:E,5,0)</f>
        <v>d</v>
      </c>
      <c r="B573" s="1">
        <v>44232</v>
      </c>
      <c r="C573" s="1">
        <v>44230</v>
      </c>
      <c r="D573" s="1" t="s">
        <v>62</v>
      </c>
      <c r="E573" s="2" t="s">
        <v>406</v>
      </c>
      <c r="F573" s="1"/>
      <c r="G573" s="2">
        <v>6</v>
      </c>
      <c r="H573" s="1"/>
      <c r="I573" t="s">
        <v>1</v>
      </c>
      <c r="J573" t="s">
        <v>2</v>
      </c>
      <c r="K573" t="s">
        <v>19</v>
      </c>
      <c r="L573" t="s">
        <v>349</v>
      </c>
      <c r="M573" s="3" t="s">
        <v>816</v>
      </c>
      <c r="N573"/>
    </row>
    <row r="574" spans="1:14" hidden="1" x14ac:dyDescent="0.25">
      <c r="A574" s="1" t="str">
        <f>VLOOKUP(Table2[[#This Row],[Prod Line ]],Lists!A:E,5,0)</f>
        <v>d</v>
      </c>
      <c r="B574" s="1">
        <v>44232</v>
      </c>
      <c r="C574" s="1">
        <v>44230</v>
      </c>
      <c r="D574" s="1" t="s">
        <v>62</v>
      </c>
      <c r="E574" s="2" t="s">
        <v>404</v>
      </c>
      <c r="F574" s="1"/>
      <c r="G574" s="2">
        <v>6</v>
      </c>
      <c r="H574" s="1"/>
      <c r="I574" t="s">
        <v>1</v>
      </c>
      <c r="J574" t="s">
        <v>64</v>
      </c>
      <c r="K574" t="s">
        <v>379</v>
      </c>
      <c r="L574" t="s">
        <v>407</v>
      </c>
      <c r="M574" s="3" t="s">
        <v>553</v>
      </c>
      <c r="N574"/>
    </row>
    <row r="575" spans="1:14" hidden="1" x14ac:dyDescent="0.25">
      <c r="A575" s="1" t="str">
        <f>VLOOKUP(Table2[[#This Row],[Prod Line ]],Lists!A:E,5,0)</f>
        <v>d</v>
      </c>
      <c r="B575" s="1">
        <v>44232</v>
      </c>
      <c r="C575" s="1">
        <v>44230</v>
      </c>
      <c r="D575" s="1" t="s">
        <v>62</v>
      </c>
      <c r="E575" s="2" t="s">
        <v>404</v>
      </c>
      <c r="F575" s="1"/>
      <c r="G575" s="2">
        <v>3</v>
      </c>
      <c r="H575" s="1"/>
      <c r="I575" t="s">
        <v>1</v>
      </c>
      <c r="J575" t="s">
        <v>64</v>
      </c>
      <c r="K575" t="s">
        <v>379</v>
      </c>
      <c r="L575" t="s">
        <v>407</v>
      </c>
      <c r="M575" s="3" t="s">
        <v>821</v>
      </c>
      <c r="N575"/>
    </row>
    <row r="576" spans="1:14" hidden="1" x14ac:dyDescent="0.25">
      <c r="A576" s="1" t="str">
        <f>VLOOKUP(Table2[[#This Row],[Prod Line ]],Lists!A:E,5,0)</f>
        <v>d</v>
      </c>
      <c r="B576" s="1">
        <v>44232</v>
      </c>
      <c r="C576" s="1">
        <v>44230</v>
      </c>
      <c r="D576" s="1" t="s">
        <v>62</v>
      </c>
      <c r="E576" s="2" t="s">
        <v>404</v>
      </c>
      <c r="F576" s="1"/>
      <c r="G576" s="2">
        <v>6</v>
      </c>
      <c r="H576" s="1"/>
      <c r="I576" t="s">
        <v>1</v>
      </c>
      <c r="J576" t="s">
        <v>2</v>
      </c>
      <c r="K576" t="s">
        <v>19</v>
      </c>
      <c r="L576" t="s">
        <v>349</v>
      </c>
      <c r="M576" s="3" t="s">
        <v>824</v>
      </c>
      <c r="N576"/>
    </row>
    <row r="577" spans="1:14" hidden="1" x14ac:dyDescent="0.25">
      <c r="A577" s="1" t="str">
        <f>VLOOKUP(Table2[[#This Row],[Prod Line ]],Lists!A:E,5,0)</f>
        <v>d</v>
      </c>
      <c r="B577" s="1">
        <v>44232</v>
      </c>
      <c r="C577" s="1">
        <v>44230</v>
      </c>
      <c r="D577" s="1" t="s">
        <v>62</v>
      </c>
      <c r="E577" s="2" t="s">
        <v>405</v>
      </c>
      <c r="F577" s="1"/>
      <c r="G577" s="2">
        <v>20</v>
      </c>
      <c r="H577" s="1"/>
      <c r="I577" t="s">
        <v>1</v>
      </c>
      <c r="J577" t="s">
        <v>2</v>
      </c>
      <c r="K577" t="s">
        <v>19</v>
      </c>
      <c r="L577" t="s">
        <v>349</v>
      </c>
      <c r="M577" s="3" t="s">
        <v>825</v>
      </c>
      <c r="N577"/>
    </row>
    <row r="578" spans="1:14" hidden="1" x14ac:dyDescent="0.25">
      <c r="A578" s="1" t="str">
        <f>VLOOKUP(Table2[[#This Row],[Prod Line ]],Lists!A:E,5,0)</f>
        <v>d</v>
      </c>
      <c r="B578" s="1">
        <v>44233</v>
      </c>
      <c r="C578" s="1">
        <v>44231</v>
      </c>
      <c r="D578" s="1" t="s">
        <v>62</v>
      </c>
      <c r="E578" s="2" t="s">
        <v>406</v>
      </c>
      <c r="F578" s="1"/>
      <c r="G578" s="2">
        <v>9</v>
      </c>
      <c r="H578" s="1" t="s">
        <v>1</v>
      </c>
      <c r="I578" t="s">
        <v>1</v>
      </c>
      <c r="J578" t="s">
        <v>5</v>
      </c>
      <c r="K578" t="s">
        <v>397</v>
      </c>
      <c r="L578" t="s">
        <v>407</v>
      </c>
      <c r="M578" s="3" t="s">
        <v>826</v>
      </c>
      <c r="N578"/>
    </row>
    <row r="579" spans="1:14" hidden="1" x14ac:dyDescent="0.25">
      <c r="A579" s="1" t="str">
        <f>VLOOKUP(Table2[[#This Row],[Prod Line ]],Lists!A:E,5,0)</f>
        <v>d</v>
      </c>
      <c r="B579" s="1">
        <v>44233</v>
      </c>
      <c r="C579" s="1">
        <v>44231</v>
      </c>
      <c r="D579" s="1" t="s">
        <v>62</v>
      </c>
      <c r="E579" s="2" t="s">
        <v>406</v>
      </c>
      <c r="F579" s="1"/>
      <c r="G579" s="2">
        <v>3</v>
      </c>
      <c r="H579" s="1"/>
      <c r="I579" t="s">
        <v>1</v>
      </c>
      <c r="J579" t="s">
        <v>64</v>
      </c>
      <c r="K579" t="s">
        <v>379</v>
      </c>
      <c r="L579" t="s">
        <v>407</v>
      </c>
      <c r="M579" s="3" t="s">
        <v>821</v>
      </c>
      <c r="N579"/>
    </row>
    <row r="580" spans="1:14" hidden="1" x14ac:dyDescent="0.25">
      <c r="A580" s="1" t="str">
        <f>VLOOKUP(Table2[[#This Row],[Prod Line ]],Lists!A:E,5,0)</f>
        <v>d</v>
      </c>
      <c r="B580" s="1">
        <v>44233</v>
      </c>
      <c r="C580" s="1">
        <v>44231</v>
      </c>
      <c r="D580" s="1" t="s">
        <v>62</v>
      </c>
      <c r="E580" s="2" t="s">
        <v>404</v>
      </c>
      <c r="F580" s="1"/>
      <c r="G580" s="2">
        <v>9</v>
      </c>
      <c r="H580" s="1" t="s">
        <v>1</v>
      </c>
      <c r="I580" t="s">
        <v>1</v>
      </c>
      <c r="J580" t="s">
        <v>2</v>
      </c>
      <c r="K580" t="s">
        <v>19</v>
      </c>
      <c r="L580" t="s">
        <v>407</v>
      </c>
      <c r="M580" s="3" t="s">
        <v>827</v>
      </c>
      <c r="N580"/>
    </row>
    <row r="581" spans="1:14" hidden="1" x14ac:dyDescent="0.25">
      <c r="A581" s="1" t="str">
        <f>VLOOKUP(Table2[[#This Row],[Prod Line ]],Lists!A:E,5,0)</f>
        <v>d</v>
      </c>
      <c r="B581" s="1">
        <v>44233</v>
      </c>
      <c r="C581" s="1">
        <v>44231</v>
      </c>
      <c r="D581" s="1" t="s">
        <v>62</v>
      </c>
      <c r="E581" s="2" t="s">
        <v>405</v>
      </c>
      <c r="F581" s="1"/>
      <c r="G581" s="2">
        <v>5</v>
      </c>
      <c r="H581" s="1"/>
      <c r="I581" t="s">
        <v>1</v>
      </c>
      <c r="J581" t="s">
        <v>5</v>
      </c>
      <c r="K581" t="s">
        <v>397</v>
      </c>
      <c r="L581" t="s">
        <v>407</v>
      </c>
      <c r="M581" s="3" t="s">
        <v>828</v>
      </c>
      <c r="N581"/>
    </row>
    <row r="582" spans="1:14" hidden="1" x14ac:dyDescent="0.25">
      <c r="A582" s="1" t="str">
        <f>VLOOKUP(Table2[[#This Row],[Prod Line ]],Lists!A:E,5,0)</f>
        <v>d</v>
      </c>
      <c r="B582" s="1">
        <v>44233</v>
      </c>
      <c r="C582" s="1">
        <v>44231</v>
      </c>
      <c r="D582" s="1" t="s">
        <v>357</v>
      </c>
      <c r="E582" s="2" t="s">
        <v>405</v>
      </c>
      <c r="F582" s="1"/>
      <c r="G582" s="2">
        <v>5</v>
      </c>
      <c r="H582" s="1"/>
      <c r="I582" t="s">
        <v>1</v>
      </c>
      <c r="J582" t="s">
        <v>64</v>
      </c>
      <c r="K582" t="s">
        <v>379</v>
      </c>
      <c r="L582" t="s">
        <v>407</v>
      </c>
      <c r="M582" s="3" t="s">
        <v>821</v>
      </c>
      <c r="N582"/>
    </row>
    <row r="583" spans="1:14" hidden="1" x14ac:dyDescent="0.25">
      <c r="A583" s="1" t="str">
        <f>VLOOKUP(Table2[[#This Row],[Prod Line ]],Lists!A:E,5,0)</f>
        <v>d</v>
      </c>
      <c r="B583" s="1">
        <v>44233</v>
      </c>
      <c r="C583" s="1">
        <v>44231</v>
      </c>
      <c r="D583" s="1" t="s">
        <v>62</v>
      </c>
      <c r="E583" s="2" t="s">
        <v>405</v>
      </c>
      <c r="F583" s="1"/>
      <c r="G583" s="2">
        <v>6</v>
      </c>
      <c r="H583" s="1"/>
      <c r="I583" t="s">
        <v>1</v>
      </c>
      <c r="J583" t="s">
        <v>64</v>
      </c>
      <c r="K583" t="s">
        <v>379</v>
      </c>
      <c r="L583" t="s">
        <v>407</v>
      </c>
      <c r="M583" s="3" t="s">
        <v>553</v>
      </c>
      <c r="N583"/>
    </row>
    <row r="584" spans="1:14" hidden="1" x14ac:dyDescent="0.25">
      <c r="A584" s="1" t="str">
        <f>VLOOKUP(Table2[[#This Row],[Prod Line ]],Lists!A:E,5,0)</f>
        <v>b</v>
      </c>
      <c r="B584" s="1">
        <v>44233</v>
      </c>
      <c r="C584" s="1">
        <v>44231</v>
      </c>
      <c r="D584" s="1" t="s">
        <v>58</v>
      </c>
      <c r="E584" s="2" t="s">
        <v>404</v>
      </c>
      <c r="F584" s="1"/>
      <c r="G584" s="2">
        <v>6</v>
      </c>
      <c r="H584" s="1"/>
      <c r="I584" t="s">
        <v>1</v>
      </c>
      <c r="J584" t="s">
        <v>67</v>
      </c>
      <c r="K584" t="s">
        <v>67</v>
      </c>
      <c r="L584" t="s">
        <v>441</v>
      </c>
      <c r="M584" s="3" t="s">
        <v>829</v>
      </c>
      <c r="N584"/>
    </row>
    <row r="585" spans="1:14" hidden="1" x14ac:dyDescent="0.25">
      <c r="A585" s="1" t="str">
        <f>VLOOKUP(Table2[[#This Row],[Prod Line ]],Lists!A:E,5,0)</f>
        <v>b</v>
      </c>
      <c r="B585" s="1">
        <v>44233</v>
      </c>
      <c r="C585" s="1">
        <v>44231</v>
      </c>
      <c r="D585" s="1" t="s">
        <v>58</v>
      </c>
      <c r="E585" s="2" t="s">
        <v>404</v>
      </c>
      <c r="F585" s="1"/>
      <c r="G585" s="2">
        <v>3</v>
      </c>
      <c r="H585" s="1"/>
      <c r="I585" t="s">
        <v>1</v>
      </c>
      <c r="J585" t="s">
        <v>2</v>
      </c>
      <c r="K585" t="s">
        <v>19</v>
      </c>
      <c r="L585" t="s">
        <v>72</v>
      </c>
      <c r="M585" s="3" t="s">
        <v>830</v>
      </c>
      <c r="N585"/>
    </row>
    <row r="586" spans="1:14" hidden="1" x14ac:dyDescent="0.25">
      <c r="A586" s="1" t="str">
        <f>VLOOKUP(Table2[[#This Row],[Prod Line ]],Lists!A:E,5,0)</f>
        <v>c</v>
      </c>
      <c r="B586" s="1">
        <v>44233</v>
      </c>
      <c r="C586" s="1">
        <v>44232</v>
      </c>
      <c r="D586" s="1" t="s">
        <v>60</v>
      </c>
      <c r="E586" s="2" t="s">
        <v>404</v>
      </c>
      <c r="F586" s="1"/>
      <c r="G586" s="2">
        <v>8</v>
      </c>
      <c r="H586" s="1"/>
      <c r="I586" t="s">
        <v>1</v>
      </c>
      <c r="J586" t="s">
        <v>2</v>
      </c>
      <c r="K586" t="s">
        <v>378</v>
      </c>
      <c r="L586" t="s">
        <v>349</v>
      </c>
      <c r="M586" s="3" t="s">
        <v>831</v>
      </c>
      <c r="N586"/>
    </row>
    <row r="587" spans="1:14" hidden="1" x14ac:dyDescent="0.25">
      <c r="A587" s="1" t="str">
        <f>VLOOKUP(Table2[[#This Row],[Prod Line ]],Lists!A:E,5,0)</f>
        <v>b</v>
      </c>
      <c r="B587" s="1">
        <v>44235</v>
      </c>
      <c r="C587" s="1">
        <v>44233</v>
      </c>
      <c r="D587" s="1" t="s">
        <v>58</v>
      </c>
      <c r="E587" s="2" t="s">
        <v>404</v>
      </c>
      <c r="F587" s="1"/>
      <c r="G587" s="2">
        <v>23</v>
      </c>
      <c r="H587" s="1"/>
      <c r="I587" t="s">
        <v>0</v>
      </c>
      <c r="J587" t="s">
        <v>65</v>
      </c>
      <c r="K587" t="s">
        <v>3</v>
      </c>
      <c r="L587" t="s">
        <v>70</v>
      </c>
      <c r="M587" s="3" t="s">
        <v>832</v>
      </c>
    </row>
    <row r="588" spans="1:14" hidden="1" x14ac:dyDescent="0.25">
      <c r="A588" s="1" t="str">
        <f>VLOOKUP(Table2[[#This Row],[Prod Line ]],Lists!A:E,5,0)</f>
        <v>b</v>
      </c>
      <c r="B588" s="1">
        <v>44235</v>
      </c>
      <c r="C588" s="1">
        <v>44233</v>
      </c>
      <c r="D588" s="1" t="s">
        <v>58</v>
      </c>
      <c r="E588" s="2" t="s">
        <v>406</v>
      </c>
      <c r="F588" s="1"/>
      <c r="G588" s="2">
        <v>4</v>
      </c>
      <c r="H588" s="1"/>
      <c r="I588" t="s">
        <v>1</v>
      </c>
      <c r="J588" t="s">
        <v>65</v>
      </c>
      <c r="K588" t="s">
        <v>27</v>
      </c>
      <c r="L588" t="s">
        <v>441</v>
      </c>
      <c r="M588" s="3" t="s">
        <v>428</v>
      </c>
      <c r="N588"/>
    </row>
    <row r="589" spans="1:14" hidden="1" x14ac:dyDescent="0.25">
      <c r="A589" s="1" t="str">
        <f>VLOOKUP(Table2[[#This Row],[Prod Line ]],Lists!A:E,5,0)</f>
        <v>d</v>
      </c>
      <c r="B589" s="1">
        <v>44235</v>
      </c>
      <c r="C589" s="1">
        <v>44233</v>
      </c>
      <c r="D589" s="1" t="s">
        <v>62</v>
      </c>
      <c r="E589" s="2" t="s">
        <v>406</v>
      </c>
      <c r="F589" s="1"/>
      <c r="G589" s="2">
        <v>33</v>
      </c>
      <c r="H589" s="1"/>
      <c r="I589" t="s">
        <v>1</v>
      </c>
      <c r="J589" t="s">
        <v>64</v>
      </c>
      <c r="K589" t="s">
        <v>379</v>
      </c>
      <c r="L589" t="s">
        <v>407</v>
      </c>
      <c r="M589" s="3" t="s">
        <v>833</v>
      </c>
      <c r="N589"/>
    </row>
    <row r="590" spans="1:14" hidden="1" x14ac:dyDescent="0.25">
      <c r="A590" s="1" t="str">
        <f>VLOOKUP(Table2[[#This Row],[Prod Line ]],Lists!A:E,5,0)</f>
        <v>d</v>
      </c>
      <c r="B590" s="1">
        <v>44235</v>
      </c>
      <c r="C590" s="1">
        <v>44233</v>
      </c>
      <c r="D590" s="1" t="s">
        <v>62</v>
      </c>
      <c r="E590" s="2" t="s">
        <v>405</v>
      </c>
      <c r="F590" s="1"/>
      <c r="G590" s="2">
        <v>20</v>
      </c>
      <c r="H590" s="1"/>
      <c r="I590" t="s">
        <v>1</v>
      </c>
      <c r="J590" t="s">
        <v>2</v>
      </c>
      <c r="K590" t="s">
        <v>19</v>
      </c>
      <c r="L590" t="s">
        <v>407</v>
      </c>
      <c r="M590" s="3" t="s">
        <v>48</v>
      </c>
      <c r="N590"/>
    </row>
    <row r="591" spans="1:14" hidden="1" x14ac:dyDescent="0.25">
      <c r="A591" s="1" t="str">
        <f>VLOOKUP(Table2[[#This Row],[Prod Line ]],Lists!A:E,5,0)</f>
        <v>d</v>
      </c>
      <c r="B591" s="1">
        <v>44235</v>
      </c>
      <c r="C591" s="1">
        <v>44233</v>
      </c>
      <c r="D591" s="1" t="s">
        <v>62</v>
      </c>
      <c r="E591" s="2" t="s">
        <v>405</v>
      </c>
      <c r="F591" s="1"/>
      <c r="G591" s="2">
        <v>16</v>
      </c>
      <c r="H591" s="1"/>
      <c r="I591" t="s">
        <v>1</v>
      </c>
      <c r="J591" t="s">
        <v>2</v>
      </c>
      <c r="K591" t="s">
        <v>19</v>
      </c>
      <c r="L591" t="s">
        <v>407</v>
      </c>
      <c r="M591" s="3" t="s">
        <v>834</v>
      </c>
      <c r="N591"/>
    </row>
    <row r="592" spans="1:14" hidden="1" x14ac:dyDescent="0.25">
      <c r="A592" s="1" t="str">
        <f>VLOOKUP(Table2[[#This Row],[Prod Line ]],Lists!A:E,5,0)</f>
        <v>d</v>
      </c>
      <c r="B592" s="1">
        <v>44235</v>
      </c>
      <c r="C592" s="1">
        <v>44233</v>
      </c>
      <c r="D592" s="1" t="s">
        <v>62</v>
      </c>
      <c r="E592" s="2" t="s">
        <v>405</v>
      </c>
      <c r="F592" s="1"/>
      <c r="G592" s="2">
        <v>5</v>
      </c>
      <c r="H592" s="1"/>
      <c r="I592" t="s">
        <v>1</v>
      </c>
      <c r="J592" t="s">
        <v>64</v>
      </c>
      <c r="K592" t="s">
        <v>379</v>
      </c>
      <c r="L592" t="s">
        <v>407</v>
      </c>
      <c r="M592" s="3" t="s">
        <v>835</v>
      </c>
      <c r="N592"/>
    </row>
    <row r="593" spans="1:16" hidden="1" x14ac:dyDescent="0.25">
      <c r="A593" s="1" t="str">
        <f>VLOOKUP(Table2[[#This Row],[Prod Line ]],Lists!A:E,5,0)</f>
        <v>b</v>
      </c>
      <c r="B593" s="1">
        <v>44236</v>
      </c>
      <c r="C593" s="1">
        <v>44234</v>
      </c>
      <c r="D593" s="1" t="s">
        <v>58</v>
      </c>
      <c r="E593" s="2" t="s">
        <v>404</v>
      </c>
      <c r="F593" s="1"/>
      <c r="G593" s="2">
        <v>6</v>
      </c>
      <c r="H593" s="1"/>
      <c r="I593" t="s">
        <v>0</v>
      </c>
      <c r="J593" t="s">
        <v>65</v>
      </c>
      <c r="K593" t="s">
        <v>27</v>
      </c>
      <c r="L593" t="s">
        <v>69</v>
      </c>
      <c r="M593" s="3" t="s">
        <v>836</v>
      </c>
    </row>
    <row r="594" spans="1:16" hidden="1" x14ac:dyDescent="0.25">
      <c r="A594" s="1" t="str">
        <f>VLOOKUP(Table2[[#This Row],[Prod Line ]],Lists!A:E,5,0)</f>
        <v>b</v>
      </c>
      <c r="B594" s="1">
        <v>44236</v>
      </c>
      <c r="C594" s="1">
        <v>44234</v>
      </c>
      <c r="D594" s="1" t="s">
        <v>58</v>
      </c>
      <c r="E594" s="2" t="s">
        <v>404</v>
      </c>
      <c r="F594" s="1"/>
      <c r="G594" s="2">
        <v>2</v>
      </c>
      <c r="H594" s="1"/>
      <c r="I594" t="s">
        <v>1</v>
      </c>
      <c r="J594" t="s">
        <v>26</v>
      </c>
      <c r="K594" t="s">
        <v>25</v>
      </c>
      <c r="L594" t="s">
        <v>441</v>
      </c>
      <c r="M594" s="3" t="s">
        <v>837</v>
      </c>
      <c r="N594"/>
    </row>
    <row r="595" spans="1:16" hidden="1" x14ac:dyDescent="0.25">
      <c r="A595" s="1" t="str">
        <f>VLOOKUP(Table2[[#This Row],[Prod Line ]],Lists!A:E,5,0)</f>
        <v>d</v>
      </c>
      <c r="B595" s="1">
        <v>44236</v>
      </c>
      <c r="C595" s="1">
        <v>44234</v>
      </c>
      <c r="D595" s="1" t="s">
        <v>62</v>
      </c>
      <c r="E595" s="2" t="s">
        <v>404</v>
      </c>
      <c r="F595" s="1"/>
      <c r="G595" s="2">
        <v>10</v>
      </c>
      <c r="H595" s="1"/>
      <c r="I595" t="s">
        <v>1</v>
      </c>
      <c r="J595" t="s">
        <v>5</v>
      </c>
      <c r="K595" t="s">
        <v>397</v>
      </c>
      <c r="L595" t="s">
        <v>407</v>
      </c>
      <c r="M595" s="3" t="s">
        <v>838</v>
      </c>
      <c r="N595"/>
    </row>
    <row r="596" spans="1:16" hidden="1" x14ac:dyDescent="0.25">
      <c r="A596" s="1" t="str">
        <f>VLOOKUP(Table2[[#This Row],[Prod Line ]],Lists!A:E,5,0)</f>
        <v>d</v>
      </c>
      <c r="B596" s="1">
        <v>44236</v>
      </c>
      <c r="C596" s="1">
        <v>44234</v>
      </c>
      <c r="D596" s="1" t="s">
        <v>62</v>
      </c>
      <c r="E596" s="2" t="s">
        <v>404</v>
      </c>
      <c r="F596" s="1"/>
      <c r="G596" s="2">
        <v>6</v>
      </c>
      <c r="H596" s="1"/>
      <c r="I596" t="s">
        <v>1</v>
      </c>
      <c r="J596" t="s">
        <v>64</v>
      </c>
      <c r="K596" t="s">
        <v>379</v>
      </c>
      <c r="L596" t="s">
        <v>407</v>
      </c>
      <c r="M596" s="3" t="s">
        <v>610</v>
      </c>
      <c r="N596"/>
    </row>
    <row r="597" spans="1:16" hidden="1" x14ac:dyDescent="0.25">
      <c r="A597" s="1" t="str">
        <f>VLOOKUP(Table2[[#This Row],[Prod Line ]],Lists!A:E,5,0)</f>
        <v>d</v>
      </c>
      <c r="B597" s="1">
        <v>44236</v>
      </c>
      <c r="C597" s="1">
        <v>44234</v>
      </c>
      <c r="D597" s="1" t="s">
        <v>62</v>
      </c>
      <c r="E597" s="2" t="s">
        <v>404</v>
      </c>
      <c r="F597" s="1"/>
      <c r="G597" s="2">
        <v>3</v>
      </c>
      <c r="H597" s="1"/>
      <c r="I597" t="s">
        <v>1</v>
      </c>
      <c r="J597" t="s">
        <v>64</v>
      </c>
      <c r="K597" t="s">
        <v>379</v>
      </c>
      <c r="L597" t="s">
        <v>407</v>
      </c>
      <c r="M597" s="3" t="s">
        <v>833</v>
      </c>
      <c r="N597"/>
    </row>
    <row r="598" spans="1:16" hidden="1" x14ac:dyDescent="0.25">
      <c r="A598" s="1" t="str">
        <f>VLOOKUP(Table2[[#This Row],[Prod Line ]],Lists!A:E,5,0)</f>
        <v>d</v>
      </c>
      <c r="B598" s="1">
        <v>44236</v>
      </c>
      <c r="C598" s="1">
        <v>44234</v>
      </c>
      <c r="D598" s="1" t="s">
        <v>62</v>
      </c>
      <c r="E598" s="2" t="s">
        <v>405</v>
      </c>
      <c r="F598" s="1"/>
      <c r="G598" s="2">
        <v>14</v>
      </c>
      <c r="H598" s="1"/>
      <c r="I598" t="s">
        <v>1</v>
      </c>
      <c r="J598" t="s">
        <v>64</v>
      </c>
      <c r="K598" t="s">
        <v>379</v>
      </c>
      <c r="L598" t="s">
        <v>407</v>
      </c>
      <c r="M598" s="3" t="s">
        <v>839</v>
      </c>
      <c r="N598"/>
    </row>
    <row r="599" spans="1:16" hidden="1" x14ac:dyDescent="0.25">
      <c r="A599" s="1" t="str">
        <f>VLOOKUP(Table2[[#This Row],[Prod Line ]],Lists!A:E,5,0)</f>
        <v>d</v>
      </c>
      <c r="B599" s="1">
        <v>44236</v>
      </c>
      <c r="C599" s="1">
        <v>44234</v>
      </c>
      <c r="D599" s="1" t="s">
        <v>62</v>
      </c>
      <c r="E599" s="2" t="s">
        <v>405</v>
      </c>
      <c r="F599" s="1"/>
      <c r="G599" s="2">
        <v>5</v>
      </c>
      <c r="H599" s="1"/>
      <c r="I599" t="s">
        <v>1</v>
      </c>
      <c r="J599" t="s">
        <v>2</v>
      </c>
      <c r="K599" t="s">
        <v>19</v>
      </c>
      <c r="L599" t="s">
        <v>349</v>
      </c>
      <c r="M599" s="3" t="s">
        <v>575</v>
      </c>
      <c r="N599"/>
    </row>
    <row r="600" spans="1:16" hidden="1" x14ac:dyDescent="0.25">
      <c r="A600" s="1" t="str">
        <f>VLOOKUP(Table2[[#This Row],[Prod Line ]],Lists!A:E,5,0)</f>
        <v>d</v>
      </c>
      <c r="B600" s="1">
        <v>44236</v>
      </c>
      <c r="C600" s="1">
        <v>44234</v>
      </c>
      <c r="D600" s="1" t="s">
        <v>62</v>
      </c>
      <c r="E600" s="2" t="s">
        <v>405</v>
      </c>
      <c r="F600" s="1"/>
      <c r="G600" s="2">
        <v>5</v>
      </c>
      <c r="H600" s="1"/>
      <c r="I600" t="s">
        <v>1</v>
      </c>
      <c r="J600" t="s">
        <v>64</v>
      </c>
      <c r="K600" t="s">
        <v>379</v>
      </c>
      <c r="L600" t="s">
        <v>407</v>
      </c>
      <c r="M600" s="3" t="s">
        <v>835</v>
      </c>
      <c r="N600"/>
    </row>
    <row r="601" spans="1:16" hidden="1" x14ac:dyDescent="0.25">
      <c r="A601" s="1" t="str">
        <f>VLOOKUP(Table2[[#This Row],[Prod Line ]],Lists!A:E,5,0)</f>
        <v>a</v>
      </c>
      <c r="B601" s="1">
        <v>44238</v>
      </c>
      <c r="C601" s="1">
        <v>44236</v>
      </c>
      <c r="D601" s="1" t="s">
        <v>56</v>
      </c>
      <c r="E601" s="2" t="s">
        <v>404</v>
      </c>
      <c r="F601" s="1"/>
      <c r="G601" s="2">
        <v>5</v>
      </c>
      <c r="H601" s="1"/>
      <c r="I601" t="s">
        <v>0</v>
      </c>
      <c r="J601" t="s">
        <v>5</v>
      </c>
      <c r="K601" t="s">
        <v>376</v>
      </c>
      <c r="L601" t="s">
        <v>70</v>
      </c>
      <c r="M601" s="3" t="s">
        <v>840</v>
      </c>
    </row>
    <row r="602" spans="1:16" hidden="1" x14ac:dyDescent="0.25">
      <c r="A602" s="1" t="str">
        <f>VLOOKUP(Table2[[#This Row],[Prod Line ]],Lists!A:E,5,0)</f>
        <v>c</v>
      </c>
      <c r="B602" s="1">
        <v>44238</v>
      </c>
      <c r="C602" s="1">
        <v>44236</v>
      </c>
      <c r="D602" s="1" t="s">
        <v>60</v>
      </c>
      <c r="E602" s="2" t="s">
        <v>404</v>
      </c>
      <c r="F602" s="1"/>
      <c r="G602" s="2">
        <v>10</v>
      </c>
      <c r="H602" s="1"/>
      <c r="I602" t="s">
        <v>1</v>
      </c>
      <c r="J602" t="s">
        <v>26</v>
      </c>
      <c r="K602" t="s">
        <v>26</v>
      </c>
      <c r="L602" t="s">
        <v>430</v>
      </c>
      <c r="M602" s="3" t="s">
        <v>841</v>
      </c>
      <c r="N602"/>
    </row>
    <row r="603" spans="1:16" hidden="1" x14ac:dyDescent="0.25">
      <c r="A603" s="1" t="str">
        <f>VLOOKUP(Table2[[#This Row],[Prod Line ]],Lists!A:E,5,0)</f>
        <v>d</v>
      </c>
      <c r="B603" s="1">
        <v>44238</v>
      </c>
      <c r="C603" s="1">
        <v>44236</v>
      </c>
      <c r="D603" s="1" t="s">
        <v>62</v>
      </c>
      <c r="E603" s="2" t="s">
        <v>405</v>
      </c>
      <c r="F603" s="1"/>
      <c r="G603" s="2">
        <v>6</v>
      </c>
      <c r="H603" s="1"/>
      <c r="I603" t="s">
        <v>1</v>
      </c>
      <c r="J603" t="s">
        <v>64</v>
      </c>
      <c r="K603" t="s">
        <v>379</v>
      </c>
      <c r="L603" t="s">
        <v>407</v>
      </c>
      <c r="M603" s="3" t="s">
        <v>553</v>
      </c>
      <c r="N603"/>
    </row>
    <row r="604" spans="1:16" hidden="1" x14ac:dyDescent="0.25">
      <c r="A604" s="1" t="str">
        <f>VLOOKUP(Table2[[#This Row],[Prod Line ]],Lists!A:E,5,0)</f>
        <v>d</v>
      </c>
      <c r="B604" s="1">
        <v>44238</v>
      </c>
      <c r="C604" s="1">
        <v>44236</v>
      </c>
      <c r="D604" s="1" t="s">
        <v>62</v>
      </c>
      <c r="E604" s="2" t="s">
        <v>405</v>
      </c>
      <c r="F604" s="1"/>
      <c r="G604" s="2">
        <v>3</v>
      </c>
      <c r="H604" s="1"/>
      <c r="I604" t="s">
        <v>1</v>
      </c>
      <c r="J604" t="s">
        <v>64</v>
      </c>
      <c r="K604" t="s">
        <v>379</v>
      </c>
      <c r="L604" t="s">
        <v>407</v>
      </c>
      <c r="M604" s="3" t="s">
        <v>821</v>
      </c>
      <c r="N604"/>
    </row>
    <row r="605" spans="1:16" hidden="1" x14ac:dyDescent="0.25">
      <c r="A605" s="1" t="str">
        <f>VLOOKUP(Table2[[#This Row],[Prod Line ]],Lists!A:E,5,0)</f>
        <v>d</v>
      </c>
      <c r="B605" s="1">
        <v>44238</v>
      </c>
      <c r="C605" s="1">
        <v>44236</v>
      </c>
      <c r="D605" s="1" t="s">
        <v>62</v>
      </c>
      <c r="E605" s="2" t="s">
        <v>406</v>
      </c>
      <c r="F605" s="1"/>
      <c r="G605" s="2">
        <v>21</v>
      </c>
      <c r="H605" s="1"/>
      <c r="I605" t="s">
        <v>1</v>
      </c>
      <c r="J605" t="s">
        <v>67</v>
      </c>
      <c r="K605" t="s">
        <v>67</v>
      </c>
      <c r="L605" t="s">
        <v>72</v>
      </c>
      <c r="M605" s="3" t="s">
        <v>842</v>
      </c>
      <c r="N605"/>
    </row>
    <row r="606" spans="1:16" hidden="1" x14ac:dyDescent="0.25">
      <c r="A606" s="1" t="str">
        <f>VLOOKUP(Table2[[#This Row],[Prod Line ]],Lists!A:E,5,0)</f>
        <v>b</v>
      </c>
      <c r="B606" s="1">
        <v>44239</v>
      </c>
      <c r="C606" s="1">
        <v>44237</v>
      </c>
      <c r="D606" s="1" t="s">
        <v>58</v>
      </c>
      <c r="E606" s="2" t="s">
        <v>404</v>
      </c>
      <c r="F606" s="1"/>
      <c r="G606" s="2">
        <v>50</v>
      </c>
      <c r="H606" s="1" t="s">
        <v>0</v>
      </c>
      <c r="I606" t="s">
        <v>0</v>
      </c>
      <c r="J606" t="s">
        <v>5</v>
      </c>
      <c r="K606" t="s">
        <v>39</v>
      </c>
      <c r="L606" t="s">
        <v>70</v>
      </c>
      <c r="M606" s="3" t="s">
        <v>843</v>
      </c>
      <c r="N606" s="20" t="s">
        <v>957</v>
      </c>
      <c r="O606" t="s">
        <v>958</v>
      </c>
      <c r="P606" t="s">
        <v>949</v>
      </c>
    </row>
    <row r="607" spans="1:16" hidden="1" x14ac:dyDescent="0.25">
      <c r="A607" s="1" t="str">
        <f>VLOOKUP(Table2[[#This Row],[Prod Line ]],Lists!A:E,5,0)</f>
        <v>b</v>
      </c>
      <c r="B607" s="1">
        <v>44239</v>
      </c>
      <c r="C607" s="1">
        <v>44237</v>
      </c>
      <c r="D607" s="1" t="s">
        <v>58</v>
      </c>
      <c r="E607" s="2" t="s">
        <v>405</v>
      </c>
      <c r="F607" s="1"/>
      <c r="G607" s="2">
        <v>23</v>
      </c>
      <c r="H607" s="1" t="s">
        <v>0</v>
      </c>
      <c r="I607" t="s">
        <v>0</v>
      </c>
      <c r="J607" t="s">
        <v>5</v>
      </c>
      <c r="K607" t="s">
        <v>39</v>
      </c>
      <c r="L607" t="s">
        <v>70</v>
      </c>
      <c r="M607" s="3" t="s">
        <v>844</v>
      </c>
      <c r="N607" s="20" t="s">
        <v>957</v>
      </c>
      <c r="O607" t="s">
        <v>958</v>
      </c>
      <c r="P607" t="s">
        <v>949</v>
      </c>
    </row>
    <row r="608" spans="1:16" hidden="1" x14ac:dyDescent="0.25">
      <c r="A608" s="1" t="str">
        <f>VLOOKUP(Table2[[#This Row],[Prod Line ]],Lists!A:E,5,0)</f>
        <v>b</v>
      </c>
      <c r="B608" s="1">
        <v>44239</v>
      </c>
      <c r="C608" s="1">
        <v>44237</v>
      </c>
      <c r="D608" s="1" t="s">
        <v>58</v>
      </c>
      <c r="E608" s="2" t="s">
        <v>406</v>
      </c>
      <c r="F608" s="1"/>
      <c r="G608" s="2">
        <v>25</v>
      </c>
      <c r="H608" s="1" t="s">
        <v>0</v>
      </c>
      <c r="I608" t="s">
        <v>0</v>
      </c>
      <c r="J608" t="s">
        <v>5</v>
      </c>
      <c r="K608" t="s">
        <v>39</v>
      </c>
      <c r="L608" t="s">
        <v>70</v>
      </c>
      <c r="M608" s="3" t="s">
        <v>845</v>
      </c>
      <c r="N608" s="20" t="s">
        <v>957</v>
      </c>
      <c r="O608" t="s">
        <v>958</v>
      </c>
      <c r="P608" t="s">
        <v>949</v>
      </c>
    </row>
    <row r="609" spans="1:14" hidden="1" x14ac:dyDescent="0.25">
      <c r="A609" s="1" t="str">
        <f>VLOOKUP(Table2[[#This Row],[Prod Line ]],Lists!A:E,5,0)</f>
        <v>d</v>
      </c>
      <c r="B609" s="1">
        <v>44239</v>
      </c>
      <c r="C609" s="1">
        <v>44237</v>
      </c>
      <c r="D609" s="1" t="s">
        <v>62</v>
      </c>
      <c r="E609" s="2" t="s">
        <v>406</v>
      </c>
      <c r="F609" s="1"/>
      <c r="G609" s="2">
        <v>6</v>
      </c>
      <c r="H609" s="1"/>
      <c r="I609" t="s">
        <v>1</v>
      </c>
      <c r="J609" t="s">
        <v>2</v>
      </c>
      <c r="K609" t="s">
        <v>19</v>
      </c>
      <c r="L609" t="s">
        <v>349</v>
      </c>
      <c r="M609" s="3" t="s">
        <v>846</v>
      </c>
      <c r="N609"/>
    </row>
    <row r="610" spans="1:14" hidden="1" x14ac:dyDescent="0.25">
      <c r="A610" s="1" t="str">
        <f>VLOOKUP(Table2[[#This Row],[Prod Line ]],Lists!A:E,5,0)</f>
        <v>d</v>
      </c>
      <c r="B610" s="1">
        <v>44239</v>
      </c>
      <c r="C610" s="1">
        <v>44237</v>
      </c>
      <c r="D610" s="1" t="s">
        <v>62</v>
      </c>
      <c r="E610" s="2" t="s">
        <v>404</v>
      </c>
      <c r="F610" s="1"/>
      <c r="G610" s="2">
        <v>5</v>
      </c>
      <c r="H610" s="1"/>
      <c r="I610" t="s">
        <v>1</v>
      </c>
      <c r="J610" t="s">
        <v>64</v>
      </c>
      <c r="K610" t="s">
        <v>379</v>
      </c>
      <c r="L610" t="s">
        <v>407</v>
      </c>
      <c r="M610" s="3" t="s">
        <v>553</v>
      </c>
      <c r="N610"/>
    </row>
    <row r="611" spans="1:14" hidden="1" x14ac:dyDescent="0.25">
      <c r="A611" s="1" t="str">
        <f>VLOOKUP(Table2[[#This Row],[Prod Line ]],Lists!A:E,5,0)</f>
        <v>d</v>
      </c>
      <c r="B611" s="1">
        <v>44239</v>
      </c>
      <c r="C611" s="1">
        <v>44237</v>
      </c>
      <c r="D611" s="1" t="s">
        <v>62</v>
      </c>
      <c r="E611" s="2" t="s">
        <v>404</v>
      </c>
      <c r="F611" s="1"/>
      <c r="G611" s="2">
        <v>4</v>
      </c>
      <c r="H611" s="1"/>
      <c r="I611" t="s">
        <v>1</v>
      </c>
      <c r="J611" t="s">
        <v>64</v>
      </c>
      <c r="K611" t="s">
        <v>379</v>
      </c>
      <c r="L611" t="s">
        <v>407</v>
      </c>
      <c r="M611" s="3" t="s">
        <v>847</v>
      </c>
      <c r="N611"/>
    </row>
    <row r="612" spans="1:14" hidden="1" x14ac:dyDescent="0.25">
      <c r="A612" s="1" t="str">
        <f>VLOOKUP(Table2[[#This Row],[Prod Line ]],Lists!A:E,5,0)</f>
        <v>d</v>
      </c>
      <c r="B612" s="1">
        <v>44239</v>
      </c>
      <c r="C612" s="1">
        <v>44237</v>
      </c>
      <c r="D612" s="1" t="s">
        <v>62</v>
      </c>
      <c r="E612" s="2" t="s">
        <v>405</v>
      </c>
      <c r="F612" s="1"/>
      <c r="G612" s="2">
        <v>22</v>
      </c>
      <c r="H612" s="1" t="s">
        <v>1</v>
      </c>
      <c r="I612" t="s">
        <v>1</v>
      </c>
      <c r="J612" t="s">
        <v>5</v>
      </c>
      <c r="K612" t="s">
        <v>397</v>
      </c>
      <c r="L612" t="s">
        <v>407</v>
      </c>
      <c r="M612" s="3" t="s">
        <v>848</v>
      </c>
      <c r="N612"/>
    </row>
    <row r="613" spans="1:14" hidden="1" x14ac:dyDescent="0.25">
      <c r="A613" s="1" t="str">
        <f>VLOOKUP(Table2[[#This Row],[Prod Line ]],Lists!A:E,5,0)</f>
        <v>d</v>
      </c>
      <c r="B613" s="1">
        <v>44239</v>
      </c>
      <c r="C613" s="1">
        <v>44237</v>
      </c>
      <c r="D613" s="1" t="s">
        <v>62</v>
      </c>
      <c r="E613" s="2" t="s">
        <v>405</v>
      </c>
      <c r="F613" s="1"/>
      <c r="G613" s="2">
        <v>10</v>
      </c>
      <c r="H613" s="1"/>
      <c r="I613" t="s">
        <v>1</v>
      </c>
      <c r="J613" t="s">
        <v>64</v>
      </c>
      <c r="K613" t="s">
        <v>379</v>
      </c>
      <c r="L613" t="s">
        <v>407</v>
      </c>
      <c r="M613" s="3" t="s">
        <v>849</v>
      </c>
      <c r="N613"/>
    </row>
    <row r="614" spans="1:14" hidden="1" x14ac:dyDescent="0.25">
      <c r="A614" s="1" t="str">
        <f>VLOOKUP(Table2[[#This Row],[Prod Line ]],Lists!A:E,5,0)</f>
        <v>d</v>
      </c>
      <c r="B614" s="1">
        <v>44240</v>
      </c>
      <c r="C614" s="1">
        <v>44238</v>
      </c>
      <c r="D614" s="1" t="s">
        <v>62</v>
      </c>
      <c r="E614" s="2" t="s">
        <v>406</v>
      </c>
      <c r="F614" s="1"/>
      <c r="G614" s="2">
        <v>5</v>
      </c>
      <c r="H614" s="1"/>
      <c r="I614" t="s">
        <v>0</v>
      </c>
      <c r="J614" t="s">
        <v>2</v>
      </c>
      <c r="K614" t="s">
        <v>14</v>
      </c>
      <c r="L614" t="s">
        <v>70</v>
      </c>
      <c r="M614" s="3" t="s">
        <v>850</v>
      </c>
    </row>
    <row r="615" spans="1:14" hidden="1" x14ac:dyDescent="0.25">
      <c r="A615" s="1" t="str">
        <f>VLOOKUP(Table2[[#This Row],[Prod Line ]],Lists!A:E,5,0)</f>
        <v>d</v>
      </c>
      <c r="B615" s="1">
        <v>44240</v>
      </c>
      <c r="C615" s="1">
        <v>44238</v>
      </c>
      <c r="D615" s="1" t="s">
        <v>62</v>
      </c>
      <c r="E615" s="2" t="s">
        <v>405</v>
      </c>
      <c r="F615" s="1"/>
      <c r="G615" s="2">
        <v>35</v>
      </c>
      <c r="H615" s="1"/>
      <c r="I615" t="s">
        <v>1</v>
      </c>
      <c r="J615" t="s">
        <v>64</v>
      </c>
      <c r="K615" t="s">
        <v>379</v>
      </c>
      <c r="L615" t="s">
        <v>407</v>
      </c>
      <c r="M615" s="3" t="s">
        <v>851</v>
      </c>
      <c r="N615"/>
    </row>
    <row r="616" spans="1:14" hidden="1" x14ac:dyDescent="0.25">
      <c r="A616" s="1" t="str">
        <f>VLOOKUP(Table2[[#This Row],[Prod Line ]],Lists!A:E,5,0)</f>
        <v>c</v>
      </c>
      <c r="B616" s="1">
        <v>44240</v>
      </c>
      <c r="C616" s="1">
        <v>44239</v>
      </c>
      <c r="D616" s="1" t="s">
        <v>60</v>
      </c>
      <c r="E616" s="2" t="s">
        <v>404</v>
      </c>
      <c r="F616" s="1"/>
      <c r="G616" s="2">
        <v>46</v>
      </c>
      <c r="H616" s="1"/>
      <c r="I616" t="s">
        <v>1</v>
      </c>
      <c r="J616" t="s">
        <v>2</v>
      </c>
      <c r="K616" t="s">
        <v>19</v>
      </c>
      <c r="L616" t="s">
        <v>349</v>
      </c>
      <c r="M616" s="3" t="s">
        <v>575</v>
      </c>
      <c r="N616"/>
    </row>
    <row r="617" spans="1:14" hidden="1" x14ac:dyDescent="0.25">
      <c r="A617" s="1" t="str">
        <f>VLOOKUP(Table2[[#This Row],[Prod Line ]],Lists!A:E,5,0)</f>
        <v>b</v>
      </c>
      <c r="B617" s="1">
        <v>44242</v>
      </c>
      <c r="C617" s="1">
        <v>44240</v>
      </c>
      <c r="D617" s="1" t="s">
        <v>58</v>
      </c>
      <c r="E617" s="2" t="s">
        <v>406</v>
      </c>
      <c r="F617" s="1"/>
      <c r="G617" s="2">
        <v>4</v>
      </c>
      <c r="H617" s="1"/>
      <c r="I617" t="s">
        <v>1</v>
      </c>
      <c r="J617" t="s">
        <v>67</v>
      </c>
      <c r="K617" t="s">
        <v>67</v>
      </c>
      <c r="L617" t="s">
        <v>350</v>
      </c>
      <c r="M617" s="3" t="s">
        <v>612</v>
      </c>
      <c r="N617"/>
    </row>
    <row r="618" spans="1:14" hidden="1" x14ac:dyDescent="0.25">
      <c r="A618" s="1" t="str">
        <f>VLOOKUP(Table2[[#This Row],[Prod Line ]],Lists!A:E,5,0)</f>
        <v>b</v>
      </c>
      <c r="B618" s="1">
        <v>44242</v>
      </c>
      <c r="C618" s="1">
        <v>44240</v>
      </c>
      <c r="D618" s="1" t="s">
        <v>58</v>
      </c>
      <c r="E618" s="2" t="s">
        <v>406</v>
      </c>
      <c r="F618" s="1"/>
      <c r="G618" s="2">
        <v>45</v>
      </c>
      <c r="H618" s="1"/>
      <c r="I618" t="s">
        <v>1</v>
      </c>
      <c r="J618" t="s">
        <v>67</v>
      </c>
      <c r="K618" t="s">
        <v>67</v>
      </c>
      <c r="L618" t="s">
        <v>72</v>
      </c>
      <c r="M618" s="3" t="s">
        <v>852</v>
      </c>
      <c r="N618"/>
    </row>
    <row r="619" spans="1:14" hidden="1" x14ac:dyDescent="0.25">
      <c r="A619" s="1" t="str">
        <f>VLOOKUP(Table2[[#This Row],[Prod Line ]],Lists!A:E,5,0)</f>
        <v>c</v>
      </c>
      <c r="B619" s="1">
        <v>44242</v>
      </c>
      <c r="C619" s="1">
        <v>44240</v>
      </c>
      <c r="D619" s="1" t="s">
        <v>60</v>
      </c>
      <c r="E619" s="2" t="s">
        <v>404</v>
      </c>
      <c r="F619" s="1"/>
      <c r="G619" s="2">
        <v>65</v>
      </c>
      <c r="H619" s="1"/>
      <c r="I619" t="s">
        <v>67</v>
      </c>
      <c r="J619" t="s">
        <v>67</v>
      </c>
      <c r="K619" t="s">
        <v>67</v>
      </c>
      <c r="L619" t="s">
        <v>74</v>
      </c>
      <c r="M619" s="3" t="s">
        <v>853</v>
      </c>
      <c r="N619"/>
    </row>
    <row r="620" spans="1:14" hidden="1" x14ac:dyDescent="0.25">
      <c r="A620" s="1" t="str">
        <f>VLOOKUP(Table2[[#This Row],[Prod Line ]],Lists!A:E,5,0)</f>
        <v>b</v>
      </c>
      <c r="B620" s="1">
        <v>44243</v>
      </c>
      <c r="C620" s="1">
        <v>44241</v>
      </c>
      <c r="D620" s="1" t="s">
        <v>58</v>
      </c>
      <c r="E620" s="2" t="s">
        <v>406</v>
      </c>
      <c r="F620" s="1"/>
      <c r="G620" s="2">
        <v>15</v>
      </c>
      <c r="H620" s="1"/>
      <c r="I620" t="s">
        <v>67</v>
      </c>
      <c r="J620" t="s">
        <v>67</v>
      </c>
      <c r="K620" t="s">
        <v>67</v>
      </c>
      <c r="L620" t="s">
        <v>71</v>
      </c>
      <c r="M620" s="3" t="s">
        <v>756</v>
      </c>
      <c r="N620"/>
    </row>
    <row r="621" spans="1:14" hidden="1" x14ac:dyDescent="0.25">
      <c r="A621" s="1" t="str">
        <f>VLOOKUP(Table2[[#This Row],[Prod Line ]],Lists!A:E,5,0)</f>
        <v>c</v>
      </c>
      <c r="B621" s="1">
        <v>44243</v>
      </c>
      <c r="C621" s="1">
        <v>44241</v>
      </c>
      <c r="D621" s="1" t="s">
        <v>60</v>
      </c>
      <c r="E621" s="2" t="s">
        <v>404</v>
      </c>
      <c r="F621" s="1"/>
      <c r="G621" s="2">
        <v>8</v>
      </c>
      <c r="H621" s="1"/>
      <c r="I621" t="s">
        <v>67</v>
      </c>
      <c r="J621" t="s">
        <v>67</v>
      </c>
      <c r="K621" t="s">
        <v>67</v>
      </c>
      <c r="L621" t="s">
        <v>74</v>
      </c>
      <c r="M621" s="3" t="s">
        <v>853</v>
      </c>
      <c r="N621"/>
    </row>
    <row r="622" spans="1:14" hidden="1" x14ac:dyDescent="0.25">
      <c r="A622" s="1" t="str">
        <f>VLOOKUP(Table2[[#This Row],[Prod Line ]],Lists!A:E,5,0)</f>
        <v>c</v>
      </c>
      <c r="B622" s="1">
        <v>44243</v>
      </c>
      <c r="C622" s="1">
        <v>44241</v>
      </c>
      <c r="D622" s="1" t="s">
        <v>60</v>
      </c>
      <c r="E622" s="2" t="s">
        <v>404</v>
      </c>
      <c r="F622" s="1"/>
      <c r="G622" s="2">
        <v>45</v>
      </c>
      <c r="H622" s="1"/>
      <c r="I622" t="s">
        <v>1</v>
      </c>
      <c r="J622" t="s">
        <v>2</v>
      </c>
      <c r="K622" t="s">
        <v>378</v>
      </c>
      <c r="L622" t="s">
        <v>349</v>
      </c>
      <c r="M622" s="3" t="s">
        <v>797</v>
      </c>
      <c r="N622"/>
    </row>
    <row r="623" spans="1:14" hidden="1" x14ac:dyDescent="0.25">
      <c r="A623" s="1" t="str">
        <f>VLOOKUP(Table2[[#This Row],[Prod Line ]],Lists!A:E,5,0)</f>
        <v>c</v>
      </c>
      <c r="B623" s="1">
        <v>44243</v>
      </c>
      <c r="C623" s="1">
        <v>44241</v>
      </c>
      <c r="D623" s="1" t="s">
        <v>60</v>
      </c>
      <c r="E623" s="2" t="s">
        <v>405</v>
      </c>
      <c r="F623" s="1"/>
      <c r="G623" s="2">
        <v>36</v>
      </c>
      <c r="H623" s="1"/>
      <c r="I623" t="s">
        <v>1</v>
      </c>
      <c r="J623" t="s">
        <v>2</v>
      </c>
      <c r="K623" t="s">
        <v>378</v>
      </c>
      <c r="L623" t="s">
        <v>349</v>
      </c>
      <c r="M623" s="3" t="s">
        <v>854</v>
      </c>
      <c r="N623"/>
    </row>
    <row r="624" spans="1:14" hidden="1" x14ac:dyDescent="0.25">
      <c r="A624" s="1" t="str">
        <f>VLOOKUP(Table2[[#This Row],[Prod Line ]],Lists!A:E,5,0)</f>
        <v>a</v>
      </c>
      <c r="B624" s="1">
        <v>44243</v>
      </c>
      <c r="C624" s="1">
        <v>44241</v>
      </c>
      <c r="D624" s="1" t="s">
        <v>56</v>
      </c>
      <c r="E624" s="2" t="s">
        <v>404</v>
      </c>
      <c r="F624" s="1"/>
      <c r="G624" s="2">
        <v>4</v>
      </c>
      <c r="H624" s="1"/>
      <c r="I624" t="s">
        <v>1</v>
      </c>
      <c r="J624" t="s">
        <v>67</v>
      </c>
      <c r="K624" t="s">
        <v>67</v>
      </c>
      <c r="L624" t="s">
        <v>350</v>
      </c>
      <c r="M624" s="3" t="s">
        <v>612</v>
      </c>
      <c r="N624"/>
    </row>
    <row r="625" spans="1:14" hidden="1" x14ac:dyDescent="0.25">
      <c r="A625" s="1" t="str">
        <f>VLOOKUP(Table2[[#This Row],[Prod Line ]],Lists!A:E,5,0)</f>
        <v>b</v>
      </c>
      <c r="B625" s="1">
        <v>44245</v>
      </c>
      <c r="C625" s="1">
        <v>44243</v>
      </c>
      <c r="D625" s="1" t="s">
        <v>58</v>
      </c>
      <c r="E625" s="2" t="s">
        <v>406</v>
      </c>
      <c r="F625" s="1"/>
      <c r="G625" s="2">
        <v>6</v>
      </c>
      <c r="H625" s="1"/>
      <c r="I625" t="s">
        <v>0</v>
      </c>
      <c r="J625" t="s">
        <v>67</v>
      </c>
      <c r="K625" t="s">
        <v>67</v>
      </c>
      <c r="L625" t="s">
        <v>69</v>
      </c>
      <c r="M625" s="3" t="s">
        <v>862</v>
      </c>
    </row>
    <row r="626" spans="1:14" hidden="1" x14ac:dyDescent="0.25">
      <c r="A626" s="1" t="str">
        <f>VLOOKUP(Table2[[#This Row],[Prod Line ]],Lists!A:E,5,0)</f>
        <v>d</v>
      </c>
      <c r="B626" s="1">
        <v>44245</v>
      </c>
      <c r="C626" s="1">
        <v>44243</v>
      </c>
      <c r="D626" s="1" t="s">
        <v>62</v>
      </c>
      <c r="E626" s="2" t="s">
        <v>405</v>
      </c>
      <c r="F626" s="1"/>
      <c r="G626" s="2">
        <v>5</v>
      </c>
      <c r="H626" s="1"/>
      <c r="I626" t="s">
        <v>1</v>
      </c>
      <c r="J626" t="s">
        <v>64</v>
      </c>
      <c r="K626" t="s">
        <v>379</v>
      </c>
      <c r="L626" t="s">
        <v>407</v>
      </c>
      <c r="M626" s="3" t="s">
        <v>821</v>
      </c>
      <c r="N626"/>
    </row>
    <row r="627" spans="1:14" hidden="1" x14ac:dyDescent="0.25">
      <c r="A627" s="1" t="str">
        <f>VLOOKUP(Table2[[#This Row],[Prod Line ]],Lists!A:E,5,0)</f>
        <v>d</v>
      </c>
      <c r="B627" s="1">
        <v>44245</v>
      </c>
      <c r="C627" s="1">
        <v>44243</v>
      </c>
      <c r="D627" s="1" t="s">
        <v>62</v>
      </c>
      <c r="E627" s="2" t="s">
        <v>405</v>
      </c>
      <c r="F627" s="1"/>
      <c r="G627" s="2">
        <v>7</v>
      </c>
      <c r="H627" s="1"/>
      <c r="I627" t="s">
        <v>1</v>
      </c>
      <c r="J627" t="s">
        <v>66</v>
      </c>
      <c r="K627" t="s">
        <v>4</v>
      </c>
      <c r="L627" t="s">
        <v>407</v>
      </c>
      <c r="M627" s="3" t="s">
        <v>629</v>
      </c>
      <c r="N627"/>
    </row>
    <row r="628" spans="1:14" hidden="1" x14ac:dyDescent="0.25">
      <c r="A628" s="1" t="str">
        <f>VLOOKUP(Table2[[#This Row],[Prod Line ]],Lists!A:E,5,0)</f>
        <v>b</v>
      </c>
      <c r="B628" s="1">
        <v>44245</v>
      </c>
      <c r="C628" s="1">
        <v>44243</v>
      </c>
      <c r="D628" s="1" t="s">
        <v>58</v>
      </c>
      <c r="E628" s="2" t="s">
        <v>405</v>
      </c>
      <c r="F628" s="1"/>
      <c r="G628" s="2">
        <v>12</v>
      </c>
      <c r="H628" s="1"/>
      <c r="I628" t="s">
        <v>0</v>
      </c>
      <c r="J628" t="s">
        <v>67</v>
      </c>
      <c r="K628" t="s">
        <v>67</v>
      </c>
      <c r="L628" t="s">
        <v>70</v>
      </c>
      <c r="M628" s="3" t="s">
        <v>863</v>
      </c>
    </row>
    <row r="629" spans="1:14" hidden="1" x14ac:dyDescent="0.25">
      <c r="A629" s="1" t="str">
        <f>VLOOKUP(Table2[[#This Row],[Prod Line ]],Lists!A:E,5,0)</f>
        <v>c</v>
      </c>
      <c r="B629" s="1">
        <v>44245</v>
      </c>
      <c r="C629" s="1">
        <v>44243</v>
      </c>
      <c r="D629" s="1" t="s">
        <v>60</v>
      </c>
      <c r="E629" s="2" t="s">
        <v>404</v>
      </c>
      <c r="F629" s="1"/>
      <c r="G629" s="2">
        <v>20</v>
      </c>
      <c r="H629" s="1"/>
      <c r="I629" t="s">
        <v>1</v>
      </c>
      <c r="J629" t="s">
        <v>26</v>
      </c>
      <c r="K629" t="s">
        <v>26</v>
      </c>
      <c r="L629" t="s">
        <v>430</v>
      </c>
      <c r="M629" s="3" t="s">
        <v>857</v>
      </c>
      <c r="N629"/>
    </row>
    <row r="630" spans="1:14" hidden="1" x14ac:dyDescent="0.25">
      <c r="A630" s="1" t="str">
        <f>VLOOKUP(Table2[[#This Row],[Prod Line ]],Lists!A:E,5,0)</f>
        <v>a</v>
      </c>
      <c r="B630" s="1">
        <v>44245</v>
      </c>
      <c r="C630" s="1">
        <v>44243</v>
      </c>
      <c r="D630" s="1" t="s">
        <v>56</v>
      </c>
      <c r="E630" s="2" t="s">
        <v>404</v>
      </c>
      <c r="F630" s="1"/>
      <c r="G630" s="2">
        <v>4</v>
      </c>
      <c r="H630" s="1"/>
      <c r="I630" t="s">
        <v>1</v>
      </c>
      <c r="J630" t="s">
        <v>64</v>
      </c>
      <c r="K630" t="s">
        <v>365</v>
      </c>
      <c r="L630" t="s">
        <v>407</v>
      </c>
      <c r="M630" s="3" t="s">
        <v>858</v>
      </c>
      <c r="N630"/>
    </row>
    <row r="631" spans="1:14" hidden="1" x14ac:dyDescent="0.25">
      <c r="A631" s="1" t="str">
        <f>VLOOKUP(Table2[[#This Row],[Prod Line ]],Lists!A:E,5,0)</f>
        <v>a</v>
      </c>
      <c r="B631" s="1">
        <v>44245</v>
      </c>
      <c r="C631" s="1">
        <v>44243</v>
      </c>
      <c r="D631" s="1" t="s">
        <v>56</v>
      </c>
      <c r="E631" s="2" t="s">
        <v>404</v>
      </c>
      <c r="F631" s="1"/>
      <c r="G631" s="2">
        <v>6</v>
      </c>
      <c r="H631" s="1"/>
      <c r="I631" t="s">
        <v>1</v>
      </c>
      <c r="J631" t="s">
        <v>64</v>
      </c>
      <c r="K631" t="s">
        <v>363</v>
      </c>
      <c r="L631" t="s">
        <v>407</v>
      </c>
      <c r="M631" s="3" t="s">
        <v>610</v>
      </c>
      <c r="N631"/>
    </row>
    <row r="632" spans="1:14" hidden="1" x14ac:dyDescent="0.25">
      <c r="A632" s="1" t="str">
        <f>VLOOKUP(Table2[[#This Row],[Prod Line ]],Lists!A:E,5,0)</f>
        <v>a</v>
      </c>
      <c r="B632" s="1">
        <v>44245</v>
      </c>
      <c r="C632" s="1">
        <v>44243</v>
      </c>
      <c r="D632" s="1" t="s">
        <v>56</v>
      </c>
      <c r="E632" s="2" t="s">
        <v>404</v>
      </c>
      <c r="F632" s="1"/>
      <c r="G632" s="2">
        <v>8</v>
      </c>
      <c r="H632" s="1"/>
      <c r="I632" t="s">
        <v>1</v>
      </c>
      <c r="J632" t="s">
        <v>64</v>
      </c>
      <c r="K632" t="s">
        <v>363</v>
      </c>
      <c r="L632" t="s">
        <v>407</v>
      </c>
      <c r="M632" s="3" t="s">
        <v>859</v>
      </c>
      <c r="N632"/>
    </row>
    <row r="633" spans="1:14" hidden="1" x14ac:dyDescent="0.25">
      <c r="A633" s="1" t="str">
        <f>VLOOKUP(Table2[[#This Row],[Prod Line ]],Lists!A:E,5,0)</f>
        <v>b</v>
      </c>
      <c r="B633" s="1">
        <v>44245</v>
      </c>
      <c r="C633" s="1">
        <v>44243</v>
      </c>
      <c r="D633" s="1" t="s">
        <v>58</v>
      </c>
      <c r="E633" s="2" t="s">
        <v>404</v>
      </c>
      <c r="F633" s="1"/>
      <c r="G633" s="2">
        <v>9</v>
      </c>
      <c r="H633" s="1"/>
      <c r="I633" t="s">
        <v>1</v>
      </c>
      <c r="J633" t="s">
        <v>2</v>
      </c>
      <c r="K633" t="s">
        <v>19</v>
      </c>
      <c r="L633" t="s">
        <v>72</v>
      </c>
      <c r="M633" s="3" t="s">
        <v>830</v>
      </c>
      <c r="N633"/>
    </row>
    <row r="634" spans="1:14" hidden="1" x14ac:dyDescent="0.25">
      <c r="A634" s="1" t="str">
        <f>VLOOKUP(Table2[[#This Row],[Prod Line ]],Lists!A:E,5,0)</f>
        <v>b</v>
      </c>
      <c r="B634" s="1">
        <v>44245</v>
      </c>
      <c r="C634" s="1">
        <v>44243</v>
      </c>
      <c r="D634" s="1" t="s">
        <v>58</v>
      </c>
      <c r="E634" s="2" t="s">
        <v>404</v>
      </c>
      <c r="F634" s="1"/>
      <c r="G634" s="2">
        <v>4</v>
      </c>
      <c r="H634" s="1"/>
      <c r="I634" t="s">
        <v>1</v>
      </c>
      <c r="J634" t="s">
        <v>64</v>
      </c>
      <c r="K634" t="s">
        <v>20</v>
      </c>
      <c r="L634" t="s">
        <v>349</v>
      </c>
      <c r="M634" s="3" t="s">
        <v>860</v>
      </c>
      <c r="N634"/>
    </row>
    <row r="635" spans="1:14" hidden="1" x14ac:dyDescent="0.25">
      <c r="A635" s="1" t="str">
        <f>VLOOKUP(Table2[[#This Row],[Prod Line ]],Lists!A:E,5,0)</f>
        <v>b</v>
      </c>
      <c r="B635" s="1">
        <v>44245</v>
      </c>
      <c r="C635" s="1">
        <v>44243</v>
      </c>
      <c r="D635" s="1" t="s">
        <v>58</v>
      </c>
      <c r="E635" s="2" t="s">
        <v>404</v>
      </c>
      <c r="F635" s="1"/>
      <c r="G635" s="2">
        <v>7</v>
      </c>
      <c r="H635" s="1"/>
      <c r="I635" t="s">
        <v>1</v>
      </c>
      <c r="J635" t="s">
        <v>67</v>
      </c>
      <c r="K635" t="s">
        <v>67</v>
      </c>
      <c r="L635" t="s">
        <v>407</v>
      </c>
      <c r="M635" s="3" t="s">
        <v>861</v>
      </c>
      <c r="N635"/>
    </row>
    <row r="636" spans="1:14" hidden="1" x14ac:dyDescent="0.25">
      <c r="A636" s="1" t="str">
        <f>VLOOKUP(Table2[[#This Row],[Prod Line ]],Lists!A:E,5,0)</f>
        <v>b</v>
      </c>
      <c r="B636" s="1">
        <v>44245</v>
      </c>
      <c r="C636" s="1">
        <v>44243</v>
      </c>
      <c r="D636" s="1" t="s">
        <v>58</v>
      </c>
      <c r="E636" s="2" t="s">
        <v>406</v>
      </c>
      <c r="F636" s="1"/>
      <c r="G636" s="2">
        <v>5</v>
      </c>
      <c r="H636" s="1"/>
      <c r="I636" t="s">
        <v>1</v>
      </c>
      <c r="J636" t="s">
        <v>2</v>
      </c>
      <c r="K636" t="s">
        <v>19</v>
      </c>
      <c r="L636" t="s">
        <v>72</v>
      </c>
      <c r="M636" s="3" t="s">
        <v>830</v>
      </c>
      <c r="N636"/>
    </row>
    <row r="637" spans="1:14" hidden="1" x14ac:dyDescent="0.25">
      <c r="A637" s="1" t="str">
        <f>VLOOKUP(Table2[[#This Row],[Prod Line ]],Lists!A:E,5,0)</f>
        <v>b</v>
      </c>
      <c r="B637" s="1">
        <v>44245</v>
      </c>
      <c r="C637" s="1">
        <v>44243</v>
      </c>
      <c r="D637" s="1" t="s">
        <v>58</v>
      </c>
      <c r="E637" s="2" t="s">
        <v>405</v>
      </c>
      <c r="F637" s="1"/>
      <c r="G637" s="2">
        <v>8</v>
      </c>
      <c r="H637" s="1"/>
      <c r="I637" t="s">
        <v>0</v>
      </c>
      <c r="J637" t="s">
        <v>67</v>
      </c>
      <c r="K637" t="s">
        <v>67</v>
      </c>
      <c r="L637" t="s">
        <v>70</v>
      </c>
      <c r="M637" s="3" t="s">
        <v>864</v>
      </c>
    </row>
    <row r="638" spans="1:14" hidden="1" x14ac:dyDescent="0.25">
      <c r="A638" s="1" t="str">
        <f>VLOOKUP(Table2[[#This Row],[Prod Line ]],Lists!A:E,5,0)</f>
        <v>c</v>
      </c>
      <c r="B638" s="1">
        <v>44245</v>
      </c>
      <c r="C638" s="1">
        <v>44243</v>
      </c>
      <c r="D638" s="1" t="s">
        <v>60</v>
      </c>
      <c r="E638" s="2" t="s">
        <v>404</v>
      </c>
      <c r="F638" s="1"/>
      <c r="G638" s="2">
        <v>18</v>
      </c>
      <c r="H638" s="1"/>
      <c r="I638" t="s">
        <v>0</v>
      </c>
      <c r="J638" t="s">
        <v>67</v>
      </c>
      <c r="K638" t="s">
        <v>67</v>
      </c>
      <c r="L638" t="s">
        <v>70</v>
      </c>
      <c r="M638" s="3" t="s">
        <v>856</v>
      </c>
    </row>
    <row r="639" spans="1:14" hidden="1" x14ac:dyDescent="0.25">
      <c r="A639" s="1" t="str">
        <f>VLOOKUP(Table2[[#This Row],[Prod Line ]],Lists!A:E,5,0)</f>
        <v>d</v>
      </c>
      <c r="B639" s="1">
        <v>44245</v>
      </c>
      <c r="C639" s="1">
        <v>44243</v>
      </c>
      <c r="D639" s="1" t="s">
        <v>62</v>
      </c>
      <c r="E639" s="2" t="s">
        <v>404</v>
      </c>
      <c r="F639" s="1"/>
      <c r="G639" s="2">
        <v>20</v>
      </c>
      <c r="H639" s="1"/>
      <c r="I639" t="s">
        <v>0</v>
      </c>
      <c r="J639" t="s">
        <v>64</v>
      </c>
      <c r="K639" t="s">
        <v>379</v>
      </c>
      <c r="L639" t="s">
        <v>70</v>
      </c>
      <c r="M639" s="3" t="s">
        <v>855</v>
      </c>
    </row>
    <row r="640" spans="1:14" hidden="1" x14ac:dyDescent="0.25">
      <c r="A640" s="1" t="str">
        <f>VLOOKUP(Table2[[#This Row],[Prod Line ]],Lists!A:E,5,0)</f>
        <v>a</v>
      </c>
      <c r="B640" s="1">
        <v>44246</v>
      </c>
      <c r="C640" s="1">
        <v>44244</v>
      </c>
      <c r="D640" s="1" t="s">
        <v>56</v>
      </c>
      <c r="E640" s="2" t="s">
        <v>404</v>
      </c>
      <c r="F640" s="1"/>
      <c r="G640" s="2">
        <v>10</v>
      </c>
      <c r="H640" s="1"/>
      <c r="I640" t="s">
        <v>0</v>
      </c>
      <c r="J640" t="s">
        <v>64</v>
      </c>
      <c r="K640" t="s">
        <v>370</v>
      </c>
      <c r="L640" t="s">
        <v>70</v>
      </c>
      <c r="M640" s="3" t="s">
        <v>865</v>
      </c>
    </row>
    <row r="641" spans="1:16" hidden="1" x14ac:dyDescent="0.25">
      <c r="A641" s="1" t="str">
        <f>VLOOKUP(Table2[[#This Row],[Prod Line ]],Lists!A:E,5,0)</f>
        <v>d</v>
      </c>
      <c r="B641" s="1">
        <v>44246</v>
      </c>
      <c r="C641" s="1">
        <v>44244</v>
      </c>
      <c r="D641" s="1" t="s">
        <v>62</v>
      </c>
      <c r="E641" s="2" t="s">
        <v>404</v>
      </c>
      <c r="F641" s="1"/>
      <c r="G641" s="2">
        <v>3</v>
      </c>
      <c r="H641" s="1"/>
      <c r="I641" t="s">
        <v>1</v>
      </c>
      <c r="J641" t="s">
        <v>65</v>
      </c>
      <c r="K641" t="s">
        <v>394</v>
      </c>
      <c r="L641" t="s">
        <v>407</v>
      </c>
      <c r="M641" s="3" t="s">
        <v>866</v>
      </c>
      <c r="N641"/>
    </row>
    <row r="642" spans="1:16" hidden="1" x14ac:dyDescent="0.25">
      <c r="A642" s="1" t="str">
        <f>VLOOKUP(Table2[[#This Row],[Prod Line ]],Lists!A:E,5,0)</f>
        <v>d</v>
      </c>
      <c r="B642" s="1">
        <v>44246</v>
      </c>
      <c r="C642" s="1">
        <v>44244</v>
      </c>
      <c r="D642" s="1" t="s">
        <v>62</v>
      </c>
      <c r="E642" s="2" t="s">
        <v>404</v>
      </c>
      <c r="F642" s="1"/>
      <c r="G642" s="2">
        <v>5</v>
      </c>
      <c r="H642" s="1"/>
      <c r="I642" t="s">
        <v>1</v>
      </c>
      <c r="J642" t="s">
        <v>64</v>
      </c>
      <c r="K642" t="s">
        <v>379</v>
      </c>
      <c r="L642" t="s">
        <v>407</v>
      </c>
      <c r="M642" s="3" t="s">
        <v>553</v>
      </c>
      <c r="N642"/>
    </row>
    <row r="643" spans="1:16" hidden="1" x14ac:dyDescent="0.25">
      <c r="A643" s="1" t="str">
        <f>VLOOKUP(Table2[[#This Row],[Prod Line ]],Lists!A:E,5,0)</f>
        <v>d</v>
      </c>
      <c r="B643" s="1">
        <v>44246</v>
      </c>
      <c r="C643" s="1">
        <v>44244</v>
      </c>
      <c r="D643" s="1" t="s">
        <v>62</v>
      </c>
      <c r="E643" s="2" t="s">
        <v>405</v>
      </c>
      <c r="F643" s="1"/>
      <c r="G643" s="2">
        <v>5</v>
      </c>
      <c r="H643" s="1"/>
      <c r="I643" t="s">
        <v>1</v>
      </c>
      <c r="J643" t="s">
        <v>64</v>
      </c>
      <c r="K643" t="s">
        <v>379</v>
      </c>
      <c r="L643" t="s">
        <v>407</v>
      </c>
      <c r="M643" s="3" t="s">
        <v>867</v>
      </c>
      <c r="N643"/>
    </row>
    <row r="644" spans="1:16" hidden="1" x14ac:dyDescent="0.25">
      <c r="A644" s="1" t="str">
        <f>VLOOKUP(Table2[[#This Row],[Prod Line ]],Lists!A:E,5,0)</f>
        <v>d</v>
      </c>
      <c r="B644" s="1">
        <v>44246</v>
      </c>
      <c r="C644" s="1">
        <v>44244</v>
      </c>
      <c r="D644" s="1" t="s">
        <v>62</v>
      </c>
      <c r="E644" s="2" t="s">
        <v>405</v>
      </c>
      <c r="F644" s="1"/>
      <c r="G644" s="2">
        <v>3</v>
      </c>
      <c r="H644" s="1"/>
      <c r="I644" t="s">
        <v>1</v>
      </c>
      <c r="J644" t="s">
        <v>65</v>
      </c>
      <c r="K644" t="s">
        <v>394</v>
      </c>
      <c r="L644" t="s">
        <v>407</v>
      </c>
      <c r="M644" s="3" t="s">
        <v>868</v>
      </c>
      <c r="N644"/>
    </row>
    <row r="645" spans="1:16" hidden="1" x14ac:dyDescent="0.25">
      <c r="A645" s="1" t="str">
        <f>VLOOKUP(Table2[[#This Row],[Prod Line ]],Lists!A:E,5,0)</f>
        <v>b</v>
      </c>
      <c r="B645" s="1">
        <v>44246</v>
      </c>
      <c r="C645" s="1">
        <v>44244</v>
      </c>
      <c r="D645" s="1" t="s">
        <v>58</v>
      </c>
      <c r="E645" s="2" t="s">
        <v>404</v>
      </c>
      <c r="F645" s="1"/>
      <c r="G645" s="2">
        <v>4</v>
      </c>
      <c r="H645" s="1"/>
      <c r="I645" t="s">
        <v>1</v>
      </c>
      <c r="J645" t="s">
        <v>67</v>
      </c>
      <c r="K645" t="s">
        <v>67</v>
      </c>
      <c r="L645" t="s">
        <v>407</v>
      </c>
      <c r="M645" s="3" t="s">
        <v>869</v>
      </c>
      <c r="N645"/>
    </row>
    <row r="646" spans="1:16" hidden="1" x14ac:dyDescent="0.25">
      <c r="A646" s="1" t="str">
        <f>VLOOKUP(Table2[[#This Row],[Prod Line ]],Lists!A:E,5,0)</f>
        <v>b</v>
      </c>
      <c r="B646" s="1">
        <v>44246</v>
      </c>
      <c r="C646" s="1">
        <v>44244</v>
      </c>
      <c r="D646" s="1" t="s">
        <v>58</v>
      </c>
      <c r="E646" s="2" t="s">
        <v>404</v>
      </c>
      <c r="F646" s="1"/>
      <c r="G646" s="2">
        <v>4</v>
      </c>
      <c r="H646" s="1"/>
      <c r="I646" t="s">
        <v>1</v>
      </c>
      <c r="J646" t="s">
        <v>2</v>
      </c>
      <c r="K646" t="s">
        <v>19</v>
      </c>
      <c r="L646" t="s">
        <v>72</v>
      </c>
      <c r="M646" s="3" t="s">
        <v>733</v>
      </c>
      <c r="N646"/>
    </row>
    <row r="647" spans="1:16" hidden="1" x14ac:dyDescent="0.25">
      <c r="A647" s="1" t="str">
        <f>VLOOKUP(Table2[[#This Row],[Prod Line ]],Lists!A:E,5,0)</f>
        <v>b</v>
      </c>
      <c r="B647" s="1">
        <v>44246</v>
      </c>
      <c r="C647" s="1">
        <v>44244</v>
      </c>
      <c r="D647" s="1" t="s">
        <v>58</v>
      </c>
      <c r="E647" s="2" t="s">
        <v>405</v>
      </c>
      <c r="F647" s="1"/>
      <c r="G647" s="2">
        <v>18</v>
      </c>
      <c r="H647" s="1"/>
      <c r="I647" t="s">
        <v>0</v>
      </c>
      <c r="J647" t="s">
        <v>65</v>
      </c>
      <c r="K647" t="s">
        <v>3</v>
      </c>
      <c r="L647" t="s">
        <v>70</v>
      </c>
      <c r="M647" s="3" t="s">
        <v>870</v>
      </c>
    </row>
    <row r="648" spans="1:16" hidden="1" x14ac:dyDescent="0.25">
      <c r="A648" s="1" t="str">
        <f>VLOOKUP(Table2[[#This Row],[Prod Line ]],Lists!A:E,5,0)</f>
        <v>c</v>
      </c>
      <c r="B648" s="1">
        <v>44247</v>
      </c>
      <c r="C648" s="1">
        <v>44245</v>
      </c>
      <c r="D648" s="1" t="s">
        <v>60</v>
      </c>
      <c r="E648" s="2" t="s">
        <v>404</v>
      </c>
      <c r="F648" s="1"/>
      <c r="G648" s="2">
        <v>10</v>
      </c>
      <c r="H648" s="1"/>
      <c r="I648" t="s">
        <v>1</v>
      </c>
      <c r="J648" t="s">
        <v>2</v>
      </c>
      <c r="K648" t="s">
        <v>378</v>
      </c>
      <c r="L648" t="s">
        <v>349</v>
      </c>
      <c r="M648" s="3" t="s">
        <v>797</v>
      </c>
      <c r="N648"/>
    </row>
    <row r="649" spans="1:16" hidden="1" x14ac:dyDescent="0.25">
      <c r="A649" s="1" t="str">
        <f>VLOOKUP(Table2[[#This Row],[Prod Line ]],Lists!A:E,5,0)</f>
        <v>a</v>
      </c>
      <c r="B649" s="1">
        <v>44247</v>
      </c>
      <c r="C649" s="1">
        <v>44245</v>
      </c>
      <c r="D649" s="1" t="s">
        <v>56</v>
      </c>
      <c r="E649" s="2" t="s">
        <v>405</v>
      </c>
      <c r="F649" s="1"/>
      <c r="G649" s="2">
        <v>20</v>
      </c>
      <c r="H649" s="1"/>
      <c r="I649" t="s">
        <v>1</v>
      </c>
      <c r="J649" t="s">
        <v>67</v>
      </c>
      <c r="K649" t="s">
        <v>67</v>
      </c>
      <c r="L649" t="s">
        <v>72</v>
      </c>
      <c r="M649" s="3" t="s">
        <v>871</v>
      </c>
      <c r="N649"/>
    </row>
    <row r="650" spans="1:16" hidden="1" x14ac:dyDescent="0.25">
      <c r="A650" s="1" t="str">
        <f>VLOOKUP(Table2[[#This Row],[Prod Line ]],Lists!A:E,5,0)</f>
        <v>a</v>
      </c>
      <c r="B650" s="1">
        <v>44247</v>
      </c>
      <c r="C650" s="1">
        <v>44245</v>
      </c>
      <c r="D650" s="1" t="s">
        <v>56</v>
      </c>
      <c r="E650" s="2" t="s">
        <v>405</v>
      </c>
      <c r="F650" s="1"/>
      <c r="G650" s="2">
        <v>13</v>
      </c>
      <c r="H650" s="1" t="s">
        <v>0</v>
      </c>
      <c r="I650" t="s">
        <v>0</v>
      </c>
      <c r="J650" t="s">
        <v>65</v>
      </c>
      <c r="K650" t="s">
        <v>373</v>
      </c>
      <c r="L650" t="s">
        <v>82</v>
      </c>
      <c r="M650" s="3" t="s">
        <v>677</v>
      </c>
    </row>
    <row r="651" spans="1:16" hidden="1" x14ac:dyDescent="0.25">
      <c r="A651" s="1" t="str">
        <f>VLOOKUP(Table2[[#This Row],[Prod Line ]],Lists!A:E,5,0)</f>
        <v>d</v>
      </c>
      <c r="B651" s="1">
        <v>44247</v>
      </c>
      <c r="C651" s="1">
        <v>44246</v>
      </c>
      <c r="D651" s="1" t="s">
        <v>62</v>
      </c>
      <c r="E651" s="2" t="s">
        <v>406</v>
      </c>
      <c r="F651" s="1"/>
      <c r="G651" s="2">
        <v>4</v>
      </c>
      <c r="H651" s="1"/>
      <c r="I651" t="s">
        <v>1</v>
      </c>
      <c r="J651" t="s">
        <v>64</v>
      </c>
      <c r="K651" t="s">
        <v>379</v>
      </c>
      <c r="L651" t="s">
        <v>407</v>
      </c>
      <c r="M651" s="3" t="s">
        <v>821</v>
      </c>
      <c r="N651"/>
    </row>
    <row r="652" spans="1:16" hidden="1" x14ac:dyDescent="0.25">
      <c r="A652" s="1" t="str">
        <f>VLOOKUP(Table2[[#This Row],[Prod Line ]],Lists!A:E,5,0)</f>
        <v>b</v>
      </c>
      <c r="B652" s="1">
        <v>44247</v>
      </c>
      <c r="C652" s="1">
        <v>44246</v>
      </c>
      <c r="D652" s="1" t="s">
        <v>58</v>
      </c>
      <c r="E652" s="2" t="s">
        <v>406</v>
      </c>
      <c r="F652" s="1"/>
      <c r="G652" s="2">
        <v>6</v>
      </c>
      <c r="H652" s="1"/>
      <c r="I652" t="s">
        <v>0</v>
      </c>
      <c r="J652" t="s">
        <v>66</v>
      </c>
      <c r="K652" t="s">
        <v>34</v>
      </c>
      <c r="L652" t="s">
        <v>69</v>
      </c>
      <c r="M652" s="3" t="s">
        <v>872</v>
      </c>
    </row>
    <row r="653" spans="1:16" hidden="1" x14ac:dyDescent="0.25">
      <c r="A653" s="1" t="str">
        <f>VLOOKUP(Table2[[#This Row],[Prod Line ]],Lists!A:E,5,0)</f>
        <v>c</v>
      </c>
      <c r="B653" s="1">
        <v>44247</v>
      </c>
      <c r="C653" s="1">
        <v>44246</v>
      </c>
      <c r="D653" s="1" t="s">
        <v>60</v>
      </c>
      <c r="E653" s="2" t="s">
        <v>404</v>
      </c>
      <c r="F653" s="1"/>
      <c r="G653" s="2">
        <v>23</v>
      </c>
      <c r="H653" s="1"/>
      <c r="I653" t="s">
        <v>1</v>
      </c>
      <c r="J653" t="s">
        <v>2</v>
      </c>
      <c r="K653" t="s">
        <v>378</v>
      </c>
      <c r="L653" t="s">
        <v>349</v>
      </c>
      <c r="M653" s="3" t="s">
        <v>575</v>
      </c>
      <c r="N653"/>
    </row>
    <row r="654" spans="1:16" hidden="1" x14ac:dyDescent="0.25">
      <c r="A654" s="1" t="str">
        <f>VLOOKUP(Table2[[#This Row],[Prod Line ]],Lists!A:E,5,0)</f>
        <v>a</v>
      </c>
      <c r="B654" s="1">
        <v>44249</v>
      </c>
      <c r="C654" s="1">
        <v>44247</v>
      </c>
      <c r="D654" s="1" t="s">
        <v>56</v>
      </c>
      <c r="E654" s="2" t="s">
        <v>404</v>
      </c>
      <c r="F654" s="1"/>
      <c r="G654" s="2">
        <v>41</v>
      </c>
      <c r="H654" s="1"/>
      <c r="I654" t="s">
        <v>1</v>
      </c>
      <c r="J654" t="s">
        <v>2</v>
      </c>
      <c r="K654" t="s">
        <v>13</v>
      </c>
      <c r="L654" t="s">
        <v>407</v>
      </c>
      <c r="M654" s="3" t="s">
        <v>873</v>
      </c>
      <c r="N654"/>
    </row>
    <row r="655" spans="1:16" hidden="1" x14ac:dyDescent="0.25">
      <c r="A655" s="1" t="str">
        <f>VLOOKUP(Table2[[#This Row],[Prod Line ]],Lists!A:E,5,0)</f>
        <v>a</v>
      </c>
      <c r="B655" s="1">
        <v>44249</v>
      </c>
      <c r="C655" s="1">
        <v>44247</v>
      </c>
      <c r="D655" s="1" t="s">
        <v>56</v>
      </c>
      <c r="E655" s="2" t="s">
        <v>405</v>
      </c>
      <c r="F655" s="1"/>
      <c r="G655" s="2">
        <v>38</v>
      </c>
      <c r="H655" s="1"/>
      <c r="I655" t="s">
        <v>0</v>
      </c>
      <c r="J655" t="s">
        <v>64</v>
      </c>
      <c r="K655" t="s">
        <v>371</v>
      </c>
      <c r="L655" t="s">
        <v>70</v>
      </c>
      <c r="M655" s="3" t="s">
        <v>874</v>
      </c>
      <c r="N655" s="20" t="s">
        <v>955</v>
      </c>
      <c r="O655" t="s">
        <v>956</v>
      </c>
      <c r="P655" t="s">
        <v>949</v>
      </c>
    </row>
    <row r="656" spans="1:16" hidden="1" x14ac:dyDescent="0.25">
      <c r="A656" s="1" t="str">
        <f>VLOOKUP(Table2[[#This Row],[Prod Line ]],Lists!A:E,5,0)</f>
        <v>a</v>
      </c>
      <c r="B656" s="1">
        <v>44249</v>
      </c>
      <c r="C656" s="1">
        <v>44247</v>
      </c>
      <c r="D656" s="1" t="s">
        <v>56</v>
      </c>
      <c r="E656" s="2" t="s">
        <v>405</v>
      </c>
      <c r="F656" s="1"/>
      <c r="G656" s="2">
        <v>16</v>
      </c>
      <c r="H656" s="1"/>
      <c r="I656" t="s">
        <v>1</v>
      </c>
      <c r="J656" t="s">
        <v>64</v>
      </c>
      <c r="K656" t="s">
        <v>370</v>
      </c>
      <c r="L656" t="s">
        <v>407</v>
      </c>
      <c r="M656" s="3" t="s">
        <v>875</v>
      </c>
      <c r="N656"/>
    </row>
    <row r="657" spans="1:14" hidden="1" x14ac:dyDescent="0.25">
      <c r="A657" s="1" t="str">
        <f>VLOOKUP(Table2[[#This Row],[Prod Line ]],Lists!A:E,5,0)</f>
        <v>b</v>
      </c>
      <c r="B657" s="1">
        <v>44249</v>
      </c>
      <c r="C657" s="1">
        <v>44247</v>
      </c>
      <c r="D657" s="1" t="s">
        <v>58</v>
      </c>
      <c r="E657" s="2" t="s">
        <v>406</v>
      </c>
      <c r="F657" s="1"/>
      <c r="G657" s="2">
        <v>12</v>
      </c>
      <c r="H657" s="1"/>
      <c r="I657" t="s">
        <v>0</v>
      </c>
      <c r="J657" t="s">
        <v>66</v>
      </c>
      <c r="K657" t="s">
        <v>34</v>
      </c>
      <c r="L657" t="s">
        <v>70</v>
      </c>
      <c r="M657" s="3" t="s">
        <v>876</v>
      </c>
    </row>
    <row r="658" spans="1:14" hidden="1" x14ac:dyDescent="0.25">
      <c r="A658" s="1" t="str">
        <f>VLOOKUP(Table2[[#This Row],[Prod Line ]],Lists!A:E,5,0)</f>
        <v>b</v>
      </c>
      <c r="B658" s="1">
        <v>44249</v>
      </c>
      <c r="C658" s="1">
        <v>44247</v>
      </c>
      <c r="D658" s="1" t="s">
        <v>58</v>
      </c>
      <c r="E658" s="2" t="s">
        <v>405</v>
      </c>
      <c r="F658" s="1"/>
      <c r="G658" s="2">
        <v>12</v>
      </c>
      <c r="H658" s="1"/>
      <c r="I658" t="s">
        <v>0</v>
      </c>
      <c r="J658" t="s">
        <v>66</v>
      </c>
      <c r="K658" t="s">
        <v>34</v>
      </c>
      <c r="L658" t="s">
        <v>70</v>
      </c>
      <c r="M658" s="3" t="s">
        <v>877</v>
      </c>
    </row>
    <row r="659" spans="1:14" hidden="1" x14ac:dyDescent="0.25">
      <c r="A659" s="1" t="str">
        <f>VLOOKUP(Table2[[#This Row],[Prod Line ]],Lists!A:E,5,0)</f>
        <v>b</v>
      </c>
      <c r="B659" s="1">
        <v>44249</v>
      </c>
      <c r="C659" s="1">
        <v>44247</v>
      </c>
      <c r="D659" s="1" t="s">
        <v>58</v>
      </c>
      <c r="E659" s="2" t="s">
        <v>405</v>
      </c>
      <c r="F659" s="1"/>
      <c r="G659" s="2">
        <v>15</v>
      </c>
      <c r="H659" s="1"/>
      <c r="I659" t="s">
        <v>1</v>
      </c>
      <c r="J659" t="s">
        <v>2</v>
      </c>
      <c r="K659" t="s">
        <v>19</v>
      </c>
      <c r="L659" t="s">
        <v>349</v>
      </c>
      <c r="M659" s="3" t="s">
        <v>830</v>
      </c>
      <c r="N659"/>
    </row>
    <row r="660" spans="1:14" hidden="1" x14ac:dyDescent="0.25">
      <c r="A660" s="1" t="str">
        <f>VLOOKUP(Table2[[#This Row],[Prod Line ]],Lists!A:E,5,0)</f>
        <v>d</v>
      </c>
      <c r="B660" s="1">
        <v>44249</v>
      </c>
      <c r="C660" s="1">
        <v>44247</v>
      </c>
      <c r="D660" s="1" t="s">
        <v>62</v>
      </c>
      <c r="E660" s="2" t="s">
        <v>406</v>
      </c>
      <c r="F660" s="1"/>
      <c r="G660" s="2">
        <v>16</v>
      </c>
      <c r="H660" s="1"/>
      <c r="I660" t="s">
        <v>1</v>
      </c>
      <c r="J660" t="s">
        <v>64</v>
      </c>
      <c r="K660" t="s">
        <v>379</v>
      </c>
      <c r="L660" t="s">
        <v>407</v>
      </c>
      <c r="M660" s="3" t="s">
        <v>875</v>
      </c>
      <c r="N660"/>
    </row>
    <row r="661" spans="1:14" hidden="1" x14ac:dyDescent="0.25">
      <c r="A661" s="1" t="str">
        <f>VLOOKUP(Table2[[#This Row],[Prod Line ]],Lists!A:E,5,0)</f>
        <v>d</v>
      </c>
      <c r="B661" s="1">
        <v>44249</v>
      </c>
      <c r="C661" s="1">
        <v>44247</v>
      </c>
      <c r="D661" s="1" t="s">
        <v>62</v>
      </c>
      <c r="E661" s="2" t="s">
        <v>404</v>
      </c>
      <c r="F661" s="1"/>
      <c r="G661" s="2">
        <v>5</v>
      </c>
      <c r="H661" s="1"/>
      <c r="I661" t="s">
        <v>1</v>
      </c>
      <c r="J661" t="s">
        <v>64</v>
      </c>
      <c r="K661" t="s">
        <v>379</v>
      </c>
      <c r="L661" t="s">
        <v>407</v>
      </c>
      <c r="M661" s="3" t="s">
        <v>835</v>
      </c>
      <c r="N661"/>
    </row>
    <row r="662" spans="1:14" hidden="1" x14ac:dyDescent="0.25">
      <c r="A662" s="1" t="str">
        <f>VLOOKUP(Table2[[#This Row],[Prod Line ]],Lists!A:E,5,0)</f>
        <v>d</v>
      </c>
      <c r="B662" s="1">
        <v>44249</v>
      </c>
      <c r="C662" s="1">
        <v>44247</v>
      </c>
      <c r="D662" s="1" t="s">
        <v>62</v>
      </c>
      <c r="E662" s="2" t="s">
        <v>404</v>
      </c>
      <c r="F662" s="1"/>
      <c r="G662" s="2">
        <v>9</v>
      </c>
      <c r="H662" s="1"/>
      <c r="I662" t="s">
        <v>1</v>
      </c>
      <c r="J662" t="s">
        <v>2</v>
      </c>
      <c r="K662" t="s">
        <v>19</v>
      </c>
      <c r="L662" t="s">
        <v>349</v>
      </c>
      <c r="M662" s="3" t="s">
        <v>575</v>
      </c>
      <c r="N662"/>
    </row>
    <row r="663" spans="1:14" hidden="1" x14ac:dyDescent="0.25">
      <c r="A663" s="1" t="str">
        <f>VLOOKUP(Table2[[#This Row],[Prod Line ]],Lists!A:E,5,0)</f>
        <v>d</v>
      </c>
      <c r="B663" s="1">
        <v>44249</v>
      </c>
      <c r="C663" s="1">
        <v>44247</v>
      </c>
      <c r="D663" s="1" t="s">
        <v>62</v>
      </c>
      <c r="E663" s="2" t="s">
        <v>405</v>
      </c>
      <c r="F663" s="1"/>
      <c r="G663" s="2">
        <v>11</v>
      </c>
      <c r="H663" s="1"/>
      <c r="I663" t="s">
        <v>1</v>
      </c>
      <c r="J663" t="s">
        <v>64</v>
      </c>
      <c r="K663" t="s">
        <v>379</v>
      </c>
      <c r="L663" t="s">
        <v>407</v>
      </c>
      <c r="M663" s="3" t="s">
        <v>875</v>
      </c>
      <c r="N663"/>
    </row>
    <row r="664" spans="1:14" hidden="1" x14ac:dyDescent="0.25">
      <c r="A664" s="1" t="str">
        <f>VLOOKUP(Table2[[#This Row],[Prod Line ]],Lists!A:E,5,0)</f>
        <v>d</v>
      </c>
      <c r="B664" s="1">
        <v>44249</v>
      </c>
      <c r="C664" s="1">
        <v>44247</v>
      </c>
      <c r="D664" s="1" t="s">
        <v>62</v>
      </c>
      <c r="E664" s="2" t="s">
        <v>405</v>
      </c>
      <c r="F664" s="1"/>
      <c r="G664" s="2">
        <v>6</v>
      </c>
      <c r="H664" s="1"/>
      <c r="I664" t="s">
        <v>1</v>
      </c>
      <c r="J664" t="s">
        <v>2</v>
      </c>
      <c r="K664" t="s">
        <v>19</v>
      </c>
      <c r="L664" t="s">
        <v>349</v>
      </c>
      <c r="M664" s="3" t="s">
        <v>575</v>
      </c>
      <c r="N664"/>
    </row>
    <row r="665" spans="1:14" hidden="1" x14ac:dyDescent="0.25">
      <c r="A665" s="1" t="str">
        <f>VLOOKUP(Table2[[#This Row],[Prod Line ]],Lists!A:E,5,0)</f>
        <v>b</v>
      </c>
      <c r="B665" s="1">
        <v>44250</v>
      </c>
      <c r="C665" s="1">
        <v>44248</v>
      </c>
      <c r="D665" s="1" t="s">
        <v>58</v>
      </c>
      <c r="E665" s="2" t="s">
        <v>406</v>
      </c>
      <c r="F665" s="1"/>
      <c r="G665" s="2">
        <v>8</v>
      </c>
      <c r="H665" s="1"/>
      <c r="I665" t="s">
        <v>0</v>
      </c>
      <c r="J665" t="s">
        <v>67</v>
      </c>
      <c r="K665" t="s">
        <v>67</v>
      </c>
      <c r="L665" t="s">
        <v>69</v>
      </c>
      <c r="M665" s="3" t="s">
        <v>878</v>
      </c>
    </row>
    <row r="666" spans="1:14" hidden="1" x14ac:dyDescent="0.25">
      <c r="A666" s="1" t="str">
        <f>VLOOKUP(Table2[[#This Row],[Prod Line ]],Lists!A:E,5,0)</f>
        <v>b</v>
      </c>
      <c r="B666" s="1">
        <v>44250</v>
      </c>
      <c r="C666" s="1">
        <v>44248</v>
      </c>
      <c r="D666" s="1" t="s">
        <v>58</v>
      </c>
      <c r="E666" s="2" t="s">
        <v>406</v>
      </c>
      <c r="F666" s="1"/>
      <c r="G666" s="2">
        <v>13</v>
      </c>
      <c r="H666" s="1"/>
      <c r="I666" t="s">
        <v>1</v>
      </c>
      <c r="J666" t="s">
        <v>64</v>
      </c>
      <c r="K666" t="s">
        <v>24</v>
      </c>
      <c r="L666" t="s">
        <v>407</v>
      </c>
      <c r="M666" s="3" t="s">
        <v>879</v>
      </c>
      <c r="N666"/>
    </row>
    <row r="667" spans="1:14" hidden="1" x14ac:dyDescent="0.25">
      <c r="A667" s="1" t="str">
        <f>VLOOKUP(Table2[[#This Row],[Prod Line ]],Lists!A:E,5,0)</f>
        <v>b</v>
      </c>
      <c r="B667" s="1">
        <v>44250</v>
      </c>
      <c r="C667" s="1">
        <v>44248</v>
      </c>
      <c r="D667" s="1" t="s">
        <v>58</v>
      </c>
      <c r="E667" s="2" t="s">
        <v>405</v>
      </c>
      <c r="F667" s="1"/>
      <c r="G667" s="2">
        <v>12</v>
      </c>
      <c r="H667" s="1"/>
      <c r="I667" t="s">
        <v>1</v>
      </c>
      <c r="J667" t="s">
        <v>5</v>
      </c>
      <c r="K667" t="s">
        <v>37</v>
      </c>
      <c r="L667" t="s">
        <v>407</v>
      </c>
      <c r="M667" s="3" t="s">
        <v>880</v>
      </c>
      <c r="N667"/>
    </row>
    <row r="668" spans="1:14" hidden="1" x14ac:dyDescent="0.25">
      <c r="A668" s="1" t="str">
        <f>VLOOKUP(Table2[[#This Row],[Prod Line ]],Lists!A:E,5,0)</f>
        <v>d</v>
      </c>
      <c r="B668" s="1">
        <v>44250</v>
      </c>
      <c r="C668" s="1">
        <v>44248</v>
      </c>
      <c r="D668" s="1" t="s">
        <v>62</v>
      </c>
      <c r="E668" s="2" t="s">
        <v>404</v>
      </c>
      <c r="F668" s="1"/>
      <c r="G668" s="2">
        <v>5</v>
      </c>
      <c r="H668" s="1"/>
      <c r="I668" t="s">
        <v>1</v>
      </c>
      <c r="J668" t="s">
        <v>64</v>
      </c>
      <c r="K668" t="s">
        <v>379</v>
      </c>
      <c r="L668" t="s">
        <v>407</v>
      </c>
      <c r="M668" s="3" t="s">
        <v>835</v>
      </c>
      <c r="N668"/>
    </row>
    <row r="669" spans="1:14" hidden="1" x14ac:dyDescent="0.25">
      <c r="A669" s="1" t="str">
        <f>VLOOKUP(Table2[[#This Row],[Prod Line ]],Lists!A:E,5,0)</f>
        <v>d</v>
      </c>
      <c r="B669" s="1">
        <v>44250</v>
      </c>
      <c r="C669" s="1">
        <v>44248</v>
      </c>
      <c r="D669" s="1" t="s">
        <v>62</v>
      </c>
      <c r="E669" s="2" t="s">
        <v>405</v>
      </c>
      <c r="F669" s="1"/>
      <c r="G669" s="2">
        <v>5</v>
      </c>
      <c r="H669" s="1"/>
      <c r="I669" t="s">
        <v>1</v>
      </c>
      <c r="J669" t="s">
        <v>64</v>
      </c>
      <c r="K669" t="s">
        <v>379</v>
      </c>
      <c r="L669" t="s">
        <v>407</v>
      </c>
      <c r="M669" s="3" t="s">
        <v>655</v>
      </c>
      <c r="N669"/>
    </row>
    <row r="670" spans="1:14" hidden="1" x14ac:dyDescent="0.25">
      <c r="A670" s="1" t="str">
        <f>VLOOKUP(Table2[[#This Row],[Prod Line ]],Lists!A:E,5,0)</f>
        <v>d</v>
      </c>
      <c r="B670" s="1">
        <v>44250</v>
      </c>
      <c r="C670" s="1">
        <v>44248</v>
      </c>
      <c r="D670" s="1" t="s">
        <v>62</v>
      </c>
      <c r="E670" s="2" t="s">
        <v>405</v>
      </c>
      <c r="F670" s="1"/>
      <c r="G670" s="2">
        <v>5</v>
      </c>
      <c r="H670" s="1"/>
      <c r="I670" t="s">
        <v>1</v>
      </c>
      <c r="J670" t="s">
        <v>2</v>
      </c>
      <c r="K670" t="s">
        <v>19</v>
      </c>
      <c r="L670" t="s">
        <v>349</v>
      </c>
      <c r="M670" s="3" t="s">
        <v>575</v>
      </c>
      <c r="N670"/>
    </row>
    <row r="671" spans="1:14" hidden="1" x14ac:dyDescent="0.25">
      <c r="A671" s="1" t="str">
        <f>VLOOKUP(Table2[[#This Row],[Prod Line ]],Lists!A:E,5,0)</f>
        <v>c</v>
      </c>
      <c r="B671" s="1">
        <v>44250</v>
      </c>
      <c r="C671" s="1">
        <v>44248</v>
      </c>
      <c r="D671" s="1" t="s">
        <v>60</v>
      </c>
      <c r="E671" s="2" t="s">
        <v>404</v>
      </c>
      <c r="F671" s="1"/>
      <c r="G671" s="2">
        <v>37</v>
      </c>
      <c r="H671" s="1"/>
      <c r="I671" t="s">
        <v>1</v>
      </c>
      <c r="J671" t="s">
        <v>2</v>
      </c>
      <c r="K671" t="s">
        <v>378</v>
      </c>
      <c r="L671" t="s">
        <v>349</v>
      </c>
      <c r="M671" s="3" t="s">
        <v>797</v>
      </c>
      <c r="N671"/>
    </row>
    <row r="672" spans="1:14" hidden="1" x14ac:dyDescent="0.25">
      <c r="A672" s="1" t="str">
        <f>VLOOKUP(Table2[[#This Row],[Prod Line ]],Lists!A:E,5,0)</f>
        <v>c</v>
      </c>
      <c r="B672" s="1">
        <v>44250</v>
      </c>
      <c r="C672" s="1">
        <v>44248</v>
      </c>
      <c r="D672" s="1" t="s">
        <v>60</v>
      </c>
      <c r="E672" s="2" t="s">
        <v>404</v>
      </c>
      <c r="F672" s="1"/>
      <c r="G672" s="2">
        <v>50</v>
      </c>
      <c r="H672" s="1"/>
      <c r="I672" t="s">
        <v>1</v>
      </c>
      <c r="J672" t="s">
        <v>2</v>
      </c>
      <c r="K672" t="s">
        <v>378</v>
      </c>
      <c r="L672" t="s">
        <v>349</v>
      </c>
      <c r="M672" s="3" t="s">
        <v>881</v>
      </c>
      <c r="N672"/>
    </row>
    <row r="673" spans="1:16" ht="30" hidden="1" x14ac:dyDescent="0.25">
      <c r="A673" s="1" t="str">
        <f>VLOOKUP(Table2[[#This Row],[Prod Line ]],Lists!A:E,5,0)</f>
        <v>c</v>
      </c>
      <c r="B673" s="1">
        <v>44252</v>
      </c>
      <c r="C673" s="1">
        <v>44250</v>
      </c>
      <c r="D673" s="1" t="s">
        <v>60</v>
      </c>
      <c r="E673" s="2" t="s">
        <v>404</v>
      </c>
      <c r="F673" s="1"/>
      <c r="G673" s="2">
        <v>66</v>
      </c>
      <c r="H673" s="1"/>
      <c r="I673" t="s">
        <v>0</v>
      </c>
      <c r="J673" t="s">
        <v>2</v>
      </c>
      <c r="K673" t="s">
        <v>378</v>
      </c>
      <c r="L673" t="s">
        <v>82</v>
      </c>
      <c r="M673" s="3" t="s">
        <v>943</v>
      </c>
      <c r="N673" s="20" t="s">
        <v>945</v>
      </c>
      <c r="O673" t="s">
        <v>944</v>
      </c>
      <c r="P673" t="s">
        <v>946</v>
      </c>
    </row>
    <row r="674" spans="1:16" hidden="1" x14ac:dyDescent="0.25">
      <c r="A674" s="1" t="str">
        <f>VLOOKUP(Table2[[#This Row],[Prod Line ]],Lists!A:E,5,0)</f>
        <v>c</v>
      </c>
      <c r="B674" s="1">
        <v>44252</v>
      </c>
      <c r="C674" s="1">
        <v>44250</v>
      </c>
      <c r="D674" s="1" t="s">
        <v>60</v>
      </c>
      <c r="E674" s="2" t="s">
        <v>404</v>
      </c>
      <c r="F674" s="1"/>
      <c r="G674" s="2">
        <v>2</v>
      </c>
      <c r="H674" s="1"/>
      <c r="I674" t="s">
        <v>1</v>
      </c>
      <c r="J674" t="s">
        <v>2</v>
      </c>
      <c r="K674" t="s">
        <v>378</v>
      </c>
      <c r="L674" t="s">
        <v>349</v>
      </c>
      <c r="M674" s="3" t="s">
        <v>883</v>
      </c>
      <c r="N674"/>
    </row>
    <row r="675" spans="1:16" hidden="1" x14ac:dyDescent="0.25">
      <c r="A675" s="1" t="str">
        <f>VLOOKUP(Table2[[#This Row],[Prod Line ]],Lists!A:E,5,0)</f>
        <v>c</v>
      </c>
      <c r="B675" s="1">
        <v>44252</v>
      </c>
      <c r="C675" s="1">
        <v>44250</v>
      </c>
      <c r="D675" s="1" t="s">
        <v>60</v>
      </c>
      <c r="E675" s="2" t="s">
        <v>405</v>
      </c>
      <c r="F675" s="1"/>
      <c r="G675" s="2">
        <v>15</v>
      </c>
      <c r="H675" s="1"/>
      <c r="I675" t="s">
        <v>1</v>
      </c>
      <c r="J675" t="s">
        <v>2</v>
      </c>
      <c r="K675" t="s">
        <v>378</v>
      </c>
      <c r="L675" t="s">
        <v>349</v>
      </c>
      <c r="M675" s="3" t="s">
        <v>797</v>
      </c>
      <c r="N675"/>
    </row>
    <row r="676" spans="1:16" hidden="1" x14ac:dyDescent="0.25">
      <c r="A676" s="1" t="str">
        <f>VLOOKUP(Table2[[#This Row],[Prod Line ]],Lists!A:E,5,0)</f>
        <v>a</v>
      </c>
      <c r="B676" s="1">
        <v>44252</v>
      </c>
      <c r="C676" s="1">
        <v>44250</v>
      </c>
      <c r="D676" s="1" t="s">
        <v>56</v>
      </c>
      <c r="E676" s="2" t="s">
        <v>404</v>
      </c>
      <c r="F676" s="1"/>
      <c r="G676" s="2">
        <v>6</v>
      </c>
      <c r="H676" s="1"/>
      <c r="I676" t="s">
        <v>1</v>
      </c>
      <c r="J676" t="s">
        <v>67</v>
      </c>
      <c r="K676" t="s">
        <v>67</v>
      </c>
      <c r="L676" t="s">
        <v>350</v>
      </c>
      <c r="M676" s="3" t="s">
        <v>884</v>
      </c>
      <c r="N676"/>
    </row>
    <row r="677" spans="1:16" hidden="1" x14ac:dyDescent="0.25">
      <c r="A677" s="1" t="str">
        <f>VLOOKUP(Table2[[#This Row],[Prod Line ]],Lists!A:E,5,0)</f>
        <v>d</v>
      </c>
      <c r="B677" s="1">
        <v>44252</v>
      </c>
      <c r="C677" s="1">
        <v>44250</v>
      </c>
      <c r="D677" s="1" t="s">
        <v>62</v>
      </c>
      <c r="E677" s="2" t="s">
        <v>406</v>
      </c>
      <c r="F677" s="1"/>
      <c r="G677" s="2">
        <v>5</v>
      </c>
      <c r="H677" s="1"/>
      <c r="I677" t="s">
        <v>1</v>
      </c>
      <c r="J677" t="s">
        <v>2</v>
      </c>
      <c r="K677" t="s">
        <v>19</v>
      </c>
      <c r="L677" t="s">
        <v>349</v>
      </c>
      <c r="M677" s="3" t="s">
        <v>885</v>
      </c>
      <c r="N677"/>
    </row>
    <row r="678" spans="1:16" hidden="1" x14ac:dyDescent="0.25">
      <c r="A678" s="1" t="str">
        <f>VLOOKUP(Table2[[#This Row],[Prod Line ]],Lists!A:E,5,0)</f>
        <v>d</v>
      </c>
      <c r="B678" s="1">
        <v>44252</v>
      </c>
      <c r="C678" s="1">
        <v>44250</v>
      </c>
      <c r="D678" s="1" t="s">
        <v>62</v>
      </c>
      <c r="E678" s="2" t="s">
        <v>404</v>
      </c>
      <c r="F678" s="1"/>
      <c r="G678" s="2">
        <v>4</v>
      </c>
      <c r="H678" s="1"/>
      <c r="I678" t="s">
        <v>1</v>
      </c>
      <c r="J678" t="s">
        <v>2</v>
      </c>
      <c r="K678" t="s">
        <v>19</v>
      </c>
      <c r="L678" t="s">
        <v>349</v>
      </c>
      <c r="M678" s="3" t="s">
        <v>575</v>
      </c>
      <c r="N678"/>
    </row>
    <row r="679" spans="1:16" hidden="1" x14ac:dyDescent="0.25">
      <c r="A679" s="1" t="str">
        <f>VLOOKUP(Table2[[#This Row],[Prod Line ]],Lists!A:E,5,0)</f>
        <v>d</v>
      </c>
      <c r="B679" s="1">
        <v>44252</v>
      </c>
      <c r="C679" s="1">
        <v>44250</v>
      </c>
      <c r="D679" s="1" t="s">
        <v>62</v>
      </c>
      <c r="E679" s="2" t="s">
        <v>405</v>
      </c>
      <c r="F679" s="1"/>
      <c r="G679" s="2">
        <v>5</v>
      </c>
      <c r="H679" s="1"/>
      <c r="I679" t="s">
        <v>1</v>
      </c>
      <c r="J679" t="s">
        <v>5</v>
      </c>
      <c r="K679" t="s">
        <v>396</v>
      </c>
      <c r="L679" t="s">
        <v>407</v>
      </c>
      <c r="M679" s="3" t="s">
        <v>886</v>
      </c>
      <c r="N679"/>
    </row>
    <row r="680" spans="1:16" hidden="1" x14ac:dyDescent="0.25">
      <c r="A680" s="1" t="str">
        <f>VLOOKUP(Table2[[#This Row],[Prod Line ]],Lists!A:E,5,0)</f>
        <v>d</v>
      </c>
      <c r="B680" s="1">
        <v>44252</v>
      </c>
      <c r="C680" s="1">
        <v>44250</v>
      </c>
      <c r="D680" s="1" t="s">
        <v>62</v>
      </c>
      <c r="E680" s="2" t="s">
        <v>405</v>
      </c>
      <c r="F680" s="1"/>
      <c r="G680" s="2">
        <v>35</v>
      </c>
      <c r="H680" s="1"/>
      <c r="I680" t="s">
        <v>1</v>
      </c>
      <c r="J680" t="s">
        <v>5</v>
      </c>
      <c r="K680" t="s">
        <v>397</v>
      </c>
      <c r="L680" t="s">
        <v>72</v>
      </c>
      <c r="M680" s="3" t="s">
        <v>658</v>
      </c>
      <c r="N680"/>
    </row>
    <row r="681" spans="1:16" hidden="1" x14ac:dyDescent="0.25">
      <c r="A681" s="1" t="str">
        <f>VLOOKUP(Table2[[#This Row],[Prod Line ]],Lists!A:E,5,0)</f>
        <v>d</v>
      </c>
      <c r="B681" s="1">
        <v>44253</v>
      </c>
      <c r="C681" s="1">
        <v>44251</v>
      </c>
      <c r="D681" s="1" t="s">
        <v>62</v>
      </c>
      <c r="E681" s="2" t="s">
        <v>404</v>
      </c>
      <c r="F681" s="1"/>
      <c r="G681" s="2">
        <v>5</v>
      </c>
      <c r="H681" s="1"/>
      <c r="I681" t="s">
        <v>1</v>
      </c>
      <c r="J681" t="s">
        <v>2</v>
      </c>
      <c r="K681" t="s">
        <v>19</v>
      </c>
      <c r="L681" t="s">
        <v>72</v>
      </c>
      <c r="M681" s="3" t="s">
        <v>598</v>
      </c>
      <c r="N681"/>
    </row>
    <row r="682" spans="1:16" hidden="1" x14ac:dyDescent="0.25">
      <c r="A682" s="1" t="str">
        <f>VLOOKUP(Table2[[#This Row],[Prod Line ]],Lists!A:E,5,0)</f>
        <v>b</v>
      </c>
      <c r="B682" s="1">
        <v>44254</v>
      </c>
      <c r="C682" s="1">
        <v>44252</v>
      </c>
      <c r="D682" s="1" t="s">
        <v>58</v>
      </c>
      <c r="E682" s="2" t="s">
        <v>404</v>
      </c>
      <c r="F682" s="1"/>
      <c r="G682" s="2">
        <v>10</v>
      </c>
      <c r="H682" s="1" t="s">
        <v>0</v>
      </c>
      <c r="I682" t="s">
        <v>0</v>
      </c>
      <c r="J682" t="s">
        <v>5</v>
      </c>
      <c r="K682" t="s">
        <v>37</v>
      </c>
      <c r="L682" t="s">
        <v>82</v>
      </c>
      <c r="M682" s="3" t="s">
        <v>890</v>
      </c>
    </row>
    <row r="683" spans="1:16" hidden="1" x14ac:dyDescent="0.25">
      <c r="A683" s="1" t="str">
        <f>VLOOKUP(Table2[[#This Row],[Prod Line ]],Lists!A:E,5,0)</f>
        <v>c</v>
      </c>
      <c r="B683" s="1">
        <v>44254</v>
      </c>
      <c r="C683" s="1">
        <v>44252</v>
      </c>
      <c r="D683" s="1" t="s">
        <v>60</v>
      </c>
      <c r="E683" s="2" t="s">
        <v>404</v>
      </c>
      <c r="F683" s="1"/>
      <c r="G683" s="2">
        <v>5</v>
      </c>
      <c r="H683" s="1"/>
      <c r="I683" t="s">
        <v>1</v>
      </c>
      <c r="J683" t="s">
        <v>2</v>
      </c>
      <c r="K683" t="s">
        <v>377</v>
      </c>
      <c r="L683" t="s">
        <v>349</v>
      </c>
      <c r="M683" s="3" t="s">
        <v>797</v>
      </c>
      <c r="N683"/>
    </row>
    <row r="684" spans="1:16" hidden="1" x14ac:dyDescent="0.25">
      <c r="A684" s="1" t="str">
        <f>VLOOKUP(Table2[[#This Row],[Prod Line ]],Lists!A:E,5,0)</f>
        <v>c</v>
      </c>
      <c r="B684" s="1">
        <v>44254</v>
      </c>
      <c r="C684" s="1">
        <v>44252</v>
      </c>
      <c r="D684" s="1" t="s">
        <v>60</v>
      </c>
      <c r="E684" s="2" t="s">
        <v>405</v>
      </c>
      <c r="F684" s="1"/>
      <c r="G684" s="2">
        <v>5</v>
      </c>
      <c r="H684" s="1"/>
      <c r="I684" t="s">
        <v>0</v>
      </c>
      <c r="J684" t="s">
        <v>2</v>
      </c>
      <c r="K684" t="s">
        <v>378</v>
      </c>
      <c r="L684" t="s">
        <v>70</v>
      </c>
      <c r="M684" s="3" t="s">
        <v>882</v>
      </c>
    </row>
    <row r="685" spans="1:16" hidden="1" x14ac:dyDescent="0.25">
      <c r="A685" s="1" t="str">
        <f>VLOOKUP(Table2[[#This Row],[Prod Line ]],Lists!A:E,5,0)</f>
        <v>c</v>
      </c>
      <c r="B685" s="1">
        <v>44254</v>
      </c>
      <c r="C685" s="1">
        <v>44252</v>
      </c>
      <c r="D685" s="1" t="s">
        <v>60</v>
      </c>
      <c r="E685" s="2" t="s">
        <v>405</v>
      </c>
      <c r="F685" s="1"/>
      <c r="G685" s="2">
        <v>30</v>
      </c>
      <c r="H685" s="1"/>
      <c r="I685" t="s">
        <v>1</v>
      </c>
      <c r="J685" t="s">
        <v>2</v>
      </c>
      <c r="K685" t="s">
        <v>378</v>
      </c>
      <c r="L685" t="s">
        <v>349</v>
      </c>
      <c r="M685" s="3" t="s">
        <v>891</v>
      </c>
      <c r="N685"/>
    </row>
    <row r="686" spans="1:16" hidden="1" x14ac:dyDescent="0.25">
      <c r="A686" s="1" t="str">
        <f>VLOOKUP(Table2[[#This Row],[Prod Line ]],Lists!A:E,5,0)</f>
        <v>a</v>
      </c>
      <c r="B686" s="1">
        <v>44254</v>
      </c>
      <c r="C686" s="1">
        <v>44252</v>
      </c>
      <c r="D686" s="1" t="s">
        <v>56</v>
      </c>
      <c r="E686" s="2" t="s">
        <v>404</v>
      </c>
      <c r="F686" s="1"/>
      <c r="G686" s="2">
        <v>7</v>
      </c>
      <c r="H686" s="1"/>
      <c r="I686" t="s">
        <v>1</v>
      </c>
      <c r="J686" t="s">
        <v>67</v>
      </c>
      <c r="K686" t="s">
        <v>67</v>
      </c>
      <c r="L686" t="s">
        <v>350</v>
      </c>
      <c r="M686" s="3" t="s">
        <v>709</v>
      </c>
      <c r="N686"/>
    </row>
    <row r="687" spans="1:16" hidden="1" x14ac:dyDescent="0.25">
      <c r="A687" s="1" t="str">
        <f>VLOOKUP(Table2[[#This Row],[Prod Line ]],Lists!A:E,5,0)</f>
        <v>d</v>
      </c>
      <c r="B687" s="1">
        <v>44254</v>
      </c>
      <c r="C687" s="1">
        <v>44252</v>
      </c>
      <c r="D687" s="1" t="s">
        <v>62</v>
      </c>
      <c r="E687" s="2" t="s">
        <v>406</v>
      </c>
      <c r="F687" s="1"/>
      <c r="G687" s="2">
        <v>40</v>
      </c>
      <c r="H687" s="1"/>
      <c r="I687" t="s">
        <v>1</v>
      </c>
      <c r="J687" t="s">
        <v>2</v>
      </c>
      <c r="K687" t="s">
        <v>19</v>
      </c>
      <c r="L687" t="s">
        <v>407</v>
      </c>
      <c r="M687" s="3" t="s">
        <v>892</v>
      </c>
      <c r="N687"/>
    </row>
    <row r="688" spans="1:16" hidden="1" x14ac:dyDescent="0.25">
      <c r="A688" s="1" t="str">
        <f>VLOOKUP(Table2[[#This Row],[Prod Line ]],Lists!A:E,5,0)</f>
        <v>d</v>
      </c>
      <c r="B688" s="1">
        <v>44254</v>
      </c>
      <c r="C688" s="1">
        <v>44252</v>
      </c>
      <c r="D688" s="1" t="s">
        <v>62</v>
      </c>
      <c r="E688" s="2" t="s">
        <v>404</v>
      </c>
      <c r="F688" s="1"/>
      <c r="G688" s="2">
        <v>4</v>
      </c>
      <c r="H688" s="1"/>
      <c r="I688" t="s">
        <v>1</v>
      </c>
      <c r="J688" t="s">
        <v>2</v>
      </c>
      <c r="K688" t="s">
        <v>19</v>
      </c>
      <c r="L688" t="s">
        <v>407</v>
      </c>
      <c r="M688" s="3" t="s">
        <v>553</v>
      </c>
      <c r="N688"/>
    </row>
    <row r="689" spans="1:16" hidden="1" x14ac:dyDescent="0.25">
      <c r="A689" s="1" t="str">
        <f>VLOOKUP(Table2[[#This Row],[Prod Line ]],Lists!A:E,5,0)</f>
        <v>d</v>
      </c>
      <c r="B689" s="1">
        <v>44254</v>
      </c>
      <c r="C689" s="1">
        <v>44252</v>
      </c>
      <c r="D689" s="1" t="s">
        <v>62</v>
      </c>
      <c r="E689" s="2" t="s">
        <v>405</v>
      </c>
      <c r="F689" s="1"/>
      <c r="G689" s="2">
        <v>5</v>
      </c>
      <c r="H689" s="1"/>
      <c r="I689" t="s">
        <v>1</v>
      </c>
      <c r="J689" t="s">
        <v>67</v>
      </c>
      <c r="K689" t="s">
        <v>67</v>
      </c>
      <c r="L689" t="s">
        <v>407</v>
      </c>
      <c r="M689" s="3" t="s">
        <v>893</v>
      </c>
      <c r="N689"/>
    </row>
    <row r="690" spans="1:16" hidden="1" x14ac:dyDescent="0.25">
      <c r="A690" s="1" t="str">
        <f>VLOOKUP(Table2[[#This Row],[Prod Line ]],Lists!A:E,5,0)</f>
        <v>a</v>
      </c>
      <c r="B690" s="1">
        <v>44256</v>
      </c>
      <c r="C690" s="1">
        <v>44254</v>
      </c>
      <c r="D690" s="1" t="s">
        <v>56</v>
      </c>
      <c r="E690" s="2" t="s">
        <v>404</v>
      </c>
      <c r="F690" s="1"/>
      <c r="G690" s="2">
        <v>10</v>
      </c>
      <c r="H690" s="1"/>
      <c r="I690" t="s">
        <v>0</v>
      </c>
      <c r="J690" t="s">
        <v>64</v>
      </c>
      <c r="K690" t="s">
        <v>363</v>
      </c>
      <c r="L690" t="s">
        <v>70</v>
      </c>
      <c r="M690" s="3" t="s">
        <v>894</v>
      </c>
    </row>
    <row r="691" spans="1:16" hidden="1" x14ac:dyDescent="0.25">
      <c r="A691" s="1" t="str">
        <f>VLOOKUP(Table2[[#This Row],[Prod Line ]],Lists!A:E,5,0)</f>
        <v>d</v>
      </c>
      <c r="B691" s="1">
        <v>44256</v>
      </c>
      <c r="C691" s="1">
        <v>44254</v>
      </c>
      <c r="D691" s="1" t="s">
        <v>62</v>
      </c>
      <c r="E691" s="2" t="s">
        <v>404</v>
      </c>
      <c r="F691" s="1"/>
      <c r="G691" s="2">
        <v>7</v>
      </c>
      <c r="H691" s="1"/>
      <c r="I691" t="s">
        <v>1</v>
      </c>
      <c r="J691" t="s">
        <v>5</v>
      </c>
      <c r="K691" t="s">
        <v>397</v>
      </c>
      <c r="L691" t="s">
        <v>407</v>
      </c>
      <c r="M691" s="3" t="s">
        <v>895</v>
      </c>
      <c r="N691"/>
    </row>
    <row r="692" spans="1:16" hidden="1" x14ac:dyDescent="0.25">
      <c r="A692" s="1" t="str">
        <f>VLOOKUP(Table2[[#This Row],[Prod Line ]],Lists!A:E,5,0)</f>
        <v>d</v>
      </c>
      <c r="B692" s="1">
        <v>44256</v>
      </c>
      <c r="C692" s="1">
        <v>44254</v>
      </c>
      <c r="D692" s="1" t="s">
        <v>62</v>
      </c>
      <c r="E692" s="2" t="s">
        <v>405</v>
      </c>
      <c r="F692" s="1"/>
      <c r="G692" s="2">
        <v>6</v>
      </c>
      <c r="H692" s="1"/>
      <c r="I692" t="s">
        <v>1</v>
      </c>
      <c r="J692" t="s">
        <v>64</v>
      </c>
      <c r="K692" t="s">
        <v>379</v>
      </c>
      <c r="L692" t="s">
        <v>407</v>
      </c>
      <c r="M692" s="3" t="s">
        <v>835</v>
      </c>
      <c r="N692"/>
    </row>
    <row r="693" spans="1:16" hidden="1" x14ac:dyDescent="0.25">
      <c r="A693" s="1" t="str">
        <f>VLOOKUP(Table2[[#This Row],[Prod Line ]],Lists!A:E,5,0)</f>
        <v>d</v>
      </c>
      <c r="B693" s="1">
        <v>44256</v>
      </c>
      <c r="C693" s="1">
        <v>44254</v>
      </c>
      <c r="D693" s="1" t="s">
        <v>62</v>
      </c>
      <c r="E693" s="2" t="s">
        <v>406</v>
      </c>
      <c r="F693" s="1"/>
      <c r="G693" s="2">
        <v>12</v>
      </c>
      <c r="H693" s="1"/>
      <c r="I693" t="s">
        <v>1</v>
      </c>
      <c r="J693" t="s">
        <v>64</v>
      </c>
      <c r="K693" t="s">
        <v>379</v>
      </c>
      <c r="L693" t="s">
        <v>407</v>
      </c>
      <c r="M693" s="3" t="s">
        <v>655</v>
      </c>
      <c r="N693"/>
    </row>
    <row r="694" spans="1:16" ht="30" hidden="1" x14ac:dyDescent="0.25">
      <c r="A694" s="1" t="str">
        <f>VLOOKUP(Table2[[#This Row],[Prod Line ]],Lists!A:E,5,0)</f>
        <v>a</v>
      </c>
      <c r="B694" s="1">
        <v>44257</v>
      </c>
      <c r="C694" s="1">
        <v>44255</v>
      </c>
      <c r="D694" s="1" t="s">
        <v>56</v>
      </c>
      <c r="E694" s="2" t="s">
        <v>404</v>
      </c>
      <c r="F694" s="1"/>
      <c r="G694" s="2">
        <v>201</v>
      </c>
      <c r="H694" s="1"/>
      <c r="I694" t="s">
        <v>0</v>
      </c>
      <c r="J694" t="s">
        <v>2</v>
      </c>
      <c r="K694" t="s">
        <v>19</v>
      </c>
      <c r="L694" t="s">
        <v>70</v>
      </c>
      <c r="M694" s="3" t="s">
        <v>899</v>
      </c>
      <c r="N694" s="20" t="s">
        <v>948</v>
      </c>
      <c r="O694" t="s">
        <v>947</v>
      </c>
      <c r="P694" t="s">
        <v>949</v>
      </c>
    </row>
    <row r="695" spans="1:16" hidden="1" x14ac:dyDescent="0.25">
      <c r="A695" s="1" t="str">
        <f>VLOOKUP(Table2[[#This Row],[Prod Line ]],Lists!A:E,5,0)</f>
        <v>b</v>
      </c>
      <c r="B695" s="1">
        <v>44257</v>
      </c>
      <c r="C695" s="1">
        <v>44255</v>
      </c>
      <c r="D695" s="1" t="s">
        <v>58</v>
      </c>
      <c r="E695" s="2" t="s">
        <v>404</v>
      </c>
      <c r="F695" s="1"/>
      <c r="G695" s="2">
        <v>6</v>
      </c>
      <c r="H695" s="1"/>
      <c r="I695" t="s">
        <v>1</v>
      </c>
      <c r="J695" t="s">
        <v>65</v>
      </c>
      <c r="K695" t="s">
        <v>27</v>
      </c>
      <c r="L695" t="s">
        <v>441</v>
      </c>
      <c r="M695" s="3" t="s">
        <v>896</v>
      </c>
      <c r="N695"/>
    </row>
    <row r="696" spans="1:16" hidden="1" x14ac:dyDescent="0.25">
      <c r="A696" s="1" t="str">
        <f>VLOOKUP(Table2[[#This Row],[Prod Line ]],Lists!A:E,5,0)</f>
        <v>b</v>
      </c>
      <c r="B696" s="1">
        <v>44257</v>
      </c>
      <c r="C696" s="1">
        <v>44255</v>
      </c>
      <c r="D696" s="1" t="s">
        <v>58</v>
      </c>
      <c r="E696" s="2" t="s">
        <v>404</v>
      </c>
      <c r="F696" s="1"/>
      <c r="G696" s="2">
        <v>4</v>
      </c>
      <c r="H696" s="1"/>
      <c r="I696" t="s">
        <v>1</v>
      </c>
      <c r="J696" t="s">
        <v>64</v>
      </c>
      <c r="K696" t="s">
        <v>20</v>
      </c>
      <c r="L696" t="s">
        <v>407</v>
      </c>
      <c r="M696" s="3" t="s">
        <v>897</v>
      </c>
      <c r="N696"/>
    </row>
    <row r="697" spans="1:16" hidden="1" x14ac:dyDescent="0.25">
      <c r="A697" s="1" t="str">
        <f>VLOOKUP(Table2[[#This Row],[Prod Line ]],Lists!A:E,5,0)</f>
        <v>b</v>
      </c>
      <c r="B697" s="1">
        <v>44257</v>
      </c>
      <c r="C697" s="1">
        <v>44255</v>
      </c>
      <c r="D697" s="1" t="s">
        <v>58</v>
      </c>
      <c r="E697" s="2" t="s">
        <v>404</v>
      </c>
      <c r="F697" s="1"/>
      <c r="G697" s="2">
        <v>4</v>
      </c>
      <c r="H697" s="1"/>
      <c r="I697" t="s">
        <v>1</v>
      </c>
      <c r="J697" t="s">
        <v>64</v>
      </c>
      <c r="K697" t="s">
        <v>22</v>
      </c>
      <c r="L697" t="s">
        <v>407</v>
      </c>
      <c r="M697" s="3" t="s">
        <v>898</v>
      </c>
      <c r="N697"/>
    </row>
    <row r="698" spans="1:16" hidden="1" x14ac:dyDescent="0.25">
      <c r="A698" s="1" t="str">
        <f>VLOOKUP(Table2[[#This Row],[Prod Line ]],Lists!A:E,5,0)</f>
        <v>d</v>
      </c>
      <c r="B698" s="1">
        <v>44257</v>
      </c>
      <c r="C698" s="1">
        <v>44255</v>
      </c>
      <c r="D698" s="1" t="s">
        <v>62</v>
      </c>
      <c r="E698" s="2" t="s">
        <v>404</v>
      </c>
      <c r="F698" s="1"/>
      <c r="G698" s="2">
        <v>6</v>
      </c>
      <c r="H698" s="1"/>
      <c r="I698" t="s">
        <v>1</v>
      </c>
      <c r="J698" t="s">
        <v>64</v>
      </c>
      <c r="K698" t="s">
        <v>379</v>
      </c>
      <c r="L698" t="s">
        <v>407</v>
      </c>
      <c r="M698" s="3" t="s">
        <v>610</v>
      </c>
      <c r="N698"/>
    </row>
    <row r="699" spans="1:16" ht="30" hidden="1" x14ac:dyDescent="0.25">
      <c r="A699" s="1" t="str">
        <f>VLOOKUP(Table2[[#This Row],[Prod Line ]],Lists!A:E,5,0)</f>
        <v>a</v>
      </c>
      <c r="B699" s="1">
        <v>44257</v>
      </c>
      <c r="C699" s="1">
        <v>44255</v>
      </c>
      <c r="D699" s="1" t="s">
        <v>56</v>
      </c>
      <c r="E699" s="2" t="s">
        <v>405</v>
      </c>
      <c r="F699" s="1"/>
      <c r="G699" s="2">
        <v>22</v>
      </c>
      <c r="H699" s="1"/>
      <c r="I699" t="s">
        <v>0</v>
      </c>
      <c r="J699" t="s">
        <v>2</v>
      </c>
      <c r="K699" t="s">
        <v>19</v>
      </c>
      <c r="L699" t="s">
        <v>70</v>
      </c>
      <c r="M699" s="3" t="s">
        <v>899</v>
      </c>
      <c r="N699" s="20" t="s">
        <v>948</v>
      </c>
      <c r="O699" t="s">
        <v>947</v>
      </c>
      <c r="P699" t="s">
        <v>949</v>
      </c>
    </row>
    <row r="700" spans="1:16" ht="30" hidden="1" x14ac:dyDescent="0.25">
      <c r="A700" s="1" t="str">
        <f>VLOOKUP(Table2[[#This Row],[Prod Line ]],Lists!A:E,5,0)</f>
        <v>a</v>
      </c>
      <c r="B700" s="1">
        <v>44257</v>
      </c>
      <c r="C700" s="1">
        <v>44255</v>
      </c>
      <c r="D700" s="1" t="s">
        <v>56</v>
      </c>
      <c r="E700" s="2" t="s">
        <v>405</v>
      </c>
      <c r="F700" s="1"/>
      <c r="G700" s="2">
        <v>22</v>
      </c>
      <c r="H700" s="1"/>
      <c r="I700" t="s">
        <v>0</v>
      </c>
      <c r="J700" t="s">
        <v>2</v>
      </c>
      <c r="K700" t="s">
        <v>19</v>
      </c>
      <c r="L700" t="s">
        <v>70</v>
      </c>
      <c r="M700" s="3" t="s">
        <v>900</v>
      </c>
      <c r="N700" s="20" t="s">
        <v>948</v>
      </c>
      <c r="O700" t="s">
        <v>947</v>
      </c>
      <c r="P700" t="s">
        <v>949</v>
      </c>
    </row>
    <row r="701" spans="1:16" ht="30" hidden="1" x14ac:dyDescent="0.25">
      <c r="A701" s="1" t="str">
        <f>VLOOKUP(Table2[[#This Row],[Prod Line ]],Lists!A:E,5,0)</f>
        <v>d</v>
      </c>
      <c r="B701" s="1">
        <v>44257</v>
      </c>
      <c r="C701" s="1">
        <v>44255</v>
      </c>
      <c r="D701" s="1" t="s">
        <v>62</v>
      </c>
      <c r="E701" s="2" t="s">
        <v>404</v>
      </c>
      <c r="F701" s="1"/>
      <c r="G701" s="2">
        <v>36</v>
      </c>
      <c r="H701" s="1"/>
      <c r="I701" t="s">
        <v>0</v>
      </c>
      <c r="J701" t="s">
        <v>2</v>
      </c>
      <c r="K701" t="s">
        <v>19</v>
      </c>
      <c r="L701" t="s">
        <v>70</v>
      </c>
      <c r="M701" s="3" t="s">
        <v>719</v>
      </c>
      <c r="N701" s="20" t="s">
        <v>948</v>
      </c>
      <c r="O701" t="s">
        <v>947</v>
      </c>
      <c r="P701" t="s">
        <v>949</v>
      </c>
    </row>
    <row r="702" spans="1:16" hidden="1" x14ac:dyDescent="0.25">
      <c r="A702" s="1" t="str">
        <f>VLOOKUP(Table2[[#This Row],[Prod Line ]],Lists!A:E,5,0)</f>
        <v>c</v>
      </c>
      <c r="B702" s="1">
        <v>44257</v>
      </c>
      <c r="C702" s="1">
        <v>44255</v>
      </c>
      <c r="D702" s="1" t="s">
        <v>60</v>
      </c>
      <c r="E702" s="2" t="s">
        <v>404</v>
      </c>
      <c r="F702" s="1"/>
      <c r="G702" s="2">
        <v>60</v>
      </c>
      <c r="H702" s="1"/>
      <c r="I702" t="s">
        <v>1</v>
      </c>
      <c r="J702" t="s">
        <v>64</v>
      </c>
      <c r="K702" t="s">
        <v>381</v>
      </c>
      <c r="L702" t="s">
        <v>407</v>
      </c>
      <c r="M702" s="3" t="s">
        <v>833</v>
      </c>
      <c r="N702"/>
    </row>
    <row r="703" spans="1:16" hidden="1" x14ac:dyDescent="0.25">
      <c r="A703" s="1" t="str">
        <f>VLOOKUP(Table2[[#This Row],[Prod Line ]],Lists!A:E,5,0)</f>
        <v>c</v>
      </c>
      <c r="B703" s="1">
        <v>44257</v>
      </c>
      <c r="C703" s="1">
        <v>44256</v>
      </c>
      <c r="D703" s="1" t="s">
        <v>60</v>
      </c>
      <c r="E703" s="2" t="s">
        <v>404</v>
      </c>
      <c r="F703" s="1"/>
      <c r="G703" s="2">
        <v>60</v>
      </c>
      <c r="H703" s="1"/>
      <c r="I703" t="s">
        <v>1</v>
      </c>
      <c r="J703" t="s">
        <v>64</v>
      </c>
      <c r="K703" t="s">
        <v>381</v>
      </c>
      <c r="L703" t="s">
        <v>407</v>
      </c>
      <c r="M703" s="3" t="s">
        <v>920</v>
      </c>
      <c r="N703"/>
    </row>
    <row r="704" spans="1:16" hidden="1" x14ac:dyDescent="0.25">
      <c r="A704" s="1" t="str">
        <f>VLOOKUP(Table2[[#This Row],[Prod Line ]],Lists!A:E,5,0)</f>
        <v>d</v>
      </c>
      <c r="B704" s="1">
        <v>44259</v>
      </c>
      <c r="C704" s="1">
        <v>44257</v>
      </c>
      <c r="D704" s="1" t="s">
        <v>62</v>
      </c>
      <c r="E704" s="2" t="s">
        <v>404</v>
      </c>
      <c r="F704" s="1"/>
      <c r="G704" s="2">
        <v>4</v>
      </c>
      <c r="H704" s="1"/>
      <c r="I704" t="s">
        <v>1</v>
      </c>
      <c r="J704" t="s">
        <v>2</v>
      </c>
      <c r="K704" t="s">
        <v>19</v>
      </c>
      <c r="L704" t="s">
        <v>349</v>
      </c>
      <c r="M704" s="3" t="s">
        <v>901</v>
      </c>
      <c r="N704"/>
    </row>
    <row r="705" spans="1:16" hidden="1" x14ac:dyDescent="0.25">
      <c r="A705" s="1" t="str">
        <f>VLOOKUP(Table2[[#This Row],[Prod Line ]],Lists!A:E,5,0)</f>
        <v>a</v>
      </c>
      <c r="B705" s="1">
        <v>44259</v>
      </c>
      <c r="C705" s="1">
        <v>44257</v>
      </c>
      <c r="D705" s="1" t="s">
        <v>56</v>
      </c>
      <c r="E705" s="2" t="s">
        <v>404</v>
      </c>
      <c r="F705" s="1"/>
      <c r="G705" s="2">
        <v>18</v>
      </c>
      <c r="H705" s="1"/>
      <c r="I705" t="s">
        <v>0</v>
      </c>
      <c r="J705" t="s">
        <v>64</v>
      </c>
      <c r="K705" t="s">
        <v>363</v>
      </c>
      <c r="L705" t="s">
        <v>70</v>
      </c>
      <c r="M705" s="3" t="s">
        <v>905</v>
      </c>
      <c r="N705" s="20" t="s">
        <v>952</v>
      </c>
      <c r="O705" t="s">
        <v>953</v>
      </c>
      <c r="P705" s="1">
        <v>44267</v>
      </c>
    </row>
    <row r="706" spans="1:16" hidden="1" x14ac:dyDescent="0.25">
      <c r="A706" s="1" t="str">
        <f>VLOOKUP(Table2[[#This Row],[Prod Line ]],Lists!A:E,5,0)</f>
        <v>d</v>
      </c>
      <c r="B706" s="1">
        <v>44259</v>
      </c>
      <c r="C706" s="1">
        <v>44257</v>
      </c>
      <c r="D706" s="1" t="s">
        <v>62</v>
      </c>
      <c r="E706" s="2" t="s">
        <v>404</v>
      </c>
      <c r="F706" s="1"/>
      <c r="G706" s="2">
        <v>43</v>
      </c>
      <c r="H706" s="1"/>
      <c r="I706" t="s">
        <v>1</v>
      </c>
      <c r="J706" t="s">
        <v>2</v>
      </c>
      <c r="K706" t="s">
        <v>19</v>
      </c>
      <c r="L706" t="s">
        <v>407</v>
      </c>
      <c r="M706" s="3" t="s">
        <v>903</v>
      </c>
      <c r="N706"/>
    </row>
    <row r="707" spans="1:16" hidden="1" x14ac:dyDescent="0.25">
      <c r="A707" s="1" t="str">
        <f>VLOOKUP(Table2[[#This Row],[Prod Line ]],Lists!A:E,5,0)</f>
        <v>d</v>
      </c>
      <c r="B707" s="1">
        <v>44259</v>
      </c>
      <c r="C707" s="1">
        <v>44257</v>
      </c>
      <c r="D707" s="1" t="s">
        <v>62</v>
      </c>
      <c r="E707" s="2" t="s">
        <v>405</v>
      </c>
      <c r="F707" s="1"/>
      <c r="G707" s="2">
        <v>26</v>
      </c>
      <c r="H707" s="1"/>
      <c r="I707" t="s">
        <v>1</v>
      </c>
      <c r="J707" t="s">
        <v>2</v>
      </c>
      <c r="K707" t="s">
        <v>19</v>
      </c>
      <c r="L707" t="s">
        <v>407</v>
      </c>
      <c r="M707" s="3" t="s">
        <v>904</v>
      </c>
      <c r="N707"/>
    </row>
    <row r="708" spans="1:16" hidden="1" x14ac:dyDescent="0.25">
      <c r="A708" s="1" t="str">
        <f>VLOOKUP(Table2[[#This Row],[Prod Line ]],Lists!A:E,5,0)</f>
        <v>d</v>
      </c>
      <c r="B708" s="1">
        <v>44259</v>
      </c>
      <c r="C708" s="1">
        <v>44257</v>
      </c>
      <c r="D708" s="1" t="s">
        <v>62</v>
      </c>
      <c r="E708" s="2" t="s">
        <v>405</v>
      </c>
      <c r="F708" s="1"/>
      <c r="G708" s="2">
        <v>3</v>
      </c>
      <c r="H708" s="1"/>
      <c r="I708" t="s">
        <v>1</v>
      </c>
      <c r="J708" t="s">
        <v>2</v>
      </c>
      <c r="K708" t="s">
        <v>19</v>
      </c>
      <c r="L708" t="s">
        <v>72</v>
      </c>
      <c r="M708" s="3" t="s">
        <v>575</v>
      </c>
      <c r="N708"/>
    </row>
    <row r="709" spans="1:16" ht="30" hidden="1" x14ac:dyDescent="0.25">
      <c r="A709" s="1" t="str">
        <f>VLOOKUP(Table2[[#This Row],[Prod Line ]],Lists!A:E,5,0)</f>
        <v>a</v>
      </c>
      <c r="B709" s="1">
        <v>44259</v>
      </c>
      <c r="C709" s="1">
        <v>44257</v>
      </c>
      <c r="D709" s="1" t="s">
        <v>56</v>
      </c>
      <c r="E709" s="2" t="s">
        <v>404</v>
      </c>
      <c r="F709" s="1"/>
      <c r="G709" s="2">
        <v>19</v>
      </c>
      <c r="H709" s="1"/>
      <c r="I709" t="s">
        <v>0</v>
      </c>
      <c r="J709" t="s">
        <v>64</v>
      </c>
      <c r="K709" t="s">
        <v>365</v>
      </c>
      <c r="L709" t="s">
        <v>70</v>
      </c>
      <c r="M709" s="3" t="s">
        <v>906</v>
      </c>
      <c r="N709" s="20" t="s">
        <v>954</v>
      </c>
      <c r="O709" t="s">
        <v>953</v>
      </c>
      <c r="P709" s="1">
        <v>44267</v>
      </c>
    </row>
    <row r="710" spans="1:16" hidden="1" x14ac:dyDescent="0.25">
      <c r="A710" s="1" t="str">
        <f>VLOOKUP(Table2[[#This Row],[Prod Line ]],Lists!A:E,5,0)</f>
        <v>d</v>
      </c>
      <c r="B710" s="1">
        <v>44259</v>
      </c>
      <c r="C710" s="1">
        <v>44257</v>
      </c>
      <c r="D710" s="1" t="s">
        <v>62</v>
      </c>
      <c r="E710" s="2" t="s">
        <v>404</v>
      </c>
      <c r="F710" s="1"/>
      <c r="G710" s="2">
        <v>5</v>
      </c>
      <c r="H710" s="1"/>
      <c r="I710" t="s">
        <v>0</v>
      </c>
      <c r="J710" t="s">
        <v>65</v>
      </c>
      <c r="K710" t="s">
        <v>394</v>
      </c>
      <c r="L710" t="s">
        <v>70</v>
      </c>
      <c r="M710" s="3" t="s">
        <v>902</v>
      </c>
    </row>
    <row r="711" spans="1:16" hidden="1" x14ac:dyDescent="0.25">
      <c r="A711" s="1" t="str">
        <f>VLOOKUP(Table2[[#This Row],[Prod Line ]],Lists!A:E,5,0)</f>
        <v>c</v>
      </c>
      <c r="B711" s="1">
        <v>44259</v>
      </c>
      <c r="C711" s="1">
        <v>44257</v>
      </c>
      <c r="D711" s="1" t="s">
        <v>60</v>
      </c>
      <c r="E711" s="2" t="s">
        <v>404</v>
      </c>
      <c r="F711" s="1"/>
      <c r="G711" s="2">
        <v>16</v>
      </c>
      <c r="H711" s="1"/>
      <c r="I711" t="s">
        <v>1</v>
      </c>
      <c r="J711" t="s">
        <v>2</v>
      </c>
      <c r="K711" t="s">
        <v>378</v>
      </c>
      <c r="L711" t="s">
        <v>349</v>
      </c>
      <c r="M711" s="3" t="s">
        <v>797</v>
      </c>
      <c r="N711"/>
    </row>
    <row r="712" spans="1:16" hidden="1" x14ac:dyDescent="0.25">
      <c r="A712" s="1" t="str">
        <f>VLOOKUP(Table2[[#This Row],[Prod Line ]],Lists!A:E,5,0)</f>
        <v>c</v>
      </c>
      <c r="B712" s="1">
        <v>44259</v>
      </c>
      <c r="C712" s="1">
        <v>44257</v>
      </c>
      <c r="D712" s="1" t="s">
        <v>60</v>
      </c>
      <c r="E712" s="2" t="s">
        <v>404</v>
      </c>
      <c r="F712" s="1"/>
      <c r="G712" s="2">
        <v>18</v>
      </c>
      <c r="H712" s="1"/>
      <c r="I712" t="s">
        <v>1</v>
      </c>
      <c r="J712" t="s">
        <v>26</v>
      </c>
      <c r="K712" t="s">
        <v>26</v>
      </c>
      <c r="L712" t="s">
        <v>430</v>
      </c>
      <c r="M712" s="3" t="s">
        <v>907</v>
      </c>
      <c r="N712"/>
    </row>
    <row r="713" spans="1:16" hidden="1" x14ac:dyDescent="0.25">
      <c r="A713" s="1" t="str">
        <f>VLOOKUP(Table2[[#This Row],[Prod Line ]],Lists!A:E,5,0)</f>
        <v>c</v>
      </c>
      <c r="B713" s="1">
        <v>44259</v>
      </c>
      <c r="C713" s="1">
        <v>44257</v>
      </c>
      <c r="D713" s="1" t="s">
        <v>60</v>
      </c>
      <c r="E713" s="2" t="s">
        <v>405</v>
      </c>
      <c r="F713" s="1"/>
      <c r="G713" s="2">
        <v>5</v>
      </c>
      <c r="H713" s="1"/>
      <c r="I713" t="s">
        <v>1</v>
      </c>
      <c r="J713" t="s">
        <v>65</v>
      </c>
      <c r="K713" t="s">
        <v>3</v>
      </c>
      <c r="L713" t="s">
        <v>407</v>
      </c>
      <c r="M713" s="3" t="s">
        <v>908</v>
      </c>
      <c r="N713"/>
    </row>
    <row r="714" spans="1:16" hidden="1" x14ac:dyDescent="0.25">
      <c r="A714" s="1" t="str">
        <f>VLOOKUP(Table2[[#This Row],[Prod Line ]],Lists!A:E,5,0)</f>
        <v>c</v>
      </c>
      <c r="B714" s="1">
        <v>44259</v>
      </c>
      <c r="C714" s="1">
        <v>44257</v>
      </c>
      <c r="D714" s="1" t="s">
        <v>60</v>
      </c>
      <c r="E714" s="2" t="s">
        <v>405</v>
      </c>
      <c r="F714" s="1"/>
      <c r="G714" s="2">
        <v>7</v>
      </c>
      <c r="H714" s="1"/>
      <c r="I714" t="s">
        <v>1</v>
      </c>
      <c r="J714" t="s">
        <v>2</v>
      </c>
      <c r="K714" t="s">
        <v>378</v>
      </c>
      <c r="L714" t="s">
        <v>349</v>
      </c>
      <c r="M714" s="3" t="s">
        <v>797</v>
      </c>
      <c r="N714"/>
    </row>
    <row r="715" spans="1:16" hidden="1" x14ac:dyDescent="0.25">
      <c r="A715" s="1" t="str">
        <f>VLOOKUP(Table2[[#This Row],[Prod Line ]],Lists!A:E,5,0)</f>
        <v>c</v>
      </c>
      <c r="B715" s="1">
        <v>44260</v>
      </c>
      <c r="C715" s="1">
        <v>44258</v>
      </c>
      <c r="D715" s="1" t="s">
        <v>60</v>
      </c>
      <c r="E715" s="2" t="s">
        <v>404</v>
      </c>
      <c r="F715" s="1"/>
      <c r="G715" s="2">
        <v>11</v>
      </c>
      <c r="H715" s="1"/>
      <c r="I715" t="s">
        <v>1</v>
      </c>
      <c r="J715" t="s">
        <v>2</v>
      </c>
      <c r="K715" t="s">
        <v>378</v>
      </c>
      <c r="L715" t="s">
        <v>349</v>
      </c>
      <c r="M715" s="3" t="s">
        <v>909</v>
      </c>
      <c r="N715"/>
    </row>
    <row r="716" spans="1:16" hidden="1" x14ac:dyDescent="0.25">
      <c r="A716" s="1" t="str">
        <f>VLOOKUP(Table2[[#This Row],[Prod Line ]],Lists!A:E,5,0)</f>
        <v>c</v>
      </c>
      <c r="B716" s="1">
        <v>44260</v>
      </c>
      <c r="C716" s="1">
        <v>44258</v>
      </c>
      <c r="D716" s="1" t="s">
        <v>60</v>
      </c>
      <c r="E716" s="2" t="s">
        <v>405</v>
      </c>
      <c r="F716" s="1"/>
      <c r="G716" s="2">
        <v>5</v>
      </c>
      <c r="H716" s="1"/>
      <c r="I716" t="s">
        <v>1</v>
      </c>
      <c r="J716" t="s">
        <v>2</v>
      </c>
      <c r="K716" t="s">
        <v>378</v>
      </c>
      <c r="L716" t="s">
        <v>349</v>
      </c>
      <c r="M716" s="3" t="s">
        <v>910</v>
      </c>
      <c r="N716"/>
    </row>
    <row r="717" spans="1:16" hidden="1" x14ac:dyDescent="0.25">
      <c r="A717" s="1" t="str">
        <f>VLOOKUP(Table2[[#This Row],[Prod Line ]],Lists!A:E,5,0)</f>
        <v>a</v>
      </c>
      <c r="B717" s="1">
        <v>44261</v>
      </c>
      <c r="C717" s="1">
        <v>44259</v>
      </c>
      <c r="D717" s="1" t="s">
        <v>56</v>
      </c>
      <c r="E717" s="2" t="s">
        <v>404</v>
      </c>
      <c r="F717" s="1"/>
      <c r="G717" s="2">
        <v>24</v>
      </c>
      <c r="H717" s="1"/>
      <c r="I717" t="s">
        <v>0</v>
      </c>
      <c r="J717" t="s">
        <v>64</v>
      </c>
      <c r="K717" t="s">
        <v>363</v>
      </c>
      <c r="L717" t="s">
        <v>70</v>
      </c>
      <c r="M717" s="3" t="s">
        <v>911</v>
      </c>
      <c r="N717" s="20" t="s">
        <v>952</v>
      </c>
      <c r="O717" t="s">
        <v>953</v>
      </c>
      <c r="P717" s="1">
        <v>44267</v>
      </c>
    </row>
    <row r="718" spans="1:16" hidden="1" x14ac:dyDescent="0.25">
      <c r="A718" s="1" t="str">
        <f>VLOOKUP(Table2[[#This Row],[Prod Line ]],Lists!A:E,5,0)</f>
        <v>a</v>
      </c>
      <c r="B718" s="1">
        <v>44261</v>
      </c>
      <c r="C718" s="1">
        <v>44259</v>
      </c>
      <c r="D718" s="1" t="s">
        <v>56</v>
      </c>
      <c r="E718" s="2" t="s">
        <v>404</v>
      </c>
      <c r="F718" s="1"/>
      <c r="G718" s="2">
        <v>13</v>
      </c>
      <c r="H718" s="1"/>
      <c r="I718" t="s">
        <v>0</v>
      </c>
      <c r="J718" t="s">
        <v>64</v>
      </c>
      <c r="K718" t="s">
        <v>363</v>
      </c>
      <c r="L718" t="s">
        <v>70</v>
      </c>
      <c r="M718" s="3" t="s">
        <v>912</v>
      </c>
      <c r="N718" s="20" t="s">
        <v>952</v>
      </c>
      <c r="O718" t="s">
        <v>953</v>
      </c>
      <c r="P718" s="1">
        <v>44267</v>
      </c>
    </row>
    <row r="719" spans="1:16" hidden="1" x14ac:dyDescent="0.25">
      <c r="A719" s="1" t="str">
        <f>VLOOKUP(Table2[[#This Row],[Prod Line ]],Lists!A:E,5,0)</f>
        <v>a</v>
      </c>
      <c r="B719" s="1">
        <v>44261</v>
      </c>
      <c r="C719" s="1">
        <v>44259</v>
      </c>
      <c r="D719" s="1" t="s">
        <v>56</v>
      </c>
      <c r="E719" s="2" t="s">
        <v>405</v>
      </c>
      <c r="F719" s="1"/>
      <c r="G719" s="2">
        <v>22</v>
      </c>
      <c r="H719" s="1" t="s">
        <v>1</v>
      </c>
      <c r="I719" t="s">
        <v>1</v>
      </c>
      <c r="J719" t="s">
        <v>26</v>
      </c>
      <c r="K719" t="s">
        <v>26</v>
      </c>
      <c r="L719" t="s">
        <v>407</v>
      </c>
      <c r="M719" s="3" t="s">
        <v>913</v>
      </c>
      <c r="N719"/>
    </row>
    <row r="720" spans="1:16" hidden="1" x14ac:dyDescent="0.25">
      <c r="A720" s="1" t="str">
        <f>VLOOKUP(Table2[[#This Row],[Prod Line ]],Lists!A:E,5,0)</f>
        <v>b</v>
      </c>
      <c r="B720" s="1">
        <v>44261</v>
      </c>
      <c r="C720" s="1">
        <v>44259</v>
      </c>
      <c r="D720" s="1" t="s">
        <v>58</v>
      </c>
      <c r="E720" s="2" t="s">
        <v>404</v>
      </c>
      <c r="F720" s="1"/>
      <c r="G720" s="2">
        <v>5</v>
      </c>
      <c r="H720" s="1"/>
      <c r="I720" t="s">
        <v>0</v>
      </c>
      <c r="J720" t="s">
        <v>66</v>
      </c>
      <c r="K720" t="s">
        <v>34</v>
      </c>
      <c r="L720" t="s">
        <v>70</v>
      </c>
      <c r="M720" s="3" t="s">
        <v>629</v>
      </c>
    </row>
    <row r="721" spans="1:14" hidden="1" x14ac:dyDescent="0.25">
      <c r="A721" s="1" t="str">
        <f>VLOOKUP(Table2[[#This Row],[Prod Line ]],Lists!A:E,5,0)</f>
        <v>c</v>
      </c>
      <c r="B721" s="1">
        <v>44261</v>
      </c>
      <c r="C721" s="1">
        <v>44259</v>
      </c>
      <c r="D721" s="1" t="s">
        <v>60</v>
      </c>
      <c r="E721" s="2" t="s">
        <v>404</v>
      </c>
      <c r="F721" s="1"/>
      <c r="G721" s="2">
        <v>22</v>
      </c>
      <c r="H721" s="1"/>
      <c r="I721" t="s">
        <v>1</v>
      </c>
      <c r="J721" t="s">
        <v>2</v>
      </c>
      <c r="K721" t="s">
        <v>378</v>
      </c>
      <c r="L721" t="s">
        <v>349</v>
      </c>
      <c r="M721" s="3" t="s">
        <v>914</v>
      </c>
      <c r="N721"/>
    </row>
    <row r="722" spans="1:14" hidden="1" x14ac:dyDescent="0.25">
      <c r="A722" s="1" t="str">
        <f>VLOOKUP(Table2[[#This Row],[Prod Line ]],Lists!A:E,5,0)</f>
        <v>c</v>
      </c>
      <c r="B722" s="1">
        <v>44261</v>
      </c>
      <c r="C722" s="1">
        <v>44259</v>
      </c>
      <c r="D722" s="1" t="s">
        <v>60</v>
      </c>
      <c r="E722" s="2" t="s">
        <v>404</v>
      </c>
      <c r="F722" s="1"/>
      <c r="G722" s="2">
        <v>10</v>
      </c>
      <c r="H722" s="1"/>
      <c r="I722" t="s">
        <v>1</v>
      </c>
      <c r="J722" t="s">
        <v>26</v>
      </c>
      <c r="K722" t="s">
        <v>26</v>
      </c>
      <c r="L722" t="s">
        <v>430</v>
      </c>
      <c r="M722" s="3" t="s">
        <v>915</v>
      </c>
      <c r="N722"/>
    </row>
    <row r="723" spans="1:14" hidden="1" x14ac:dyDescent="0.25">
      <c r="A723" s="1" t="str">
        <f>VLOOKUP(Table2[[#This Row],[Prod Line ]],Lists!A:E,5,0)</f>
        <v>c</v>
      </c>
      <c r="B723" s="1">
        <v>44261</v>
      </c>
      <c r="C723" s="1">
        <v>44259</v>
      </c>
      <c r="D723" s="1" t="s">
        <v>60</v>
      </c>
      <c r="E723" s="2" t="s">
        <v>405</v>
      </c>
      <c r="F723" s="1"/>
      <c r="G723" s="2">
        <v>10</v>
      </c>
      <c r="H723" s="1"/>
      <c r="I723" t="s">
        <v>1</v>
      </c>
      <c r="J723" t="s">
        <v>64</v>
      </c>
      <c r="K723" t="s">
        <v>380</v>
      </c>
      <c r="L723" t="s">
        <v>407</v>
      </c>
      <c r="M723" s="3" t="s">
        <v>916</v>
      </c>
      <c r="N723"/>
    </row>
    <row r="724" spans="1:14" hidden="1" x14ac:dyDescent="0.25">
      <c r="A724" s="1" t="str">
        <f>VLOOKUP(Table2[[#This Row],[Prod Line ]],Lists!A:E,5,0)</f>
        <v>c</v>
      </c>
      <c r="B724" s="1">
        <v>44261</v>
      </c>
      <c r="C724" s="1">
        <v>44259</v>
      </c>
      <c r="D724" s="1" t="s">
        <v>60</v>
      </c>
      <c r="E724" s="2" t="s">
        <v>405</v>
      </c>
      <c r="F724" s="1"/>
      <c r="G724" s="2">
        <v>10</v>
      </c>
      <c r="H724" s="1"/>
      <c r="I724" t="s">
        <v>1</v>
      </c>
      <c r="J724" t="s">
        <v>2</v>
      </c>
      <c r="K724" t="s">
        <v>378</v>
      </c>
      <c r="L724" t="s">
        <v>349</v>
      </c>
      <c r="M724" s="3" t="s">
        <v>797</v>
      </c>
      <c r="N724"/>
    </row>
    <row r="725" spans="1:14" hidden="1" x14ac:dyDescent="0.25">
      <c r="A725" s="1" t="str">
        <f>VLOOKUP(Table2[[#This Row],[Prod Line ]],Lists!A:E,5,0)</f>
        <v>d</v>
      </c>
      <c r="B725" s="1">
        <v>44261</v>
      </c>
      <c r="C725" s="1">
        <v>44259</v>
      </c>
      <c r="D725" s="1" t="s">
        <v>62</v>
      </c>
      <c r="E725" s="2" t="s">
        <v>406</v>
      </c>
      <c r="F725" s="1"/>
      <c r="G725" s="2">
        <v>30</v>
      </c>
      <c r="H725" s="1"/>
      <c r="I725" t="s">
        <v>1</v>
      </c>
      <c r="J725" t="s">
        <v>65</v>
      </c>
      <c r="K725" t="s">
        <v>394</v>
      </c>
      <c r="L725" t="s">
        <v>407</v>
      </c>
      <c r="M725" s="3" t="s">
        <v>917</v>
      </c>
      <c r="N725"/>
    </row>
    <row r="726" spans="1:14" hidden="1" x14ac:dyDescent="0.25">
      <c r="A726" s="1" t="str">
        <f>VLOOKUP(Table2[[#This Row],[Prod Line ]],Lists!A:E,5,0)</f>
        <v>d</v>
      </c>
      <c r="B726" s="1">
        <v>44261</v>
      </c>
      <c r="C726" s="1">
        <v>44259</v>
      </c>
      <c r="D726" s="1" t="s">
        <v>62</v>
      </c>
      <c r="E726" s="2" t="s">
        <v>404</v>
      </c>
      <c r="F726" s="1"/>
      <c r="G726" s="2">
        <v>145</v>
      </c>
      <c r="H726" s="1"/>
      <c r="I726" t="s">
        <v>1</v>
      </c>
      <c r="J726" t="s">
        <v>65</v>
      </c>
      <c r="K726" t="s">
        <v>394</v>
      </c>
      <c r="L726" t="s">
        <v>407</v>
      </c>
      <c r="M726" s="3" t="s">
        <v>917</v>
      </c>
      <c r="N726"/>
    </row>
    <row r="727" spans="1:14" hidden="1" x14ac:dyDescent="0.25">
      <c r="A727" s="1" t="str">
        <f>VLOOKUP(Table2[[#This Row],[Prod Line ]],Lists!A:E,5,0)</f>
        <v>d</v>
      </c>
      <c r="B727" s="1">
        <v>44261</v>
      </c>
      <c r="C727" s="1">
        <v>44259</v>
      </c>
      <c r="D727" s="1" t="s">
        <v>62</v>
      </c>
      <c r="E727" s="2" t="s">
        <v>405</v>
      </c>
      <c r="F727" s="1"/>
      <c r="G727" s="2">
        <v>24</v>
      </c>
      <c r="H727" s="1"/>
      <c r="I727" t="s">
        <v>1</v>
      </c>
      <c r="J727" t="s">
        <v>2</v>
      </c>
      <c r="K727" t="s">
        <v>19</v>
      </c>
      <c r="L727" t="s">
        <v>407</v>
      </c>
      <c r="M727" s="3" t="s">
        <v>918</v>
      </c>
      <c r="N727"/>
    </row>
    <row r="728" spans="1:14" hidden="1" x14ac:dyDescent="0.25">
      <c r="A728" s="1" t="str">
        <f>VLOOKUP(Table2[[#This Row],[Prod Line ]],Lists!A:E,5,0)</f>
        <v>d</v>
      </c>
      <c r="B728" s="1">
        <v>44261</v>
      </c>
      <c r="C728" s="1">
        <v>44259</v>
      </c>
      <c r="D728" s="1" t="s">
        <v>62</v>
      </c>
      <c r="E728" s="2" t="s">
        <v>405</v>
      </c>
      <c r="F728" s="1"/>
      <c r="G728" s="2">
        <v>40</v>
      </c>
      <c r="H728" s="1"/>
      <c r="I728" t="s">
        <v>1</v>
      </c>
      <c r="J728" t="s">
        <v>2</v>
      </c>
      <c r="K728" t="s">
        <v>19</v>
      </c>
      <c r="L728" t="s">
        <v>407</v>
      </c>
      <c r="M728" s="3" t="s">
        <v>919</v>
      </c>
      <c r="N728"/>
    </row>
    <row r="729" spans="1:14" hidden="1" x14ac:dyDescent="0.25">
      <c r="A729" s="1" t="str">
        <f>VLOOKUP(Table2[[#This Row],[Prod Line ]],Lists!A:E,5,0)</f>
        <v>c</v>
      </c>
      <c r="B729" s="1">
        <v>44261</v>
      </c>
      <c r="C729" s="1">
        <v>44259</v>
      </c>
      <c r="D729" s="1" t="s">
        <v>60</v>
      </c>
      <c r="E729" s="2" t="s">
        <v>404</v>
      </c>
      <c r="F729" s="1"/>
      <c r="G729" s="2">
        <v>3</v>
      </c>
      <c r="H729" s="1"/>
      <c r="I729" t="s">
        <v>1</v>
      </c>
      <c r="J729" t="s">
        <v>2</v>
      </c>
      <c r="K729" t="s">
        <v>19</v>
      </c>
      <c r="L729" t="s">
        <v>349</v>
      </c>
      <c r="M729" s="3" t="s">
        <v>797</v>
      </c>
      <c r="N729"/>
    </row>
    <row r="730" spans="1:14" hidden="1" x14ac:dyDescent="0.25">
      <c r="A730" s="1" t="str">
        <f>VLOOKUP(Table2[[#This Row],[Prod Line ]],Lists!A:E,5,0)</f>
        <v>a</v>
      </c>
      <c r="B730" s="1">
        <v>44263</v>
      </c>
      <c r="C730" s="1">
        <v>44262</v>
      </c>
      <c r="D730" s="1" t="s">
        <v>56</v>
      </c>
      <c r="E730" s="2" t="s">
        <v>404</v>
      </c>
      <c r="F730" s="1"/>
      <c r="G730" s="2">
        <v>11</v>
      </c>
      <c r="H730" s="1"/>
      <c r="I730" t="s">
        <v>0</v>
      </c>
      <c r="J730" t="s">
        <v>64</v>
      </c>
      <c r="K730" t="s">
        <v>367</v>
      </c>
      <c r="L730" t="s">
        <v>70</v>
      </c>
      <c r="M730" s="3" t="s">
        <v>921</v>
      </c>
    </row>
    <row r="731" spans="1:14" hidden="1" x14ac:dyDescent="0.25">
      <c r="A731" s="1" t="str">
        <f>VLOOKUP(Table2[[#This Row],[Prod Line ]],Lists!A:E,5,0)</f>
        <v>a</v>
      </c>
      <c r="B731" s="1">
        <v>44263</v>
      </c>
      <c r="C731" s="1">
        <v>44262</v>
      </c>
      <c r="D731" s="1" t="s">
        <v>56</v>
      </c>
      <c r="E731" s="2" t="s">
        <v>405</v>
      </c>
      <c r="F731" s="1"/>
      <c r="G731" s="2">
        <v>7</v>
      </c>
      <c r="H731" s="1"/>
      <c r="I731" t="s">
        <v>0</v>
      </c>
      <c r="J731" t="s">
        <v>66</v>
      </c>
      <c r="K731" t="s">
        <v>34</v>
      </c>
      <c r="L731" t="s">
        <v>70</v>
      </c>
      <c r="M731" s="3" t="s">
        <v>922</v>
      </c>
    </row>
    <row r="732" spans="1:14" hidden="1" x14ac:dyDescent="0.25">
      <c r="A732" s="1" t="str">
        <f>VLOOKUP(Table2[[#This Row],[Prod Line ]],Lists!A:E,5,0)</f>
        <v>b</v>
      </c>
      <c r="B732" s="1">
        <v>44263</v>
      </c>
      <c r="C732" s="1">
        <v>44262</v>
      </c>
      <c r="D732" s="1" t="s">
        <v>58</v>
      </c>
      <c r="E732" s="2" t="s">
        <v>406</v>
      </c>
      <c r="F732" s="1"/>
      <c r="G732" s="2">
        <v>4</v>
      </c>
      <c r="H732" s="1"/>
      <c r="I732" t="s">
        <v>1</v>
      </c>
      <c r="J732" t="s">
        <v>65</v>
      </c>
      <c r="K732" t="s">
        <v>27</v>
      </c>
      <c r="L732" t="s">
        <v>441</v>
      </c>
      <c r="M732" s="3" t="s">
        <v>923</v>
      </c>
      <c r="N732"/>
    </row>
    <row r="733" spans="1:14" hidden="1" x14ac:dyDescent="0.25">
      <c r="A733" s="1" t="str">
        <f>VLOOKUP(Table2[[#This Row],[Prod Line ]],Lists!A:E,5,0)</f>
        <v>b</v>
      </c>
      <c r="B733" s="1">
        <v>44263</v>
      </c>
      <c r="C733" s="1">
        <v>44262</v>
      </c>
      <c r="D733" s="1" t="s">
        <v>58</v>
      </c>
      <c r="E733" s="2" t="s">
        <v>406</v>
      </c>
      <c r="F733" s="1"/>
      <c r="G733" s="2">
        <v>5</v>
      </c>
      <c r="H733" s="1"/>
      <c r="I733" t="s">
        <v>1</v>
      </c>
      <c r="J733" t="s">
        <v>2</v>
      </c>
      <c r="K733" t="s">
        <v>17</v>
      </c>
      <c r="L733" t="s">
        <v>349</v>
      </c>
      <c r="M733" s="3" t="s">
        <v>924</v>
      </c>
      <c r="N733"/>
    </row>
    <row r="734" spans="1:14" hidden="1" x14ac:dyDescent="0.25">
      <c r="A734" s="1" t="str">
        <f>VLOOKUP(Table2[[#This Row],[Prod Line ]],Lists!A:E,5,0)</f>
        <v>b</v>
      </c>
      <c r="B734" s="1">
        <v>44263</v>
      </c>
      <c r="C734" s="1">
        <v>44262</v>
      </c>
      <c r="D734" s="1" t="s">
        <v>58</v>
      </c>
      <c r="E734" s="2" t="s">
        <v>404</v>
      </c>
      <c r="F734" s="1"/>
      <c r="G734" s="2">
        <v>5</v>
      </c>
      <c r="H734" s="1"/>
      <c r="I734" t="s">
        <v>0</v>
      </c>
      <c r="J734" t="s">
        <v>65</v>
      </c>
      <c r="K734" t="s">
        <v>27</v>
      </c>
      <c r="L734" t="s">
        <v>83</v>
      </c>
      <c r="M734" s="3" t="s">
        <v>925</v>
      </c>
    </row>
    <row r="735" spans="1:14" hidden="1" x14ac:dyDescent="0.25">
      <c r="A735" s="1" t="str">
        <f>VLOOKUP(Table2[[#This Row],[Prod Line ]],Lists!A:E,5,0)</f>
        <v>c</v>
      </c>
      <c r="B735" s="1">
        <v>44263</v>
      </c>
      <c r="C735" s="1">
        <v>44262</v>
      </c>
      <c r="D735" s="1" t="s">
        <v>60</v>
      </c>
      <c r="E735" s="2" t="s">
        <v>405</v>
      </c>
      <c r="F735" s="1"/>
      <c r="G735" s="2">
        <v>5</v>
      </c>
      <c r="H735" s="1"/>
      <c r="I735" t="s">
        <v>1</v>
      </c>
      <c r="J735" t="s">
        <v>64</v>
      </c>
      <c r="K735" t="s">
        <v>379</v>
      </c>
      <c r="L735" t="s">
        <v>407</v>
      </c>
      <c r="M735" s="3" t="s">
        <v>926</v>
      </c>
      <c r="N735"/>
    </row>
    <row r="736" spans="1:14" hidden="1" x14ac:dyDescent="0.25">
      <c r="A736" s="1" t="str">
        <f>VLOOKUP(Table2[[#This Row],[Prod Line ]],Lists!A:E,5,0)</f>
        <v>d</v>
      </c>
      <c r="B736" s="1">
        <v>44263</v>
      </c>
      <c r="C736" s="1">
        <v>44262</v>
      </c>
      <c r="D736" s="1" t="s">
        <v>62</v>
      </c>
      <c r="E736" s="2" t="s">
        <v>406</v>
      </c>
      <c r="F736" s="1"/>
      <c r="G736" s="2">
        <v>5</v>
      </c>
      <c r="H736" s="1"/>
      <c r="I736" t="s">
        <v>1</v>
      </c>
      <c r="J736" t="s">
        <v>2</v>
      </c>
      <c r="K736" t="s">
        <v>19</v>
      </c>
      <c r="L736" t="s">
        <v>344</v>
      </c>
      <c r="M736" s="3" t="s">
        <v>927</v>
      </c>
      <c r="N736"/>
    </row>
    <row r="737" spans="1:16" hidden="1" x14ac:dyDescent="0.25">
      <c r="A737" s="1" t="str">
        <f>VLOOKUP(Table2[[#This Row],[Prod Line ]],Lists!A:E,5,0)</f>
        <v>d</v>
      </c>
      <c r="B737" s="1">
        <v>44263</v>
      </c>
      <c r="C737" s="1">
        <v>44262</v>
      </c>
      <c r="D737" s="1" t="s">
        <v>62</v>
      </c>
      <c r="E737" s="2" t="s">
        <v>404</v>
      </c>
      <c r="F737" s="1"/>
      <c r="G737" s="2">
        <v>5</v>
      </c>
      <c r="H737" s="1"/>
      <c r="I737" t="s">
        <v>1</v>
      </c>
      <c r="J737" t="s">
        <v>64</v>
      </c>
      <c r="K737" t="s">
        <v>379</v>
      </c>
      <c r="L737" t="s">
        <v>407</v>
      </c>
      <c r="M737" s="3" t="s">
        <v>835</v>
      </c>
      <c r="N737"/>
    </row>
    <row r="738" spans="1:16" hidden="1" x14ac:dyDescent="0.25">
      <c r="A738" s="1" t="str">
        <f>VLOOKUP(Table2[[#This Row],[Prod Line ]],Lists!A:E,5,0)</f>
        <v>d</v>
      </c>
      <c r="B738" s="1">
        <v>44263</v>
      </c>
      <c r="C738" s="1">
        <v>44262</v>
      </c>
      <c r="D738" s="1" t="s">
        <v>62</v>
      </c>
      <c r="E738" s="2" t="s">
        <v>404</v>
      </c>
      <c r="F738" s="1"/>
      <c r="G738" s="2">
        <v>4</v>
      </c>
      <c r="H738" s="1"/>
      <c r="I738" t="s">
        <v>1</v>
      </c>
      <c r="J738" t="s">
        <v>2</v>
      </c>
      <c r="K738" t="s">
        <v>19</v>
      </c>
      <c r="L738" t="s">
        <v>349</v>
      </c>
      <c r="M738" s="3" t="s">
        <v>575</v>
      </c>
      <c r="N738"/>
    </row>
    <row r="739" spans="1:16" hidden="1" x14ac:dyDescent="0.25">
      <c r="A739" s="1" t="str">
        <f>VLOOKUP(Table2[[#This Row],[Prod Line ]],Lists!A:E,5,0)</f>
        <v>c</v>
      </c>
      <c r="B739" s="1">
        <v>44264</v>
      </c>
      <c r="C739" s="1">
        <v>44263</v>
      </c>
      <c r="D739" s="1" t="s">
        <v>60</v>
      </c>
      <c r="E739" s="2" t="s">
        <v>405</v>
      </c>
      <c r="F739" s="1"/>
      <c r="G739" s="2">
        <v>12</v>
      </c>
      <c r="H739" s="1"/>
      <c r="I739" t="s">
        <v>0</v>
      </c>
      <c r="J739" t="s">
        <v>66</v>
      </c>
      <c r="K739" t="s">
        <v>4</v>
      </c>
      <c r="L739" t="s">
        <v>70</v>
      </c>
      <c r="M739" s="3" t="s">
        <v>922</v>
      </c>
    </row>
    <row r="740" spans="1:16" hidden="1" x14ac:dyDescent="0.25">
      <c r="A740" s="1" t="str">
        <f>VLOOKUP(Table2[[#This Row],[Prod Line ]],Lists!A:E,5,0)</f>
        <v>c</v>
      </c>
      <c r="B740" s="1">
        <v>44264</v>
      </c>
      <c r="C740" s="1">
        <v>44263</v>
      </c>
      <c r="D740" s="1" t="s">
        <v>60</v>
      </c>
      <c r="E740" s="2" t="s">
        <v>405</v>
      </c>
      <c r="F740" s="1"/>
      <c r="G740" s="2">
        <v>55</v>
      </c>
      <c r="H740" s="1"/>
      <c r="I740" t="s">
        <v>1</v>
      </c>
      <c r="J740" t="s">
        <v>2</v>
      </c>
      <c r="K740" t="s">
        <v>378</v>
      </c>
      <c r="L740" t="s">
        <v>407</v>
      </c>
      <c r="M740" s="3" t="s">
        <v>928</v>
      </c>
      <c r="N740"/>
    </row>
    <row r="741" spans="1:16" hidden="1" x14ac:dyDescent="0.25">
      <c r="A741" s="1" t="str">
        <f>VLOOKUP(Table2[[#This Row],[Prod Line ]],Lists!A:E,5,0)</f>
        <v>c</v>
      </c>
      <c r="B741" s="1">
        <v>44264</v>
      </c>
      <c r="C741" s="1">
        <v>44263</v>
      </c>
      <c r="D741" s="1" t="s">
        <v>60</v>
      </c>
      <c r="E741" s="2" t="s">
        <v>404</v>
      </c>
      <c r="F741" s="1"/>
      <c r="G741" s="2">
        <v>16</v>
      </c>
      <c r="H741" s="1"/>
      <c r="I741" t="s">
        <v>1</v>
      </c>
      <c r="J741" t="s">
        <v>2</v>
      </c>
      <c r="K741" t="s">
        <v>378</v>
      </c>
      <c r="L741" t="s">
        <v>349</v>
      </c>
      <c r="M741" s="3" t="s">
        <v>797</v>
      </c>
      <c r="N741"/>
    </row>
    <row r="742" spans="1:16" hidden="1" x14ac:dyDescent="0.25">
      <c r="A742" s="1" t="str">
        <f>VLOOKUP(Table2[[#This Row],[Prod Line ]],Lists!A:E,5,0)</f>
        <v>c</v>
      </c>
      <c r="B742" s="1">
        <v>44264</v>
      </c>
      <c r="C742" s="1">
        <v>44263</v>
      </c>
      <c r="D742" s="1" t="s">
        <v>60</v>
      </c>
      <c r="E742" s="2" t="s">
        <v>404</v>
      </c>
      <c r="F742" s="1"/>
      <c r="G742" s="2">
        <v>94</v>
      </c>
      <c r="H742" s="1" t="s">
        <v>1</v>
      </c>
      <c r="I742" t="s">
        <v>1</v>
      </c>
      <c r="J742" t="s">
        <v>2</v>
      </c>
      <c r="K742" t="s">
        <v>378</v>
      </c>
      <c r="L742" t="s">
        <v>407</v>
      </c>
      <c r="M742" s="3" t="s">
        <v>932</v>
      </c>
      <c r="N742"/>
    </row>
    <row r="743" spans="1:16" hidden="1" x14ac:dyDescent="0.25">
      <c r="A743" s="1" t="str">
        <f>VLOOKUP(Table2[[#This Row],[Prod Line ]],Lists!A:E,5,0)</f>
        <v>d</v>
      </c>
      <c r="B743" s="1">
        <v>44264</v>
      </c>
      <c r="C743" s="1">
        <v>44263</v>
      </c>
      <c r="D743" s="1" t="s">
        <v>62</v>
      </c>
      <c r="E743" s="2" t="s">
        <v>404</v>
      </c>
      <c r="F743" s="1"/>
      <c r="G743" s="2">
        <v>5</v>
      </c>
      <c r="H743" s="1"/>
      <c r="I743" t="s">
        <v>1</v>
      </c>
      <c r="J743" t="s">
        <v>64</v>
      </c>
      <c r="K743" t="s">
        <v>379</v>
      </c>
      <c r="L743" t="s">
        <v>407</v>
      </c>
      <c r="M743" s="3" t="s">
        <v>835</v>
      </c>
      <c r="N743"/>
    </row>
    <row r="744" spans="1:16" hidden="1" x14ac:dyDescent="0.25">
      <c r="A744" s="1" t="str">
        <f>VLOOKUP(Table2[[#This Row],[Prod Line ]],Lists!A:E,5,0)</f>
        <v>d</v>
      </c>
      <c r="B744" s="1">
        <v>44264</v>
      </c>
      <c r="C744" s="1">
        <v>44263</v>
      </c>
      <c r="D744" s="1" t="s">
        <v>62</v>
      </c>
      <c r="E744" s="2" t="s">
        <v>404</v>
      </c>
      <c r="F744" s="1"/>
      <c r="G744" s="2">
        <v>4</v>
      </c>
      <c r="H744" s="1"/>
      <c r="I744" t="s">
        <v>1</v>
      </c>
      <c r="J744" t="s">
        <v>2</v>
      </c>
      <c r="K744" t="s">
        <v>19</v>
      </c>
      <c r="L744" t="s">
        <v>72</v>
      </c>
      <c r="M744" s="3" t="s">
        <v>575</v>
      </c>
      <c r="N744"/>
    </row>
    <row r="745" spans="1:16" ht="16.5" hidden="1" customHeight="1" x14ac:dyDescent="0.25">
      <c r="A745" s="1" t="str">
        <f>VLOOKUP(Table2[[#This Row],[Prod Line ]],Lists!A:E,5,0)</f>
        <v>d</v>
      </c>
      <c r="B745" s="1">
        <v>44264</v>
      </c>
      <c r="C745" s="1">
        <v>44263</v>
      </c>
      <c r="D745" s="1" t="s">
        <v>62</v>
      </c>
      <c r="E745" s="2" t="s">
        <v>405</v>
      </c>
      <c r="F745" s="1"/>
      <c r="G745" s="2">
        <v>6</v>
      </c>
      <c r="H745" s="1"/>
      <c r="I745" t="s">
        <v>1</v>
      </c>
      <c r="J745" t="s">
        <v>64</v>
      </c>
      <c r="K745" t="s">
        <v>379</v>
      </c>
      <c r="L745" t="s">
        <v>407</v>
      </c>
      <c r="M745" s="3" t="s">
        <v>929</v>
      </c>
      <c r="N745"/>
    </row>
    <row r="746" spans="1:16" hidden="1" x14ac:dyDescent="0.25">
      <c r="A746" s="1" t="str">
        <f>VLOOKUP(Table2[[#This Row],[Prod Line ]],Lists!A:E,5,0)</f>
        <v>d</v>
      </c>
      <c r="B746" s="1">
        <v>44266</v>
      </c>
      <c r="C746" s="1">
        <v>44264</v>
      </c>
      <c r="D746" s="1" t="s">
        <v>62</v>
      </c>
      <c r="E746" s="2" t="s">
        <v>406</v>
      </c>
      <c r="F746" s="1"/>
      <c r="G746" s="2">
        <v>4</v>
      </c>
      <c r="H746" s="1"/>
      <c r="I746" t="s">
        <v>1</v>
      </c>
      <c r="J746" t="s">
        <v>2</v>
      </c>
      <c r="K746" t="s">
        <v>19</v>
      </c>
      <c r="L746" t="s">
        <v>349</v>
      </c>
      <c r="M746" s="3" t="s">
        <v>575</v>
      </c>
      <c r="N746"/>
    </row>
    <row r="747" spans="1:16" hidden="1" x14ac:dyDescent="0.25">
      <c r="A747" s="1" t="str">
        <f>VLOOKUP(Table2[[#This Row],[Prod Line ]],Lists!A:E,5,0)</f>
        <v>a</v>
      </c>
      <c r="B747" s="1">
        <v>44266</v>
      </c>
      <c r="C747" s="1">
        <v>44264</v>
      </c>
      <c r="D747" s="1" t="s">
        <v>56</v>
      </c>
      <c r="E747" s="2" t="s">
        <v>404</v>
      </c>
      <c r="F747" s="1"/>
      <c r="G747" s="2">
        <v>38</v>
      </c>
      <c r="H747" s="1"/>
      <c r="I747" t="s">
        <v>1</v>
      </c>
      <c r="J747" t="s">
        <v>2</v>
      </c>
      <c r="K747" t="s">
        <v>19</v>
      </c>
      <c r="L747" t="s">
        <v>407</v>
      </c>
      <c r="M747" s="3" t="s">
        <v>930</v>
      </c>
      <c r="N747"/>
    </row>
    <row r="748" spans="1:16" hidden="1" x14ac:dyDescent="0.25">
      <c r="A748" s="1" t="str">
        <f>VLOOKUP(Table2[[#This Row],[Prod Line ]],Lists!A:E,5,0)</f>
        <v>a</v>
      </c>
      <c r="B748" s="1">
        <v>44266</v>
      </c>
      <c r="C748" s="1">
        <v>44264</v>
      </c>
      <c r="D748" s="1" t="s">
        <v>56</v>
      </c>
      <c r="E748" s="2" t="s">
        <v>404</v>
      </c>
      <c r="F748" s="1"/>
      <c r="G748" s="2">
        <v>23</v>
      </c>
      <c r="H748" s="1"/>
      <c r="I748" t="s">
        <v>0</v>
      </c>
      <c r="J748" t="s">
        <v>64</v>
      </c>
      <c r="K748" t="s">
        <v>363</v>
      </c>
      <c r="L748" t="s">
        <v>70</v>
      </c>
      <c r="M748" s="3" t="s">
        <v>931</v>
      </c>
      <c r="N748" s="20" t="s">
        <v>950</v>
      </c>
      <c r="O748" t="s">
        <v>951</v>
      </c>
      <c r="P748" s="1">
        <v>44267</v>
      </c>
    </row>
    <row r="749" spans="1:16" hidden="1" x14ac:dyDescent="0.25">
      <c r="A749" s="1" t="str">
        <f>VLOOKUP(Table2[[#This Row],[Prod Line ]],Lists!A:E,5,0)</f>
        <v>c</v>
      </c>
      <c r="B749" s="1">
        <v>44266</v>
      </c>
      <c r="C749" s="1">
        <v>44264</v>
      </c>
      <c r="D749" s="1" t="s">
        <v>60</v>
      </c>
      <c r="E749" s="2" t="s">
        <v>404</v>
      </c>
      <c r="F749" s="1"/>
      <c r="G749" s="2">
        <v>6</v>
      </c>
      <c r="H749" s="1"/>
      <c r="I749" t="s">
        <v>1</v>
      </c>
      <c r="J749" t="s">
        <v>2</v>
      </c>
      <c r="K749" t="s">
        <v>378</v>
      </c>
      <c r="L749" t="s">
        <v>349</v>
      </c>
      <c r="M749" s="3" t="s">
        <v>933</v>
      </c>
      <c r="N749"/>
    </row>
    <row r="750" spans="1:16" hidden="1" x14ac:dyDescent="0.25">
      <c r="A750" s="1" t="str">
        <f>VLOOKUP(Table2[[#This Row],[Prod Line ]],Lists!A:E,5,0)</f>
        <v>c</v>
      </c>
      <c r="B750" s="1">
        <v>44267</v>
      </c>
      <c r="C750" s="1">
        <v>44265</v>
      </c>
      <c r="D750" s="1" t="s">
        <v>60</v>
      </c>
      <c r="E750" s="2" t="s">
        <v>404</v>
      </c>
      <c r="F750" s="1"/>
      <c r="G750" s="2">
        <v>12</v>
      </c>
      <c r="H750" s="1"/>
      <c r="I750" t="s">
        <v>1</v>
      </c>
      <c r="J750" t="s">
        <v>67</v>
      </c>
      <c r="K750" t="s">
        <v>67</v>
      </c>
      <c r="L750" t="s">
        <v>350</v>
      </c>
      <c r="M750" s="3" t="s">
        <v>884</v>
      </c>
      <c r="N750"/>
    </row>
    <row r="751" spans="1:16" hidden="1" x14ac:dyDescent="0.25">
      <c r="A751" s="1" t="str">
        <f>VLOOKUP(Table2[[#This Row],[Prod Line ]],Lists!A:E,5,0)</f>
        <v>d</v>
      </c>
      <c r="B751" s="1">
        <v>44267</v>
      </c>
      <c r="C751" s="1">
        <v>44265</v>
      </c>
      <c r="D751" s="1" t="s">
        <v>62</v>
      </c>
      <c r="E751" s="2" t="s">
        <v>404</v>
      </c>
      <c r="F751" s="1"/>
      <c r="G751" s="2">
        <v>5</v>
      </c>
      <c r="H751" s="1"/>
      <c r="I751" t="s">
        <v>1</v>
      </c>
      <c r="J751" t="s">
        <v>64</v>
      </c>
      <c r="K751" t="s">
        <v>379</v>
      </c>
      <c r="L751" t="s">
        <v>407</v>
      </c>
      <c r="M751" s="3" t="s">
        <v>553</v>
      </c>
      <c r="N751"/>
    </row>
    <row r="752" spans="1:16" hidden="1" x14ac:dyDescent="0.25">
      <c r="A752" s="1" t="str">
        <f>VLOOKUP(Table2[[#This Row],[Prod Line ]],Lists!A:E,5,0)</f>
        <v>d</v>
      </c>
      <c r="B752" s="1">
        <v>44267</v>
      </c>
      <c r="C752" s="1">
        <v>44265</v>
      </c>
      <c r="D752" s="1" t="s">
        <v>62</v>
      </c>
      <c r="E752" s="2" t="s">
        <v>404</v>
      </c>
      <c r="F752" s="1"/>
      <c r="G752" s="2">
        <v>3</v>
      </c>
      <c r="H752" s="1"/>
      <c r="I752" t="s">
        <v>1</v>
      </c>
      <c r="J752" t="s">
        <v>64</v>
      </c>
      <c r="K752" t="s">
        <v>379</v>
      </c>
      <c r="L752" t="s">
        <v>407</v>
      </c>
      <c r="M752" s="3" t="s">
        <v>937</v>
      </c>
      <c r="N752"/>
    </row>
    <row r="753" spans="1:16" hidden="1" x14ac:dyDescent="0.25">
      <c r="A753" s="1" t="str">
        <f>VLOOKUP(Table2[[#This Row],[Prod Line ]],Lists!A:E,5,0)</f>
        <v>d</v>
      </c>
      <c r="B753" s="1">
        <v>44267</v>
      </c>
      <c r="C753" s="1">
        <v>44265</v>
      </c>
      <c r="D753" s="1" t="s">
        <v>62</v>
      </c>
      <c r="E753" s="2" t="s">
        <v>405</v>
      </c>
      <c r="F753" s="1"/>
      <c r="G753" s="2">
        <v>9</v>
      </c>
      <c r="H753" s="1"/>
      <c r="I753" t="s">
        <v>1</v>
      </c>
      <c r="J753" t="s">
        <v>64</v>
      </c>
      <c r="K753" t="s">
        <v>379</v>
      </c>
      <c r="L753" t="s">
        <v>407</v>
      </c>
      <c r="M753" s="3" t="s">
        <v>938</v>
      </c>
      <c r="N753"/>
    </row>
    <row r="754" spans="1:16" hidden="1" x14ac:dyDescent="0.25">
      <c r="A754" s="1" t="str">
        <f>VLOOKUP(Table2[[#This Row],[Prod Line ]],Lists!A:E,5,0)</f>
        <v>a</v>
      </c>
      <c r="B754" s="1">
        <v>44268</v>
      </c>
      <c r="C754" s="1">
        <v>44266</v>
      </c>
      <c r="D754" s="1" t="s">
        <v>56</v>
      </c>
      <c r="E754" s="2" t="s">
        <v>404</v>
      </c>
      <c r="F754" s="1"/>
      <c r="G754" s="2">
        <v>9</v>
      </c>
      <c r="H754" s="1"/>
      <c r="I754" t="s">
        <v>0</v>
      </c>
      <c r="J754" t="s">
        <v>64</v>
      </c>
      <c r="K754" t="s">
        <v>363</v>
      </c>
      <c r="L754" t="s">
        <v>70</v>
      </c>
      <c r="M754" s="3" t="s">
        <v>934</v>
      </c>
    </row>
    <row r="755" spans="1:16" hidden="1" x14ac:dyDescent="0.25">
      <c r="A755" s="1" t="str">
        <f>VLOOKUP(Table2[[#This Row],[Prod Line ]],Lists!A:E,5,0)</f>
        <v>c</v>
      </c>
      <c r="B755" s="1">
        <v>44268</v>
      </c>
      <c r="C755" s="1">
        <v>44266</v>
      </c>
      <c r="D755" s="1" t="s">
        <v>60</v>
      </c>
      <c r="E755" s="2" t="s">
        <v>404</v>
      </c>
      <c r="F755" s="1"/>
      <c r="G755" s="2">
        <v>30</v>
      </c>
      <c r="H755" s="1"/>
      <c r="I755" t="s">
        <v>1</v>
      </c>
      <c r="J755" t="s">
        <v>67</v>
      </c>
      <c r="K755" t="s">
        <v>67</v>
      </c>
      <c r="L755" t="s">
        <v>72</v>
      </c>
      <c r="M755" s="3" t="s">
        <v>935</v>
      </c>
      <c r="N755"/>
    </row>
    <row r="756" spans="1:16" hidden="1" x14ac:dyDescent="0.25">
      <c r="A756" s="1" t="str">
        <f>VLOOKUP(Table2[[#This Row],[Prod Line ]],Lists!A:E,5,0)</f>
        <v>c</v>
      </c>
      <c r="B756" s="1">
        <v>44268</v>
      </c>
      <c r="C756" s="1">
        <v>44266</v>
      </c>
      <c r="D756" s="1" t="s">
        <v>60</v>
      </c>
      <c r="E756" s="2" t="s">
        <v>405</v>
      </c>
      <c r="F756" s="1"/>
      <c r="G756" s="2">
        <v>18</v>
      </c>
      <c r="H756" s="1"/>
      <c r="I756" t="s">
        <v>1</v>
      </c>
      <c r="J756" t="s">
        <v>2</v>
      </c>
      <c r="K756" t="s">
        <v>378</v>
      </c>
      <c r="L756" t="s">
        <v>349</v>
      </c>
      <c r="M756" s="3" t="s">
        <v>797</v>
      </c>
      <c r="N756"/>
    </row>
    <row r="757" spans="1:16" hidden="1" x14ac:dyDescent="0.25">
      <c r="A757" s="1" t="str">
        <f>VLOOKUP(Table2[[#This Row],[Prod Line ]],Lists!A:E,5,0)</f>
        <v>d</v>
      </c>
      <c r="B757" s="1">
        <v>44268</v>
      </c>
      <c r="C757" s="1">
        <v>44266</v>
      </c>
      <c r="D757" s="1" t="s">
        <v>62</v>
      </c>
      <c r="E757" s="2" t="s">
        <v>404</v>
      </c>
      <c r="F757" s="1"/>
      <c r="G757" s="2">
        <v>20</v>
      </c>
      <c r="H757" s="1"/>
      <c r="I757" t="s">
        <v>0</v>
      </c>
      <c r="J757" t="s">
        <v>5</v>
      </c>
      <c r="K757" t="s">
        <v>397</v>
      </c>
      <c r="L757" t="s">
        <v>70</v>
      </c>
      <c r="M757" s="3" t="s">
        <v>936</v>
      </c>
    </row>
    <row r="758" spans="1:16" hidden="1" x14ac:dyDescent="0.25">
      <c r="A758" s="1" t="str">
        <f>VLOOKUP(Table2[[#This Row],[Prod Line ]],Lists!A:E,5,0)</f>
        <v>d</v>
      </c>
      <c r="B758" s="1">
        <v>44268</v>
      </c>
      <c r="C758" s="1">
        <v>44266</v>
      </c>
      <c r="D758" s="1" t="s">
        <v>62</v>
      </c>
      <c r="E758" s="2" t="s">
        <v>404</v>
      </c>
      <c r="F758" s="1"/>
      <c r="G758" s="2">
        <v>5</v>
      </c>
      <c r="H758" s="1"/>
      <c r="I758" t="s">
        <v>1</v>
      </c>
      <c r="J758" t="s">
        <v>64</v>
      </c>
      <c r="K758" t="s">
        <v>379</v>
      </c>
      <c r="L758" t="s">
        <v>407</v>
      </c>
      <c r="M758" s="3" t="s">
        <v>553</v>
      </c>
      <c r="N758"/>
    </row>
    <row r="759" spans="1:16" hidden="1" x14ac:dyDescent="0.25">
      <c r="A759" s="1" t="str">
        <f>VLOOKUP(Table2[[#This Row],[Prod Line ]],Lists!A:E,5,0)</f>
        <v>d</v>
      </c>
      <c r="B759" s="1">
        <v>44268</v>
      </c>
      <c r="C759" s="1">
        <v>44266</v>
      </c>
      <c r="D759" s="1" t="s">
        <v>62</v>
      </c>
      <c r="E759" s="2" t="s">
        <v>404</v>
      </c>
      <c r="F759" s="1"/>
      <c r="G759" s="2">
        <v>4</v>
      </c>
      <c r="H759" s="1"/>
      <c r="I759" t="s">
        <v>1</v>
      </c>
      <c r="J759" t="s">
        <v>64</v>
      </c>
      <c r="K759" t="s">
        <v>379</v>
      </c>
      <c r="L759" t="s">
        <v>407</v>
      </c>
      <c r="M759" s="3" t="s">
        <v>939</v>
      </c>
      <c r="N759"/>
    </row>
    <row r="760" spans="1:16" hidden="1" x14ac:dyDescent="0.25">
      <c r="A760" s="1" t="str">
        <f>VLOOKUP(Table2[[#This Row],[Prod Line ]],Lists!A:E,5,0)</f>
        <v>d</v>
      </c>
      <c r="B760" s="1">
        <v>44268</v>
      </c>
      <c r="C760" s="1">
        <v>44266</v>
      </c>
      <c r="D760" s="1" t="s">
        <v>62</v>
      </c>
      <c r="E760" s="2" t="s">
        <v>405</v>
      </c>
      <c r="F760" s="1"/>
      <c r="G760" s="2">
        <v>4</v>
      </c>
      <c r="H760" s="1"/>
      <c r="I760" t="s">
        <v>1</v>
      </c>
      <c r="J760" t="s">
        <v>2</v>
      </c>
      <c r="K760" t="s">
        <v>19</v>
      </c>
      <c r="L760" t="s">
        <v>407</v>
      </c>
      <c r="M760" s="3" t="s">
        <v>940</v>
      </c>
      <c r="N760"/>
    </row>
    <row r="761" spans="1:16" hidden="1" x14ac:dyDescent="0.25">
      <c r="A761" s="1" t="str">
        <f>VLOOKUP(Table2[[#This Row],[Prod Line ]],Lists!A:E,5,0)</f>
        <v>d</v>
      </c>
      <c r="B761" s="1">
        <v>44268</v>
      </c>
      <c r="C761" s="1">
        <v>44267</v>
      </c>
      <c r="D761" s="1" t="s">
        <v>62</v>
      </c>
      <c r="E761" s="2" t="s">
        <v>406</v>
      </c>
      <c r="F761" s="1"/>
      <c r="G761" s="2">
        <v>6</v>
      </c>
      <c r="H761" s="1"/>
      <c r="I761" t="s">
        <v>1</v>
      </c>
      <c r="J761" t="s">
        <v>2</v>
      </c>
      <c r="K761" t="s">
        <v>19</v>
      </c>
      <c r="L761" t="s">
        <v>349</v>
      </c>
      <c r="M761" s="3" t="s">
        <v>941</v>
      </c>
      <c r="N761"/>
    </row>
    <row r="762" spans="1:16" hidden="1" x14ac:dyDescent="0.25">
      <c r="A762" s="1" t="str">
        <f>VLOOKUP(Table2[[#This Row],[Prod Line ]],Lists!A:E,5,0)</f>
        <v>d</v>
      </c>
      <c r="B762" s="28">
        <v>44268</v>
      </c>
      <c r="C762" s="28">
        <v>44267</v>
      </c>
      <c r="D762" s="28" t="s">
        <v>62</v>
      </c>
      <c r="E762" s="29" t="s">
        <v>406</v>
      </c>
      <c r="F762" s="28"/>
      <c r="G762" s="29">
        <v>10</v>
      </c>
      <c r="H762" s="28"/>
      <c r="I762" s="30" t="s">
        <v>0</v>
      </c>
      <c r="J762" s="30" t="s">
        <v>2</v>
      </c>
      <c r="K762" s="30" t="s">
        <v>14</v>
      </c>
      <c r="L762" s="30" t="s">
        <v>70</v>
      </c>
      <c r="M762" s="31" t="s">
        <v>942</v>
      </c>
      <c r="N762" s="32"/>
      <c r="O762" s="30"/>
      <c r="P762" s="30"/>
    </row>
    <row r="763" spans="1:16" hidden="1" x14ac:dyDescent="0.25">
      <c r="A763" s="1" t="str">
        <f>VLOOKUP(Table2[[#This Row],[Prod Line ]],Lists!A:E,5,0)</f>
        <v>a</v>
      </c>
      <c r="B763" s="1">
        <v>44270</v>
      </c>
      <c r="C763" s="1">
        <v>44269</v>
      </c>
      <c r="D763" s="1" t="s">
        <v>56</v>
      </c>
      <c r="E763" s="2" t="s">
        <v>404</v>
      </c>
      <c r="F763" s="1"/>
      <c r="G763" s="2">
        <v>85</v>
      </c>
      <c r="H763" s="1"/>
      <c r="I763" t="s">
        <v>0</v>
      </c>
      <c r="J763" t="s">
        <v>64</v>
      </c>
      <c r="K763" t="s">
        <v>363</v>
      </c>
      <c r="L763" t="s">
        <v>70</v>
      </c>
      <c r="M763" s="3" t="s">
        <v>921</v>
      </c>
      <c r="N763" s="20" t="s">
        <v>986</v>
      </c>
    </row>
    <row r="764" spans="1:16" hidden="1" x14ac:dyDescent="0.25">
      <c r="A764" s="1" t="str">
        <f>VLOOKUP(Table2[[#This Row],[Prod Line ]],Lists!A:E,5,0)</f>
        <v>a</v>
      </c>
      <c r="B764" s="1">
        <v>44270</v>
      </c>
      <c r="C764" s="1">
        <v>44269</v>
      </c>
      <c r="D764" s="1" t="s">
        <v>56</v>
      </c>
      <c r="E764" s="2" t="s">
        <v>404</v>
      </c>
      <c r="F764" s="1"/>
      <c r="G764" s="2">
        <v>14</v>
      </c>
      <c r="H764" s="1"/>
      <c r="I764" t="s">
        <v>0</v>
      </c>
      <c r="J764" t="s">
        <v>65</v>
      </c>
      <c r="K764" t="s">
        <v>3</v>
      </c>
      <c r="L764" t="s">
        <v>70</v>
      </c>
      <c r="M764" s="3" t="s">
        <v>959</v>
      </c>
    </row>
    <row r="765" spans="1:16" hidden="1" x14ac:dyDescent="0.25">
      <c r="A765" s="1" t="str">
        <f>VLOOKUP(Table2[[#This Row],[Prod Line ]],Lists!A:E,5,0)</f>
        <v>a</v>
      </c>
      <c r="B765" s="1">
        <v>44270</v>
      </c>
      <c r="C765" s="1">
        <v>44269</v>
      </c>
      <c r="D765" s="1" t="s">
        <v>56</v>
      </c>
      <c r="E765" s="2" t="s">
        <v>404</v>
      </c>
      <c r="F765" s="1"/>
      <c r="G765" s="2">
        <v>4</v>
      </c>
      <c r="H765" s="1"/>
      <c r="I765" t="s">
        <v>1</v>
      </c>
      <c r="J765" t="s">
        <v>65</v>
      </c>
      <c r="K765" t="s">
        <v>27</v>
      </c>
      <c r="L765" t="s">
        <v>350</v>
      </c>
      <c r="M765" s="3" t="s">
        <v>884</v>
      </c>
    </row>
    <row r="766" spans="1:16" hidden="1" x14ac:dyDescent="0.25">
      <c r="A766" s="1" t="str">
        <f>VLOOKUP(Table2[[#This Row],[Prod Line ]],Lists!A:E,5,0)</f>
        <v>b</v>
      </c>
      <c r="B766" s="1">
        <v>44270</v>
      </c>
      <c r="C766" s="1">
        <v>44269</v>
      </c>
      <c r="D766" s="1" t="s">
        <v>58</v>
      </c>
      <c r="E766" s="2" t="s">
        <v>406</v>
      </c>
      <c r="F766" s="1"/>
      <c r="G766" s="2">
        <v>6</v>
      </c>
      <c r="H766" s="1"/>
      <c r="I766" t="s">
        <v>1</v>
      </c>
      <c r="J766" t="s">
        <v>65</v>
      </c>
      <c r="K766" t="s">
        <v>27</v>
      </c>
      <c r="L766" t="s">
        <v>350</v>
      </c>
      <c r="M766" s="3" t="s">
        <v>441</v>
      </c>
    </row>
    <row r="767" spans="1:16" hidden="1" x14ac:dyDescent="0.25">
      <c r="A767" s="1" t="str">
        <f>VLOOKUP(Table2[[#This Row],[Prod Line ]],Lists!A:E,5,0)</f>
        <v>c</v>
      </c>
      <c r="B767" s="1">
        <v>44270</v>
      </c>
      <c r="C767" s="1">
        <v>44269</v>
      </c>
      <c r="D767" s="1" t="s">
        <v>60</v>
      </c>
      <c r="E767" s="2" t="s">
        <v>405</v>
      </c>
      <c r="F767" s="1"/>
      <c r="G767" s="2">
        <v>16</v>
      </c>
      <c r="H767" s="1"/>
      <c r="I767" t="s">
        <v>1</v>
      </c>
      <c r="J767" t="s">
        <v>26</v>
      </c>
      <c r="K767" t="s">
        <v>26</v>
      </c>
      <c r="L767" t="s">
        <v>430</v>
      </c>
      <c r="M767" s="3" t="s">
        <v>960</v>
      </c>
    </row>
    <row r="768" spans="1:16" hidden="1" x14ac:dyDescent="0.25">
      <c r="A768" s="1" t="str">
        <f>VLOOKUP(Table2[[#This Row],[Prod Line ]],Lists!A:E,5,0)</f>
        <v>d</v>
      </c>
      <c r="B768" s="1">
        <v>44270</v>
      </c>
      <c r="C768" s="1">
        <v>44269</v>
      </c>
      <c r="D768" s="1" t="s">
        <v>62</v>
      </c>
      <c r="E768" s="2" t="s">
        <v>404</v>
      </c>
      <c r="F768" s="1"/>
      <c r="G768" s="2">
        <v>5</v>
      </c>
      <c r="H768" s="1"/>
      <c r="I768" t="s">
        <v>1</v>
      </c>
      <c r="J768" t="s">
        <v>64</v>
      </c>
      <c r="K768" t="s">
        <v>379</v>
      </c>
      <c r="L768" t="s">
        <v>407</v>
      </c>
      <c r="M768" s="3" t="s">
        <v>835</v>
      </c>
    </row>
    <row r="769" spans="1:14" hidden="1" x14ac:dyDescent="0.25">
      <c r="A769" s="1" t="str">
        <f>VLOOKUP(Table2[[#This Row],[Prod Line ]],Lists!A:E,5,0)</f>
        <v>d</v>
      </c>
      <c r="B769" s="1">
        <v>44270</v>
      </c>
      <c r="C769" s="1">
        <v>44269</v>
      </c>
      <c r="D769" s="1" t="s">
        <v>62</v>
      </c>
      <c r="E769" s="2" t="s">
        <v>404</v>
      </c>
      <c r="F769" s="1"/>
      <c r="G769" s="2">
        <v>6</v>
      </c>
      <c r="H769" s="1"/>
      <c r="I769" t="s">
        <v>1</v>
      </c>
      <c r="J769" t="s">
        <v>64</v>
      </c>
      <c r="K769" t="s">
        <v>379</v>
      </c>
      <c r="L769" t="s">
        <v>407</v>
      </c>
      <c r="M769" s="3" t="s">
        <v>833</v>
      </c>
    </row>
    <row r="770" spans="1:14" hidden="1" x14ac:dyDescent="0.25">
      <c r="A770" s="1" t="str">
        <f>VLOOKUP(Table2[[#This Row],[Prod Line ]],Lists!A:E,5,0)</f>
        <v>d</v>
      </c>
      <c r="B770" s="1">
        <v>44270</v>
      </c>
      <c r="C770" s="1">
        <v>44269</v>
      </c>
      <c r="D770" s="1" t="s">
        <v>62</v>
      </c>
      <c r="E770" s="2" t="s">
        <v>405</v>
      </c>
      <c r="F770" s="1"/>
      <c r="G770" s="2">
        <v>5</v>
      </c>
      <c r="H770" s="1"/>
      <c r="I770" t="s">
        <v>1</v>
      </c>
      <c r="J770" t="s">
        <v>66</v>
      </c>
      <c r="K770" t="s">
        <v>34</v>
      </c>
      <c r="L770" t="s">
        <v>407</v>
      </c>
      <c r="M770" s="3" t="s">
        <v>961</v>
      </c>
    </row>
    <row r="771" spans="1:14" hidden="1" x14ac:dyDescent="0.25">
      <c r="A771" s="1" t="str">
        <f>VLOOKUP(Table2[[#This Row],[Prod Line ]],Lists!A:E,5,0)</f>
        <v>d</v>
      </c>
      <c r="B771" s="1">
        <v>44270</v>
      </c>
      <c r="C771" s="1">
        <v>44269</v>
      </c>
      <c r="D771" s="1" t="s">
        <v>62</v>
      </c>
      <c r="E771" s="2" t="s">
        <v>405</v>
      </c>
      <c r="F771" s="1"/>
      <c r="G771" s="2">
        <v>6</v>
      </c>
      <c r="H771" s="1"/>
      <c r="I771" t="s">
        <v>1</v>
      </c>
      <c r="J771" t="s">
        <v>64</v>
      </c>
      <c r="K771" t="s">
        <v>379</v>
      </c>
      <c r="L771" t="s">
        <v>407</v>
      </c>
      <c r="M771" s="3" t="s">
        <v>833</v>
      </c>
    </row>
    <row r="772" spans="1:14" hidden="1" x14ac:dyDescent="0.25">
      <c r="A772" s="1" t="str">
        <f>VLOOKUP(Table2[[#This Row],[Prod Line ]],Lists!A:E,5,0)</f>
        <v>b</v>
      </c>
      <c r="B772" s="1">
        <v>44271</v>
      </c>
      <c r="C772" s="1">
        <v>44270</v>
      </c>
      <c r="D772" s="1" t="s">
        <v>58</v>
      </c>
      <c r="E772" s="2" t="s">
        <v>405</v>
      </c>
      <c r="F772" s="1"/>
      <c r="G772" s="2">
        <v>4</v>
      </c>
      <c r="H772" s="1"/>
      <c r="I772" t="s">
        <v>1</v>
      </c>
      <c r="J772" t="s">
        <v>65</v>
      </c>
      <c r="K772" t="s">
        <v>27</v>
      </c>
      <c r="L772" t="s">
        <v>441</v>
      </c>
      <c r="M772" s="3" t="s">
        <v>612</v>
      </c>
    </row>
    <row r="773" spans="1:14" hidden="1" x14ac:dyDescent="0.25">
      <c r="A773" s="1" t="str">
        <f>VLOOKUP(Table2[[#This Row],[Prod Line ]],Lists!A:E,5,0)</f>
        <v>d</v>
      </c>
      <c r="B773" s="1">
        <v>44271</v>
      </c>
      <c r="C773" s="1">
        <v>44270</v>
      </c>
      <c r="D773" s="1" t="s">
        <v>62</v>
      </c>
      <c r="E773" s="2" t="s">
        <v>406</v>
      </c>
      <c r="F773" s="1"/>
      <c r="G773" s="2">
        <v>17</v>
      </c>
      <c r="H773" s="1"/>
      <c r="I773" t="s">
        <v>1</v>
      </c>
      <c r="J773" t="s">
        <v>2</v>
      </c>
      <c r="K773" t="s">
        <v>19</v>
      </c>
      <c r="L773" t="s">
        <v>349</v>
      </c>
      <c r="M773" s="3" t="s">
        <v>575</v>
      </c>
    </row>
    <row r="774" spans="1:14" hidden="1" x14ac:dyDescent="0.25">
      <c r="A774" s="1" t="str">
        <f>VLOOKUP(Table2[[#This Row],[Prod Line ]],Lists!A:E,5,0)</f>
        <v>d</v>
      </c>
      <c r="B774" s="1">
        <v>44271</v>
      </c>
      <c r="C774" s="1">
        <v>44270</v>
      </c>
      <c r="D774" s="1" t="s">
        <v>62</v>
      </c>
      <c r="E774" s="2" t="s">
        <v>406</v>
      </c>
      <c r="F774" s="1"/>
      <c r="G774" s="2">
        <v>10</v>
      </c>
      <c r="H774" s="1"/>
      <c r="I774" t="s">
        <v>0</v>
      </c>
      <c r="J774" t="s">
        <v>66</v>
      </c>
      <c r="K774" t="s">
        <v>34</v>
      </c>
      <c r="L774" t="s">
        <v>70</v>
      </c>
      <c r="M774" s="3" t="s">
        <v>962</v>
      </c>
    </row>
    <row r="775" spans="1:14" hidden="1" x14ac:dyDescent="0.25">
      <c r="A775" s="1" t="str">
        <f>VLOOKUP(Table2[[#This Row],[Prod Line ]],Lists!A:E,5,0)</f>
        <v>d</v>
      </c>
      <c r="B775" s="1">
        <v>44271</v>
      </c>
      <c r="C775" s="1">
        <v>44270</v>
      </c>
      <c r="D775" s="1" t="s">
        <v>62</v>
      </c>
      <c r="E775" s="2" t="s">
        <v>404</v>
      </c>
      <c r="F775" s="1"/>
      <c r="G775" s="2">
        <v>16</v>
      </c>
      <c r="H775" s="1"/>
      <c r="I775" t="s">
        <v>1</v>
      </c>
      <c r="J775" t="s">
        <v>64</v>
      </c>
      <c r="K775" t="s">
        <v>379</v>
      </c>
      <c r="L775" t="s">
        <v>407</v>
      </c>
      <c r="M775" s="3" t="s">
        <v>963</v>
      </c>
    </row>
    <row r="776" spans="1:14" hidden="1" x14ac:dyDescent="0.25">
      <c r="A776" s="1" t="str">
        <f>VLOOKUP(Table2[[#This Row],[Prod Line ]],Lists!A:E,5,0)</f>
        <v>a</v>
      </c>
      <c r="B776" s="1">
        <v>44273</v>
      </c>
      <c r="C776" s="1">
        <v>44271</v>
      </c>
      <c r="D776" s="1" t="s">
        <v>56</v>
      </c>
      <c r="E776" s="2" t="s">
        <v>404</v>
      </c>
      <c r="F776" s="1"/>
      <c r="G776" s="2">
        <v>19</v>
      </c>
      <c r="H776" s="1"/>
      <c r="I776" t="s">
        <v>0</v>
      </c>
      <c r="J776" t="s">
        <v>64</v>
      </c>
      <c r="K776" t="s">
        <v>363</v>
      </c>
      <c r="L776" t="s">
        <v>70</v>
      </c>
      <c r="M776" s="3" t="s">
        <v>966</v>
      </c>
      <c r="N776" s="20" t="s">
        <v>985</v>
      </c>
    </row>
    <row r="777" spans="1:14" hidden="1" x14ac:dyDescent="0.25">
      <c r="A777" s="1" t="str">
        <f>VLOOKUP(Table2[[#This Row],[Prod Line ]],Lists!A:E,5,0)</f>
        <v>c</v>
      </c>
      <c r="B777" s="1">
        <v>44273</v>
      </c>
      <c r="C777" s="1">
        <v>44271</v>
      </c>
      <c r="D777" s="1" t="s">
        <v>60</v>
      </c>
      <c r="E777" s="2" t="s">
        <v>405</v>
      </c>
      <c r="F777" s="1"/>
      <c r="G777" s="2">
        <v>3</v>
      </c>
      <c r="H777" s="1"/>
      <c r="I777" t="s">
        <v>1</v>
      </c>
      <c r="J777" t="s">
        <v>64</v>
      </c>
      <c r="K777" t="s">
        <v>379</v>
      </c>
      <c r="L777" t="s">
        <v>407</v>
      </c>
      <c r="M777" s="3" t="s">
        <v>965</v>
      </c>
    </row>
    <row r="778" spans="1:14" hidden="1" x14ac:dyDescent="0.25">
      <c r="A778" s="1" t="str">
        <f>VLOOKUP(Table2[[#This Row],[Prod Line ]],Lists!A:E,5,0)</f>
        <v>c</v>
      </c>
      <c r="B778" s="1">
        <v>44273</v>
      </c>
      <c r="C778" s="1">
        <v>44271</v>
      </c>
      <c r="D778" s="1" t="s">
        <v>60</v>
      </c>
      <c r="E778" s="2" t="s">
        <v>404</v>
      </c>
      <c r="F778" s="1"/>
      <c r="G778" s="2">
        <v>10</v>
      </c>
      <c r="H778" s="1"/>
      <c r="I778" t="s">
        <v>0</v>
      </c>
      <c r="J778" t="s">
        <v>26</v>
      </c>
      <c r="K778" t="s">
        <v>26</v>
      </c>
      <c r="L778" t="s">
        <v>70</v>
      </c>
      <c r="M778" s="3" t="s">
        <v>964</v>
      </c>
    </row>
    <row r="779" spans="1:14" hidden="1" x14ac:dyDescent="0.25">
      <c r="A779" s="1" t="str">
        <f>VLOOKUP(Table2[[#This Row],[Prod Line ]],Lists!A:E,5,0)</f>
        <v>d</v>
      </c>
      <c r="B779" s="1">
        <v>44273</v>
      </c>
      <c r="C779" s="1">
        <v>44271</v>
      </c>
      <c r="D779" s="1" t="s">
        <v>62</v>
      </c>
      <c r="E779" s="2" t="s">
        <v>406</v>
      </c>
      <c r="F779" s="1"/>
      <c r="G779" s="2">
        <v>11</v>
      </c>
      <c r="H779" s="1"/>
      <c r="I779" t="s">
        <v>1</v>
      </c>
      <c r="J779" t="s">
        <v>2</v>
      </c>
      <c r="K779" t="s">
        <v>19</v>
      </c>
      <c r="L779" t="s">
        <v>72</v>
      </c>
      <c r="M779" s="3" t="s">
        <v>885</v>
      </c>
    </row>
    <row r="780" spans="1:14" hidden="1" x14ac:dyDescent="0.25">
      <c r="A780" s="1" t="str">
        <f>VLOOKUP(Table2[[#This Row],[Prod Line ]],Lists!A:E,5,0)</f>
        <v>d</v>
      </c>
      <c r="B780" s="1">
        <v>44273</v>
      </c>
      <c r="C780" s="1">
        <v>44271</v>
      </c>
      <c r="D780" s="1" t="s">
        <v>62</v>
      </c>
      <c r="E780" s="2" t="s">
        <v>404</v>
      </c>
      <c r="F780" s="1"/>
      <c r="G780" s="2">
        <v>4</v>
      </c>
      <c r="H780" s="1"/>
      <c r="I780" t="s">
        <v>1</v>
      </c>
      <c r="J780" t="s">
        <v>2</v>
      </c>
      <c r="K780" t="s">
        <v>19</v>
      </c>
      <c r="L780" t="s">
        <v>407</v>
      </c>
      <c r="M780" s="3" t="s">
        <v>970</v>
      </c>
    </row>
    <row r="781" spans="1:14" hidden="1" x14ac:dyDescent="0.25">
      <c r="A781" s="1" t="str">
        <f>VLOOKUP(Table2[[#This Row],[Prod Line ]],Lists!A:E,5,0)</f>
        <v>d</v>
      </c>
      <c r="B781" s="1">
        <v>44273</v>
      </c>
      <c r="C781" s="1">
        <v>44271</v>
      </c>
      <c r="D781" s="1" t="s">
        <v>62</v>
      </c>
      <c r="E781" s="2" t="s">
        <v>404</v>
      </c>
      <c r="F781" s="1"/>
      <c r="G781" s="2">
        <v>5</v>
      </c>
      <c r="H781" s="1"/>
      <c r="I781" t="s">
        <v>1</v>
      </c>
      <c r="J781" t="s">
        <v>64</v>
      </c>
      <c r="K781" t="s">
        <v>379</v>
      </c>
      <c r="L781" t="s">
        <v>407</v>
      </c>
      <c r="M781" s="3" t="s">
        <v>553</v>
      </c>
    </row>
    <row r="782" spans="1:14" hidden="1" x14ac:dyDescent="0.25">
      <c r="A782" s="1" t="str">
        <f>VLOOKUP(Table2[[#This Row],[Prod Line ]],Lists!A:E,5,0)</f>
        <v>d</v>
      </c>
      <c r="B782" s="1">
        <v>44273</v>
      </c>
      <c r="C782" s="1">
        <v>44271</v>
      </c>
      <c r="D782" s="1" t="s">
        <v>62</v>
      </c>
      <c r="E782" s="2" t="s">
        <v>404</v>
      </c>
      <c r="F782" s="1"/>
      <c r="G782" s="2">
        <v>5</v>
      </c>
      <c r="H782" s="1"/>
      <c r="I782" t="s">
        <v>1</v>
      </c>
      <c r="J782" t="s">
        <v>2</v>
      </c>
      <c r="K782" t="s">
        <v>19</v>
      </c>
      <c r="L782" t="s">
        <v>72</v>
      </c>
      <c r="M782" s="3" t="s">
        <v>575</v>
      </c>
    </row>
    <row r="783" spans="1:14" hidden="1" x14ac:dyDescent="0.25">
      <c r="A783" s="1" t="str">
        <f>VLOOKUP(Table2[[#This Row],[Prod Line ]],Lists!A:E,5,0)</f>
        <v>b</v>
      </c>
      <c r="B783" s="1">
        <v>44273</v>
      </c>
      <c r="C783" s="1">
        <v>44271</v>
      </c>
      <c r="D783" s="1" t="s">
        <v>58</v>
      </c>
      <c r="E783" s="2" t="s">
        <v>404</v>
      </c>
      <c r="F783" s="1"/>
      <c r="G783" s="2">
        <v>8</v>
      </c>
      <c r="H783" s="1"/>
      <c r="I783" t="s">
        <v>1</v>
      </c>
      <c r="J783" t="s">
        <v>2</v>
      </c>
      <c r="K783" t="s">
        <v>19</v>
      </c>
      <c r="L783" t="s">
        <v>349</v>
      </c>
      <c r="M783" s="3" t="s">
        <v>979</v>
      </c>
    </row>
    <row r="784" spans="1:14" hidden="1" x14ac:dyDescent="0.25">
      <c r="A784" s="1" t="str">
        <f>VLOOKUP(Table2[[#This Row],[Prod Line ]],Lists!A:E,5,0)</f>
        <v>b</v>
      </c>
      <c r="B784" s="1">
        <v>44273</v>
      </c>
      <c r="C784" s="1">
        <v>44271</v>
      </c>
      <c r="D784" s="1" t="s">
        <v>58</v>
      </c>
      <c r="E784" s="2" t="s">
        <v>406</v>
      </c>
      <c r="F784" s="1"/>
      <c r="G784" s="2">
        <v>6</v>
      </c>
      <c r="H784" s="1"/>
      <c r="I784" t="s">
        <v>1</v>
      </c>
      <c r="J784" t="s">
        <v>67</v>
      </c>
      <c r="K784" t="s">
        <v>67</v>
      </c>
      <c r="L784" t="s">
        <v>441</v>
      </c>
      <c r="M784" s="3" t="s">
        <v>514</v>
      </c>
    </row>
    <row r="785" spans="1:14" hidden="1" x14ac:dyDescent="0.25">
      <c r="A785" s="1" t="str">
        <f>VLOOKUP(Table2[[#This Row],[Prod Line ]],Lists!A:E,5,0)</f>
        <v>a</v>
      </c>
      <c r="B785" s="1">
        <v>44274</v>
      </c>
      <c r="C785" s="1">
        <v>44272</v>
      </c>
      <c r="D785" s="1" t="s">
        <v>56</v>
      </c>
      <c r="E785" s="2" t="s">
        <v>404</v>
      </c>
      <c r="F785" s="1"/>
      <c r="G785" s="2">
        <v>6</v>
      </c>
      <c r="H785" s="1"/>
      <c r="I785" t="s">
        <v>1</v>
      </c>
      <c r="J785" t="s">
        <v>67</v>
      </c>
      <c r="K785" t="s">
        <v>67</v>
      </c>
      <c r="L785" t="s">
        <v>407</v>
      </c>
      <c r="M785" s="3" t="s">
        <v>967</v>
      </c>
    </row>
    <row r="786" spans="1:14" hidden="1" x14ac:dyDescent="0.25">
      <c r="A786" s="1" t="str">
        <f>VLOOKUP(Table2[[#This Row],[Prod Line ]],Lists!A:E,5,0)</f>
        <v>a</v>
      </c>
      <c r="B786" s="1">
        <v>44274</v>
      </c>
      <c r="C786" s="1">
        <v>44272</v>
      </c>
      <c r="D786" s="1" t="s">
        <v>56</v>
      </c>
      <c r="E786" s="2" t="s">
        <v>404</v>
      </c>
      <c r="F786" s="1"/>
      <c r="G786" s="2">
        <v>5</v>
      </c>
      <c r="H786" s="1"/>
      <c r="I786" t="s">
        <v>1</v>
      </c>
      <c r="J786" t="s">
        <v>67</v>
      </c>
      <c r="K786" t="s">
        <v>67</v>
      </c>
      <c r="L786" t="s">
        <v>407</v>
      </c>
      <c r="M786" s="3" t="s">
        <v>968</v>
      </c>
    </row>
    <row r="787" spans="1:14" hidden="1" x14ac:dyDescent="0.25">
      <c r="A787" s="1" t="str">
        <f>VLOOKUP(Table2[[#This Row],[Prod Line ]],Lists!A:E,5,0)</f>
        <v>d</v>
      </c>
      <c r="B787" s="1">
        <v>44274</v>
      </c>
      <c r="C787" s="1">
        <v>44272</v>
      </c>
      <c r="D787" s="1" t="s">
        <v>62</v>
      </c>
      <c r="E787" s="2" t="s">
        <v>406</v>
      </c>
      <c r="F787" s="1"/>
      <c r="G787" s="2">
        <v>27</v>
      </c>
      <c r="H787" s="1"/>
      <c r="I787" t="s">
        <v>1</v>
      </c>
      <c r="J787" t="s">
        <v>2</v>
      </c>
      <c r="K787" t="s">
        <v>19</v>
      </c>
      <c r="L787" t="s">
        <v>407</v>
      </c>
      <c r="M787" s="3" t="s">
        <v>971</v>
      </c>
    </row>
    <row r="788" spans="1:14" hidden="1" x14ac:dyDescent="0.25">
      <c r="A788" s="1" t="str">
        <f>VLOOKUP(Table2[[#This Row],[Prod Line ]],Lists!A:E,5,0)</f>
        <v>d</v>
      </c>
      <c r="B788" s="1">
        <v>44274</v>
      </c>
      <c r="C788" s="1">
        <v>44272</v>
      </c>
      <c r="D788" s="1" t="s">
        <v>62</v>
      </c>
      <c r="E788" s="2" t="s">
        <v>405</v>
      </c>
      <c r="F788" s="1"/>
      <c r="G788" s="2">
        <v>22</v>
      </c>
      <c r="H788" s="1"/>
      <c r="I788" t="s">
        <v>1</v>
      </c>
      <c r="J788" t="s">
        <v>64</v>
      </c>
      <c r="K788" t="s">
        <v>379</v>
      </c>
      <c r="L788" t="s">
        <v>407</v>
      </c>
      <c r="M788" s="3" t="s">
        <v>972</v>
      </c>
    </row>
    <row r="789" spans="1:14" hidden="1" x14ac:dyDescent="0.25">
      <c r="A789" s="1" t="str">
        <f>VLOOKUP(Table2[[#This Row],[Prod Line ]],Lists!A:E,5,0)</f>
        <v>d</v>
      </c>
      <c r="B789" s="1">
        <v>44274</v>
      </c>
      <c r="C789" s="1">
        <v>44272</v>
      </c>
      <c r="D789" s="1" t="s">
        <v>62</v>
      </c>
      <c r="E789" s="2" t="s">
        <v>405</v>
      </c>
      <c r="F789" s="1"/>
      <c r="G789" s="2">
        <v>5</v>
      </c>
      <c r="H789" s="1"/>
      <c r="I789" t="s">
        <v>1</v>
      </c>
      <c r="J789" t="s">
        <v>2</v>
      </c>
      <c r="K789" t="s">
        <v>19</v>
      </c>
      <c r="L789" t="s">
        <v>407</v>
      </c>
      <c r="M789" s="3" t="s">
        <v>973</v>
      </c>
    </row>
    <row r="790" spans="1:14" hidden="1" x14ac:dyDescent="0.25">
      <c r="A790" s="1" t="str">
        <f>VLOOKUP(Table2[[#This Row],[Prod Line ]],Lists!A:E,5,0)</f>
        <v>b</v>
      </c>
      <c r="B790" s="1">
        <v>44274</v>
      </c>
      <c r="C790" s="1">
        <v>44272</v>
      </c>
      <c r="D790" s="1" t="s">
        <v>58</v>
      </c>
      <c r="E790" s="2" t="s">
        <v>404</v>
      </c>
      <c r="F790" s="1"/>
      <c r="G790" s="2">
        <v>11</v>
      </c>
      <c r="H790" s="1"/>
      <c r="I790" t="s">
        <v>0</v>
      </c>
      <c r="J790" t="s">
        <v>67</v>
      </c>
      <c r="K790" t="s">
        <v>67</v>
      </c>
      <c r="L790" t="s">
        <v>70</v>
      </c>
      <c r="M790" s="3" t="s">
        <v>982</v>
      </c>
    </row>
    <row r="791" spans="1:14" hidden="1" x14ac:dyDescent="0.25">
      <c r="A791" s="1" t="str">
        <f>VLOOKUP(Table2[[#This Row],[Prod Line ]],Lists!A:E,5,0)</f>
        <v>b</v>
      </c>
      <c r="B791" s="1">
        <v>44274</v>
      </c>
      <c r="C791" s="1">
        <v>44272</v>
      </c>
      <c r="D791" s="1" t="s">
        <v>58</v>
      </c>
      <c r="E791" s="2" t="s">
        <v>406</v>
      </c>
      <c r="F791" s="1"/>
      <c r="G791" s="2">
        <v>38</v>
      </c>
      <c r="H791" s="1"/>
      <c r="I791" t="s">
        <v>1</v>
      </c>
      <c r="J791" t="s">
        <v>2</v>
      </c>
      <c r="K791" t="s">
        <v>17</v>
      </c>
      <c r="L791" t="s">
        <v>72</v>
      </c>
      <c r="M791" s="3" t="s">
        <v>980</v>
      </c>
    </row>
    <row r="792" spans="1:14" hidden="1" x14ac:dyDescent="0.25">
      <c r="A792" s="1" t="str">
        <f>VLOOKUP(Table2[[#This Row],[Prod Line ]],Lists!A:E,5,0)</f>
        <v>b</v>
      </c>
      <c r="B792" s="1">
        <v>44274</v>
      </c>
      <c r="C792" s="1">
        <v>44272</v>
      </c>
      <c r="D792" s="1" t="s">
        <v>58</v>
      </c>
      <c r="E792" s="2" t="s">
        <v>404</v>
      </c>
      <c r="F792" s="1"/>
      <c r="G792" s="2">
        <v>2</v>
      </c>
      <c r="H792" s="1"/>
      <c r="I792" t="s">
        <v>1</v>
      </c>
      <c r="J792" t="s">
        <v>64</v>
      </c>
      <c r="K792" t="s">
        <v>20</v>
      </c>
      <c r="L792" t="s">
        <v>407</v>
      </c>
      <c r="M792" s="3" t="s">
        <v>981</v>
      </c>
    </row>
    <row r="793" spans="1:14" hidden="1" x14ac:dyDescent="0.25">
      <c r="A793" s="1" t="str">
        <f>VLOOKUP(Table2[[#This Row],[Prod Line ]],Lists!A:E,5,0)</f>
        <v>b</v>
      </c>
      <c r="B793" s="1">
        <v>44274</v>
      </c>
      <c r="C793" s="1">
        <v>44272</v>
      </c>
      <c r="D793" s="1" t="s">
        <v>58</v>
      </c>
      <c r="E793" s="2" t="s">
        <v>404</v>
      </c>
      <c r="F793" s="1"/>
      <c r="G793" s="2">
        <v>4</v>
      </c>
      <c r="H793" s="1"/>
      <c r="I793" t="s">
        <v>1</v>
      </c>
      <c r="J793" t="s">
        <v>67</v>
      </c>
      <c r="K793" t="s">
        <v>67</v>
      </c>
      <c r="L793" t="s">
        <v>441</v>
      </c>
      <c r="M793" s="3" t="s">
        <v>576</v>
      </c>
    </row>
    <row r="794" spans="1:14" hidden="1" x14ac:dyDescent="0.25">
      <c r="A794" s="1" t="str">
        <f>VLOOKUP(Table2[[#This Row],[Prod Line ]],Lists!A:E,5,0)</f>
        <v>d</v>
      </c>
      <c r="B794" s="1">
        <v>44274</v>
      </c>
      <c r="C794" s="1">
        <v>44272</v>
      </c>
      <c r="D794" s="1" t="s">
        <v>62</v>
      </c>
      <c r="E794" s="2" t="s">
        <v>405</v>
      </c>
      <c r="F794" s="1"/>
      <c r="G794" s="2">
        <v>20</v>
      </c>
      <c r="H794" s="1"/>
      <c r="I794" t="s">
        <v>0</v>
      </c>
      <c r="J794" t="s">
        <v>5</v>
      </c>
      <c r="K794" t="s">
        <v>397</v>
      </c>
      <c r="L794" t="s">
        <v>70</v>
      </c>
      <c r="M794" s="3" t="s">
        <v>974</v>
      </c>
    </row>
    <row r="795" spans="1:14" hidden="1" x14ac:dyDescent="0.25">
      <c r="A795" s="1" t="str">
        <f>VLOOKUP(Table2[[#This Row],[Prod Line ]],Lists!A:E,5,0)</f>
        <v>c</v>
      </c>
      <c r="B795" s="1">
        <v>44275</v>
      </c>
      <c r="C795" s="1">
        <v>44273</v>
      </c>
      <c r="D795" s="1" t="s">
        <v>60</v>
      </c>
      <c r="E795" s="2" t="s">
        <v>405</v>
      </c>
      <c r="F795" s="1"/>
      <c r="G795" s="2">
        <v>11</v>
      </c>
      <c r="H795" s="1"/>
      <c r="I795" t="s">
        <v>1</v>
      </c>
      <c r="J795" t="s">
        <v>2</v>
      </c>
      <c r="K795" t="s">
        <v>378</v>
      </c>
      <c r="L795" t="s">
        <v>349</v>
      </c>
      <c r="M795" s="3" t="s">
        <v>797</v>
      </c>
    </row>
    <row r="796" spans="1:14" hidden="1" x14ac:dyDescent="0.25">
      <c r="A796" s="1" t="str">
        <f>VLOOKUP(Table2[[#This Row],[Prod Line ]],Lists!A:E,5,0)</f>
        <v>a</v>
      </c>
      <c r="B796" s="1">
        <v>44275</v>
      </c>
      <c r="C796" s="1">
        <v>44273</v>
      </c>
      <c r="D796" s="1" t="s">
        <v>56</v>
      </c>
      <c r="E796" s="2" t="s">
        <v>405</v>
      </c>
      <c r="F796" s="1"/>
      <c r="G796" s="2">
        <v>23</v>
      </c>
      <c r="H796" s="1" t="s">
        <v>1</v>
      </c>
      <c r="I796" t="s">
        <v>1</v>
      </c>
      <c r="J796" t="s">
        <v>2</v>
      </c>
      <c r="K796" t="s">
        <v>19</v>
      </c>
      <c r="L796" t="s">
        <v>407</v>
      </c>
      <c r="M796" s="3" t="s">
        <v>969</v>
      </c>
    </row>
    <row r="797" spans="1:14" hidden="1" x14ac:dyDescent="0.25">
      <c r="A797" s="1" t="str">
        <f>VLOOKUP(Table2[[#This Row],[Prod Line ]],Lists!A:E,5,0)</f>
        <v>d</v>
      </c>
      <c r="B797" s="1">
        <v>44275</v>
      </c>
      <c r="C797" s="1">
        <v>44273</v>
      </c>
      <c r="D797" s="1" t="s">
        <v>62</v>
      </c>
      <c r="E797" s="2" t="s">
        <v>406</v>
      </c>
      <c r="F797" s="1"/>
      <c r="G797" s="2">
        <v>114</v>
      </c>
      <c r="H797" s="1"/>
      <c r="I797" t="s">
        <v>1</v>
      </c>
      <c r="J797" t="s">
        <v>2</v>
      </c>
      <c r="K797" t="s">
        <v>19</v>
      </c>
      <c r="L797" t="s">
        <v>72</v>
      </c>
      <c r="M797" s="3" t="s">
        <v>975</v>
      </c>
    </row>
    <row r="798" spans="1:14" hidden="1" x14ac:dyDescent="0.25">
      <c r="A798" s="1" t="str">
        <f>VLOOKUP(Table2[[#This Row],[Prod Line ]],Lists!A:E,5,0)</f>
        <v>d</v>
      </c>
      <c r="B798" s="1">
        <v>44275</v>
      </c>
      <c r="C798" s="1">
        <v>44273</v>
      </c>
      <c r="D798" s="1" t="s">
        <v>62</v>
      </c>
      <c r="E798" s="2" t="s">
        <v>404</v>
      </c>
      <c r="F798" s="1"/>
      <c r="G798" s="2">
        <v>110</v>
      </c>
      <c r="H798" s="1" t="s">
        <v>1</v>
      </c>
      <c r="I798" t="s">
        <v>1</v>
      </c>
      <c r="J798" t="s">
        <v>2</v>
      </c>
      <c r="K798" t="s">
        <v>17</v>
      </c>
      <c r="L798" t="s">
        <v>72</v>
      </c>
      <c r="M798" s="3" t="s">
        <v>976</v>
      </c>
    </row>
    <row r="799" spans="1:14" hidden="1" x14ac:dyDescent="0.25">
      <c r="A799" s="1" t="str">
        <f>VLOOKUP(Table2[[#This Row],[Prod Line ]],Lists!A:E,5,0)</f>
        <v>d</v>
      </c>
      <c r="B799" s="1">
        <v>44275</v>
      </c>
      <c r="C799" s="1">
        <v>44273</v>
      </c>
      <c r="D799" s="1" t="s">
        <v>62</v>
      </c>
      <c r="E799" s="2" t="s">
        <v>404</v>
      </c>
      <c r="F799" s="1"/>
      <c r="G799" s="2">
        <v>19</v>
      </c>
      <c r="H799" s="1"/>
      <c r="I799" t="s">
        <v>67</v>
      </c>
      <c r="J799" t="s">
        <v>2</v>
      </c>
      <c r="K799" t="s">
        <v>15</v>
      </c>
      <c r="L799" t="s">
        <v>71</v>
      </c>
      <c r="M799" s="3" t="s">
        <v>977</v>
      </c>
      <c r="N799" s="20" t="s">
        <v>984</v>
      </c>
    </row>
    <row r="800" spans="1:14" hidden="1" x14ac:dyDescent="0.25">
      <c r="A800" s="1" t="str">
        <f>VLOOKUP(Table2[[#This Row],[Prod Line ]],Lists!A:E,5,0)</f>
        <v>d</v>
      </c>
      <c r="B800" s="1">
        <v>44275</v>
      </c>
      <c r="C800" s="1">
        <v>44273</v>
      </c>
      <c r="D800" s="1" t="s">
        <v>62</v>
      </c>
      <c r="E800" s="2" t="s">
        <v>405</v>
      </c>
      <c r="F800" s="1"/>
      <c r="G800" s="2">
        <v>22</v>
      </c>
      <c r="H800" s="1"/>
      <c r="I800" t="s">
        <v>1</v>
      </c>
      <c r="J800" t="s">
        <v>64</v>
      </c>
      <c r="K800" t="s">
        <v>379</v>
      </c>
      <c r="L800" t="s">
        <v>407</v>
      </c>
      <c r="M800" s="3" t="s">
        <v>978</v>
      </c>
    </row>
    <row r="801" spans="1:13" hidden="1" x14ac:dyDescent="0.25">
      <c r="A801" s="1" t="str">
        <f>VLOOKUP(Table2[[#This Row],[Prod Line ]],Lists!A:E,5,0)</f>
        <v>d</v>
      </c>
      <c r="B801" s="1">
        <v>44275</v>
      </c>
      <c r="C801" s="1">
        <v>44273</v>
      </c>
      <c r="D801" s="1" t="s">
        <v>62</v>
      </c>
      <c r="E801" s="2" t="s">
        <v>405</v>
      </c>
      <c r="F801" s="1"/>
      <c r="G801" s="2">
        <v>43</v>
      </c>
      <c r="H801" s="1" t="s">
        <v>1</v>
      </c>
      <c r="I801" t="s">
        <v>1</v>
      </c>
      <c r="J801" t="s">
        <v>2</v>
      </c>
      <c r="K801" t="s">
        <v>17</v>
      </c>
      <c r="L801" t="s">
        <v>72</v>
      </c>
      <c r="M801" s="3" t="s">
        <v>976</v>
      </c>
    </row>
    <row r="802" spans="1:13" hidden="1" x14ac:dyDescent="0.25">
      <c r="A802" s="1" t="str">
        <f>VLOOKUP(Table2[[#This Row],[Prod Line ]],Lists!A:E,5,0)</f>
        <v>b</v>
      </c>
      <c r="B802" s="1">
        <v>44275</v>
      </c>
      <c r="C802" s="1">
        <v>44274</v>
      </c>
      <c r="D802" s="1" t="s">
        <v>58</v>
      </c>
      <c r="E802" s="2" t="s">
        <v>404</v>
      </c>
      <c r="F802" s="1"/>
      <c r="G802" s="2">
        <v>180</v>
      </c>
      <c r="H802" s="1" t="s">
        <v>1</v>
      </c>
      <c r="I802" t="s">
        <v>1</v>
      </c>
      <c r="J802" t="s">
        <v>2</v>
      </c>
      <c r="K802" t="s">
        <v>17</v>
      </c>
      <c r="L802" t="s">
        <v>407</v>
      </c>
      <c r="M802" s="3" t="s">
        <v>983</v>
      </c>
    </row>
    <row r="803" spans="1:13" hidden="1" x14ac:dyDescent="0.25">
      <c r="A803" s="1" t="str">
        <f>VLOOKUP(Table2[[#This Row],[Prod Line ]],Lists!A:E,5,0)</f>
        <v>b</v>
      </c>
      <c r="B803" s="1">
        <v>44275</v>
      </c>
      <c r="C803" s="1">
        <v>44274</v>
      </c>
      <c r="D803" s="1" t="s">
        <v>58</v>
      </c>
      <c r="E803" s="2" t="s">
        <v>404</v>
      </c>
      <c r="F803" s="1"/>
      <c r="G803" s="2">
        <v>6</v>
      </c>
      <c r="H803" s="1"/>
      <c r="I803" t="s">
        <v>1</v>
      </c>
      <c r="J803" t="s">
        <v>2</v>
      </c>
      <c r="K803" t="s">
        <v>19</v>
      </c>
      <c r="L803" t="s">
        <v>349</v>
      </c>
      <c r="M803" s="3" t="s">
        <v>987</v>
      </c>
    </row>
    <row r="804" spans="1:13" hidden="1" x14ac:dyDescent="0.25">
      <c r="A804" s="1" t="str">
        <f>VLOOKUP(Table2[[#This Row],[Prod Line ]],Lists!A:E,5,0)</f>
        <v>b</v>
      </c>
      <c r="B804" s="1">
        <v>44275</v>
      </c>
      <c r="C804" s="1">
        <v>44274</v>
      </c>
      <c r="D804" s="1" t="s">
        <v>58</v>
      </c>
      <c r="E804" s="2" t="s">
        <v>404</v>
      </c>
      <c r="F804" s="1"/>
      <c r="G804" s="2">
        <v>4</v>
      </c>
      <c r="H804" s="1"/>
      <c r="I804" t="s">
        <v>1</v>
      </c>
      <c r="J804" t="s">
        <v>2</v>
      </c>
      <c r="K804" t="s">
        <v>19</v>
      </c>
      <c r="L804" t="s">
        <v>349</v>
      </c>
      <c r="M804" s="3" t="s">
        <v>988</v>
      </c>
    </row>
    <row r="805" spans="1:13" hidden="1" x14ac:dyDescent="0.25">
      <c r="A805" s="1" t="str">
        <f>VLOOKUP(Table2[[#This Row],[Prod Line ]],Lists!A:E,5,0)</f>
        <v>b</v>
      </c>
      <c r="B805" s="1">
        <v>44275</v>
      </c>
      <c r="C805" s="1">
        <v>44274</v>
      </c>
      <c r="D805" s="1" t="s">
        <v>58</v>
      </c>
      <c r="E805" s="2" t="s">
        <v>404</v>
      </c>
      <c r="F805" s="1"/>
      <c r="G805" s="2">
        <v>56</v>
      </c>
      <c r="H805" s="1" t="s">
        <v>1</v>
      </c>
      <c r="I805" t="s">
        <v>1</v>
      </c>
      <c r="J805" t="s">
        <v>67</v>
      </c>
      <c r="K805" t="s">
        <v>67</v>
      </c>
      <c r="L805" t="s">
        <v>72</v>
      </c>
      <c r="M805" s="3" t="s">
        <v>989</v>
      </c>
    </row>
    <row r="806" spans="1:13" hidden="1" x14ac:dyDescent="0.25">
      <c r="A806" s="1" t="str">
        <f>VLOOKUP(Table2[[#This Row],[Prod Line ]],Lists!A:E,5,0)</f>
        <v>a</v>
      </c>
      <c r="B806" s="1">
        <v>44277</v>
      </c>
      <c r="C806" s="1">
        <v>44275</v>
      </c>
      <c r="D806" s="1" t="s">
        <v>56</v>
      </c>
      <c r="E806" s="2" t="s">
        <v>404</v>
      </c>
      <c r="F806" s="1"/>
      <c r="G806" s="2">
        <v>7</v>
      </c>
      <c r="H806" s="1"/>
      <c r="I806" t="s">
        <v>0</v>
      </c>
      <c r="J806" t="s">
        <v>64</v>
      </c>
      <c r="K806" t="s">
        <v>365</v>
      </c>
      <c r="L806" t="s">
        <v>70</v>
      </c>
      <c r="M806" s="3" t="s">
        <v>990</v>
      </c>
    </row>
    <row r="807" spans="1:13" hidden="1" x14ac:dyDescent="0.25">
      <c r="A807" s="1" t="str">
        <f>VLOOKUP(Table2[[#This Row],[Prod Line ]],Lists!A:E,5,0)</f>
        <v>a</v>
      </c>
      <c r="B807" s="1">
        <v>44277</v>
      </c>
      <c r="C807" s="1">
        <v>44275</v>
      </c>
      <c r="D807" s="1" t="s">
        <v>56</v>
      </c>
      <c r="E807" s="2" t="s">
        <v>405</v>
      </c>
      <c r="F807" s="1"/>
      <c r="G807" s="2">
        <v>5</v>
      </c>
      <c r="H807" s="1"/>
      <c r="I807" t="s">
        <v>0</v>
      </c>
      <c r="J807" t="s">
        <v>2</v>
      </c>
      <c r="K807" t="s">
        <v>19</v>
      </c>
      <c r="L807" t="s">
        <v>70</v>
      </c>
      <c r="M807" s="3" t="s">
        <v>991</v>
      </c>
    </row>
    <row r="808" spans="1:13" hidden="1" x14ac:dyDescent="0.25">
      <c r="A808" s="1" t="str">
        <f>VLOOKUP(Table2[[#This Row],[Prod Line ]],Lists!A:E,5,0)</f>
        <v>b</v>
      </c>
      <c r="B808" s="1">
        <v>44277</v>
      </c>
      <c r="C808" s="1">
        <v>44275</v>
      </c>
      <c r="D808" s="1" t="s">
        <v>58</v>
      </c>
      <c r="E808" s="2" t="s">
        <v>406</v>
      </c>
      <c r="F808" s="1"/>
      <c r="G808" s="2">
        <v>13</v>
      </c>
      <c r="H808" s="1"/>
      <c r="I808" t="s">
        <v>1</v>
      </c>
      <c r="J808" t="s">
        <v>67</v>
      </c>
      <c r="K808" t="s">
        <v>67</v>
      </c>
      <c r="L808" t="s">
        <v>441</v>
      </c>
      <c r="M808" s="3" t="s">
        <v>992</v>
      </c>
    </row>
    <row r="809" spans="1:13" hidden="1" x14ac:dyDescent="0.25">
      <c r="A809" s="1" t="str">
        <f>VLOOKUP(Table2[[#This Row],[Prod Line ]],Lists!A:E,5,0)</f>
        <v>b</v>
      </c>
      <c r="B809" s="1">
        <v>44277</v>
      </c>
      <c r="C809" s="1">
        <v>44275</v>
      </c>
      <c r="D809" s="1" t="s">
        <v>58</v>
      </c>
      <c r="E809" s="2" t="s">
        <v>404</v>
      </c>
      <c r="F809" s="1"/>
      <c r="G809" s="2">
        <v>5</v>
      </c>
      <c r="H809" s="1"/>
      <c r="I809" t="s">
        <v>1</v>
      </c>
      <c r="J809" t="s">
        <v>2</v>
      </c>
      <c r="K809" t="s">
        <v>19</v>
      </c>
      <c r="L809" t="s">
        <v>349</v>
      </c>
      <c r="M809" s="3" t="s">
        <v>602</v>
      </c>
    </row>
    <row r="810" spans="1:13" hidden="1" x14ac:dyDescent="0.25">
      <c r="A810" s="1" t="str">
        <f>VLOOKUP(Table2[[#This Row],[Prod Line ]],Lists!A:E,5,0)</f>
        <v>c</v>
      </c>
      <c r="B810" s="1">
        <v>44277</v>
      </c>
      <c r="C810" s="1">
        <v>44275</v>
      </c>
      <c r="D810" s="1" t="s">
        <v>60</v>
      </c>
      <c r="E810" s="2" t="s">
        <v>405</v>
      </c>
      <c r="F810" s="1"/>
      <c r="G810" s="2">
        <v>10</v>
      </c>
      <c r="H810" s="1"/>
      <c r="I810" t="s">
        <v>1</v>
      </c>
      <c r="J810" t="s">
        <v>64</v>
      </c>
      <c r="K810" t="s">
        <v>381</v>
      </c>
      <c r="L810" t="s">
        <v>72</v>
      </c>
      <c r="M810" s="3" t="s">
        <v>993</v>
      </c>
    </row>
    <row r="811" spans="1:13" hidden="1" x14ac:dyDescent="0.25">
      <c r="A811" s="1" t="str">
        <f>VLOOKUP(Table2[[#This Row],[Prod Line ]],Lists!A:E,5,0)</f>
        <v>c</v>
      </c>
      <c r="B811" s="1">
        <v>44277</v>
      </c>
      <c r="C811" s="1">
        <v>44275</v>
      </c>
      <c r="D811" s="1" t="s">
        <v>60</v>
      </c>
      <c r="E811" s="2" t="s">
        <v>405</v>
      </c>
      <c r="F811" s="1"/>
      <c r="G811" s="2">
        <v>8</v>
      </c>
      <c r="H811" s="1"/>
      <c r="I811" t="s">
        <v>1</v>
      </c>
      <c r="J811" t="s">
        <v>2</v>
      </c>
      <c r="K811" t="s">
        <v>378</v>
      </c>
      <c r="L811" t="s">
        <v>344</v>
      </c>
      <c r="M811" s="3" t="s">
        <v>994</v>
      </c>
    </row>
    <row r="812" spans="1:13" hidden="1" x14ac:dyDescent="0.25">
      <c r="A812" s="1" t="str">
        <f>VLOOKUP(Table2[[#This Row],[Prod Line ]],Lists!A:E,5,0)</f>
        <v>d</v>
      </c>
      <c r="B812" s="1">
        <v>44277</v>
      </c>
      <c r="C812" s="1">
        <v>44275</v>
      </c>
      <c r="D812" s="1" t="s">
        <v>62</v>
      </c>
      <c r="E812" s="2" t="s">
        <v>406</v>
      </c>
      <c r="F812" s="1"/>
      <c r="G812" s="2">
        <v>4</v>
      </c>
      <c r="H812" s="1"/>
      <c r="I812" t="s">
        <v>0</v>
      </c>
      <c r="J812" t="s">
        <v>67</v>
      </c>
      <c r="K812" t="s">
        <v>67</v>
      </c>
      <c r="L812" t="s">
        <v>70</v>
      </c>
      <c r="M812" s="3" t="s">
        <v>995</v>
      </c>
    </row>
    <row r="813" spans="1:13" hidden="1" x14ac:dyDescent="0.25">
      <c r="A813" s="1" t="str">
        <f>VLOOKUP(Table2[[#This Row],[Prod Line ]],Lists!A:E,5,0)</f>
        <v>d</v>
      </c>
      <c r="B813" s="1">
        <v>44277</v>
      </c>
      <c r="C813" s="1">
        <v>44275</v>
      </c>
      <c r="D813" s="1" t="s">
        <v>62</v>
      </c>
      <c r="E813" s="2" t="s">
        <v>406</v>
      </c>
      <c r="F813" s="1"/>
      <c r="G813" s="2">
        <v>18</v>
      </c>
      <c r="H813" s="1"/>
      <c r="I813" t="s">
        <v>1</v>
      </c>
      <c r="J813" t="s">
        <v>64</v>
      </c>
      <c r="K813" t="s">
        <v>379</v>
      </c>
      <c r="L813" t="s">
        <v>72</v>
      </c>
      <c r="M813" s="3" t="s">
        <v>996</v>
      </c>
    </row>
    <row r="814" spans="1:13" hidden="1" x14ac:dyDescent="0.25">
      <c r="A814" s="1" t="str">
        <f>VLOOKUP(Table2[[#This Row],[Prod Line ]],Lists!A:E,5,0)</f>
        <v>d</v>
      </c>
      <c r="B814" s="1">
        <v>44277</v>
      </c>
      <c r="C814" s="1">
        <v>44275</v>
      </c>
      <c r="D814" s="1" t="s">
        <v>62</v>
      </c>
      <c r="E814" s="2" t="s">
        <v>404</v>
      </c>
      <c r="F814" s="1"/>
      <c r="G814" s="2">
        <v>3</v>
      </c>
      <c r="H814" s="1"/>
      <c r="I814" t="s">
        <v>1</v>
      </c>
      <c r="J814" t="s">
        <v>2</v>
      </c>
      <c r="K814" t="s">
        <v>19</v>
      </c>
      <c r="L814" t="s">
        <v>349</v>
      </c>
      <c r="M814" s="3" t="s">
        <v>602</v>
      </c>
    </row>
    <row r="815" spans="1:13" hidden="1" x14ac:dyDescent="0.25">
      <c r="A815" s="1" t="str">
        <f>VLOOKUP(Table2[[#This Row],[Prod Line ]],Lists!A:E,5,0)</f>
        <v>d</v>
      </c>
      <c r="B815" s="1">
        <v>44277</v>
      </c>
      <c r="C815" s="1">
        <v>44275</v>
      </c>
      <c r="D815" s="1" t="s">
        <v>62</v>
      </c>
      <c r="E815" s="2" t="s">
        <v>404</v>
      </c>
      <c r="F815" s="1"/>
      <c r="G815" s="2">
        <v>3</v>
      </c>
      <c r="H815" s="1"/>
      <c r="I815" t="s">
        <v>1</v>
      </c>
      <c r="J815" t="s">
        <v>2</v>
      </c>
      <c r="K815" t="s">
        <v>19</v>
      </c>
      <c r="L815" t="s">
        <v>72</v>
      </c>
      <c r="M815" s="3" t="s">
        <v>997</v>
      </c>
    </row>
    <row r="816" spans="1:13" hidden="1" x14ac:dyDescent="0.25">
      <c r="A816" s="1" t="str">
        <f>VLOOKUP(Table2[[#This Row],[Prod Line ]],Lists!A:E,5,0)</f>
        <v>a</v>
      </c>
      <c r="B816" s="1">
        <v>44278</v>
      </c>
      <c r="C816" s="1">
        <v>44276</v>
      </c>
      <c r="D816" s="1" t="s">
        <v>56</v>
      </c>
      <c r="E816" s="2" t="s">
        <v>404</v>
      </c>
      <c r="F816" s="1"/>
      <c r="G816" s="2">
        <v>10</v>
      </c>
      <c r="H816" s="1"/>
      <c r="I816" t="s">
        <v>0</v>
      </c>
      <c r="J816" t="s">
        <v>5</v>
      </c>
      <c r="K816" t="s">
        <v>376</v>
      </c>
      <c r="L816" t="s">
        <v>70</v>
      </c>
      <c r="M816" s="3" t="s">
        <v>572</v>
      </c>
    </row>
    <row r="817" spans="1:14" hidden="1" x14ac:dyDescent="0.25">
      <c r="A817" s="1" t="str">
        <f>VLOOKUP(Table2[[#This Row],[Prod Line ]],Lists!A:E,5,0)</f>
        <v>a</v>
      </c>
      <c r="B817" s="1">
        <v>44278</v>
      </c>
      <c r="C817" s="1">
        <v>44276</v>
      </c>
      <c r="D817" s="1" t="s">
        <v>56</v>
      </c>
      <c r="E817" s="2" t="s">
        <v>404</v>
      </c>
      <c r="F817" s="1"/>
      <c r="G817" s="2">
        <v>7</v>
      </c>
      <c r="H817" s="1"/>
      <c r="I817" t="s">
        <v>1</v>
      </c>
      <c r="J817" t="s">
        <v>2</v>
      </c>
      <c r="K817" t="s">
        <v>19</v>
      </c>
      <c r="L817" t="s">
        <v>407</v>
      </c>
      <c r="M817" s="3" t="s">
        <v>575</v>
      </c>
    </row>
    <row r="818" spans="1:14" hidden="1" x14ac:dyDescent="0.25">
      <c r="A818" s="1" t="str">
        <f>VLOOKUP(Table2[[#This Row],[Prod Line ]],Lists!A:E,5,0)</f>
        <v>a</v>
      </c>
      <c r="B818" s="1">
        <v>44278</v>
      </c>
      <c r="C818" s="1">
        <v>44276</v>
      </c>
      <c r="D818" s="1" t="s">
        <v>56</v>
      </c>
      <c r="E818" s="2" t="s">
        <v>405</v>
      </c>
      <c r="F818" s="1"/>
      <c r="G818" s="2">
        <v>18</v>
      </c>
      <c r="H818" s="1"/>
      <c r="I818" t="s">
        <v>0</v>
      </c>
      <c r="J818" t="s">
        <v>65</v>
      </c>
      <c r="K818" t="s">
        <v>372</v>
      </c>
      <c r="L818" t="s">
        <v>70</v>
      </c>
      <c r="M818" s="3" t="s">
        <v>998</v>
      </c>
    </row>
    <row r="819" spans="1:14" hidden="1" x14ac:dyDescent="0.25">
      <c r="A819" s="1" t="str">
        <f>VLOOKUP(Table2[[#This Row],[Prod Line ]],Lists!A:E,5,0)</f>
        <v>b</v>
      </c>
      <c r="B819" s="1">
        <v>44278</v>
      </c>
      <c r="C819" s="1">
        <v>44276</v>
      </c>
      <c r="D819" s="1" t="s">
        <v>58</v>
      </c>
      <c r="E819" s="2" t="s">
        <v>404</v>
      </c>
      <c r="F819" s="1"/>
      <c r="G819" s="2">
        <v>8</v>
      </c>
      <c r="H819" s="1"/>
      <c r="I819" t="s">
        <v>0</v>
      </c>
      <c r="J819" t="s">
        <v>26</v>
      </c>
      <c r="K819" t="s">
        <v>25</v>
      </c>
      <c r="L819" t="s">
        <v>70</v>
      </c>
      <c r="M819" s="3" t="s">
        <v>999</v>
      </c>
    </row>
    <row r="820" spans="1:14" hidden="1" x14ac:dyDescent="0.25">
      <c r="A820" s="1" t="str">
        <f>VLOOKUP(Table2[[#This Row],[Prod Line ]],Lists!A:E,5,0)</f>
        <v>b</v>
      </c>
      <c r="B820" s="1">
        <v>44278</v>
      </c>
      <c r="C820" s="1">
        <v>44276</v>
      </c>
      <c r="D820" s="1" t="s">
        <v>58</v>
      </c>
      <c r="E820" s="2" t="s">
        <v>404</v>
      </c>
      <c r="F820" s="1"/>
      <c r="G820" s="2">
        <v>6</v>
      </c>
      <c r="H820" s="1"/>
      <c r="I820" t="s">
        <v>1</v>
      </c>
      <c r="J820" t="s">
        <v>65</v>
      </c>
      <c r="K820" t="s">
        <v>27</v>
      </c>
      <c r="L820" t="s">
        <v>441</v>
      </c>
      <c r="M820" s="3" t="s">
        <v>814</v>
      </c>
    </row>
    <row r="821" spans="1:14" hidden="1" x14ac:dyDescent="0.25">
      <c r="A821" s="1" t="str">
        <f>VLOOKUP(Table2[[#This Row],[Prod Line ]],Lists!A:E,5,0)</f>
        <v>c</v>
      </c>
      <c r="B821" s="1">
        <v>44278</v>
      </c>
      <c r="C821" s="1">
        <v>44276</v>
      </c>
      <c r="D821" s="1" t="s">
        <v>60</v>
      </c>
      <c r="E821" s="2" t="s">
        <v>404</v>
      </c>
      <c r="F821" s="1"/>
      <c r="G821" s="2">
        <v>12</v>
      </c>
      <c r="H821" s="1"/>
      <c r="I821" t="s">
        <v>1</v>
      </c>
      <c r="J821" t="s">
        <v>64</v>
      </c>
      <c r="K821" t="s">
        <v>379</v>
      </c>
      <c r="L821" t="s">
        <v>349</v>
      </c>
      <c r="M821" s="3" t="s">
        <v>1000</v>
      </c>
    </row>
    <row r="822" spans="1:14" hidden="1" x14ac:dyDescent="0.25">
      <c r="A822" s="1" t="str">
        <f>VLOOKUP(Table2[[#This Row],[Prod Line ]],Lists!A:E,5,0)</f>
        <v>d</v>
      </c>
      <c r="B822" s="1">
        <v>44278</v>
      </c>
      <c r="C822" s="1">
        <v>44276</v>
      </c>
      <c r="D822" s="1" t="s">
        <v>62</v>
      </c>
      <c r="E822" s="2" t="s">
        <v>404</v>
      </c>
      <c r="F822" s="1"/>
      <c r="G822" s="2">
        <v>6</v>
      </c>
      <c r="H822" s="1"/>
      <c r="I822" t="s">
        <v>1</v>
      </c>
      <c r="J822" t="s">
        <v>64</v>
      </c>
      <c r="K822" t="s">
        <v>379</v>
      </c>
      <c r="L822" t="s">
        <v>407</v>
      </c>
      <c r="M822" s="3" t="s">
        <v>835</v>
      </c>
    </row>
    <row r="823" spans="1:14" hidden="1" x14ac:dyDescent="0.25">
      <c r="A823" s="1" t="str">
        <f>VLOOKUP(Table2[[#This Row],[Prod Line ]],Lists!A:E,5,0)</f>
        <v>d</v>
      </c>
      <c r="B823" s="1">
        <v>44278</v>
      </c>
      <c r="C823" s="1">
        <v>44276</v>
      </c>
      <c r="D823" s="1" t="s">
        <v>62</v>
      </c>
      <c r="E823" s="2" t="s">
        <v>405</v>
      </c>
      <c r="F823" s="1"/>
      <c r="G823" s="2">
        <v>2</v>
      </c>
      <c r="H823" s="1"/>
      <c r="I823" t="s">
        <v>1</v>
      </c>
      <c r="J823" t="s">
        <v>64</v>
      </c>
      <c r="K823" t="s">
        <v>379</v>
      </c>
      <c r="L823" t="s">
        <v>407</v>
      </c>
      <c r="M823" s="3" t="s">
        <v>750</v>
      </c>
    </row>
    <row r="824" spans="1:14" hidden="1" x14ac:dyDescent="0.25">
      <c r="A824" s="1" t="str">
        <f>VLOOKUP(Table2[[#This Row],[Prod Line ]],Lists!A:E,5,0)</f>
        <v>c</v>
      </c>
      <c r="B824" s="1">
        <v>44278</v>
      </c>
      <c r="C824" s="1">
        <v>44277</v>
      </c>
      <c r="D824" s="1" t="s">
        <v>60</v>
      </c>
      <c r="E824" s="2" t="s">
        <v>404</v>
      </c>
      <c r="F824" s="1"/>
      <c r="G824" s="2">
        <v>12</v>
      </c>
      <c r="H824" s="1"/>
      <c r="I824" t="s">
        <v>1</v>
      </c>
      <c r="J824" t="s">
        <v>64</v>
      </c>
      <c r="K824" t="s">
        <v>379</v>
      </c>
      <c r="L824" t="s">
        <v>72</v>
      </c>
      <c r="M824" s="3" t="s">
        <v>1001</v>
      </c>
    </row>
    <row r="825" spans="1:14" hidden="1" x14ac:dyDescent="0.25">
      <c r="A825" s="1" t="str">
        <f>VLOOKUP(Table2[[#This Row],[Prod Line ]],Lists!A:E,5,0)</f>
        <v>d</v>
      </c>
      <c r="B825" s="1">
        <v>44280</v>
      </c>
      <c r="C825" s="1">
        <v>44278</v>
      </c>
      <c r="D825" s="1" t="s">
        <v>62</v>
      </c>
      <c r="E825" s="2" t="s">
        <v>406</v>
      </c>
      <c r="F825" s="1"/>
      <c r="G825" s="2">
        <v>1</v>
      </c>
      <c r="H825" s="1"/>
      <c r="I825" t="s">
        <v>1</v>
      </c>
      <c r="J825" t="s">
        <v>2</v>
      </c>
      <c r="K825" t="s">
        <v>1002</v>
      </c>
      <c r="L825" t="s">
        <v>1003</v>
      </c>
      <c r="M825" s="3" t="s">
        <v>1004</v>
      </c>
    </row>
    <row r="826" spans="1:14" hidden="1" x14ac:dyDescent="0.25">
      <c r="A826" s="1" t="str">
        <f>VLOOKUP(Table2[[#This Row],[Prod Line ]],Lists!A:E,5,0)</f>
        <v>d</v>
      </c>
      <c r="B826" s="1">
        <v>44280</v>
      </c>
      <c r="C826" s="1">
        <v>44278</v>
      </c>
      <c r="D826" s="1" t="s">
        <v>62</v>
      </c>
      <c r="E826" s="2" t="s">
        <v>404</v>
      </c>
      <c r="F826" s="1"/>
      <c r="G826" s="2">
        <v>5</v>
      </c>
      <c r="H826" s="1"/>
      <c r="I826" t="s">
        <v>1</v>
      </c>
      <c r="J826" t="s">
        <v>64</v>
      </c>
      <c r="K826" t="s">
        <v>379</v>
      </c>
      <c r="L826" t="s">
        <v>407</v>
      </c>
      <c r="M826" s="3" t="s">
        <v>996</v>
      </c>
    </row>
    <row r="827" spans="1:14" hidden="1" x14ac:dyDescent="0.25">
      <c r="A827" s="1" t="str">
        <f>VLOOKUP(Table2[[#This Row],[Prod Line ]],Lists!A:E,5,0)</f>
        <v>d</v>
      </c>
      <c r="B827" s="1">
        <v>44280</v>
      </c>
      <c r="C827" s="1">
        <v>44278</v>
      </c>
      <c r="D827" s="1" t="s">
        <v>62</v>
      </c>
      <c r="E827" s="2" t="s">
        <v>404</v>
      </c>
      <c r="F827" s="1"/>
      <c r="G827" s="2">
        <v>8</v>
      </c>
      <c r="H827" s="1"/>
      <c r="I827" t="s">
        <v>1</v>
      </c>
      <c r="J827" t="s">
        <v>64</v>
      </c>
      <c r="K827" t="s">
        <v>379</v>
      </c>
      <c r="L827" t="s">
        <v>349</v>
      </c>
      <c r="M827" s="3" t="s">
        <v>1001</v>
      </c>
    </row>
    <row r="828" spans="1:14" hidden="1" x14ac:dyDescent="0.25">
      <c r="A828" s="1" t="str">
        <f>VLOOKUP(Table2[[#This Row],[Prod Line ]],Lists!A:E,5,0)</f>
        <v>d</v>
      </c>
      <c r="B828" s="1">
        <v>44281</v>
      </c>
      <c r="C828" s="1">
        <v>44279</v>
      </c>
      <c r="D828" s="1" t="s">
        <v>62</v>
      </c>
      <c r="E828" s="2" t="s">
        <v>404</v>
      </c>
      <c r="F828" s="1"/>
      <c r="G828" s="2">
        <v>5</v>
      </c>
      <c r="H828" s="1"/>
      <c r="I828" t="s">
        <v>1</v>
      </c>
      <c r="J828" t="s">
        <v>64</v>
      </c>
      <c r="K828" t="s">
        <v>379</v>
      </c>
      <c r="L828" t="s">
        <v>407</v>
      </c>
      <c r="M828" s="3" t="s">
        <v>750</v>
      </c>
    </row>
    <row r="829" spans="1:14" hidden="1" x14ac:dyDescent="0.25">
      <c r="A829" s="1" t="str">
        <f>VLOOKUP(Table2[[#This Row],[Prod Line ]],Lists!A:E,5,0)</f>
        <v>d</v>
      </c>
      <c r="B829" s="1">
        <v>44281</v>
      </c>
      <c r="C829" s="1">
        <v>44279</v>
      </c>
      <c r="D829" s="1" t="s">
        <v>62</v>
      </c>
      <c r="E829" s="2" t="s">
        <v>404</v>
      </c>
      <c r="F829" s="1"/>
      <c r="G829" s="2">
        <v>24</v>
      </c>
      <c r="H829" s="1"/>
      <c r="I829" t="s">
        <v>1</v>
      </c>
      <c r="J829" t="s">
        <v>2</v>
      </c>
      <c r="K829" t="s">
        <v>19</v>
      </c>
      <c r="L829" t="s">
        <v>407</v>
      </c>
      <c r="M829" s="3" t="s">
        <v>1007</v>
      </c>
    </row>
    <row r="830" spans="1:14" hidden="1" x14ac:dyDescent="0.25">
      <c r="A830" s="1" t="str">
        <f>VLOOKUP(Table2[[#This Row],[Prod Line ]],Lists!A:E,5,0)</f>
        <v>d</v>
      </c>
      <c r="B830" s="1">
        <v>44281</v>
      </c>
      <c r="C830" s="1">
        <v>44279</v>
      </c>
      <c r="D830" s="1" t="s">
        <v>62</v>
      </c>
      <c r="E830" s="2" t="s">
        <v>405</v>
      </c>
      <c r="F830" s="1"/>
      <c r="G830" s="2">
        <v>6</v>
      </c>
      <c r="H830" s="1"/>
      <c r="I830" t="s">
        <v>1</v>
      </c>
      <c r="J830" t="s">
        <v>64</v>
      </c>
      <c r="K830" t="s">
        <v>379</v>
      </c>
      <c r="L830" t="s">
        <v>407</v>
      </c>
      <c r="M830" s="3" t="s">
        <v>750</v>
      </c>
    </row>
    <row r="831" spans="1:14" hidden="1" x14ac:dyDescent="0.25">
      <c r="A831" s="1" t="str">
        <f>VLOOKUP(Table2[[#This Row],[Prod Line ]],Lists!A:E,5,0)</f>
        <v>a</v>
      </c>
      <c r="B831" s="1">
        <v>44282</v>
      </c>
      <c r="C831" s="1">
        <v>44280</v>
      </c>
      <c r="D831" s="1" t="s">
        <v>56</v>
      </c>
      <c r="E831" s="2" t="s">
        <v>404</v>
      </c>
      <c r="F831" s="1"/>
      <c r="G831" s="2">
        <v>30</v>
      </c>
      <c r="H831" s="1"/>
      <c r="I831" t="s">
        <v>0</v>
      </c>
      <c r="J831" t="s">
        <v>64</v>
      </c>
      <c r="K831" t="s">
        <v>363</v>
      </c>
      <c r="L831" t="s">
        <v>70</v>
      </c>
      <c r="M831" s="3" t="s">
        <v>1008</v>
      </c>
      <c r="N831" s="20" t="s">
        <v>1032</v>
      </c>
    </row>
    <row r="832" spans="1:14" hidden="1" x14ac:dyDescent="0.25">
      <c r="A832" s="1" t="str">
        <f>VLOOKUP(Table2[[#This Row],[Prod Line ]],Lists!A:E,5,0)</f>
        <v>d</v>
      </c>
      <c r="B832" s="1">
        <v>44282</v>
      </c>
      <c r="C832" s="1">
        <v>44280</v>
      </c>
      <c r="D832" s="1" t="s">
        <v>62</v>
      </c>
      <c r="E832" s="2" t="s">
        <v>404</v>
      </c>
      <c r="F832" s="1"/>
      <c r="G832" s="2">
        <v>14</v>
      </c>
      <c r="H832" s="1"/>
      <c r="I832" t="s">
        <v>1</v>
      </c>
      <c r="J832" t="s">
        <v>2</v>
      </c>
      <c r="K832" t="s">
        <v>19</v>
      </c>
      <c r="L832" t="s">
        <v>407</v>
      </c>
      <c r="M832" s="3" t="s">
        <v>1005</v>
      </c>
    </row>
    <row r="833" spans="1:14" hidden="1" x14ac:dyDescent="0.25">
      <c r="A833" s="1" t="str">
        <f>VLOOKUP(Table2[[#This Row],[Prod Line ]],Lists!A:E,5,0)</f>
        <v>d</v>
      </c>
      <c r="B833" s="1">
        <v>44282</v>
      </c>
      <c r="C833" s="1">
        <v>44280</v>
      </c>
      <c r="D833" s="1" t="s">
        <v>62</v>
      </c>
      <c r="E833" s="2" t="s">
        <v>404</v>
      </c>
      <c r="F833" s="1"/>
      <c r="G833" s="2">
        <v>5</v>
      </c>
      <c r="H833" s="1"/>
      <c r="I833" t="s">
        <v>0</v>
      </c>
      <c r="J833" t="s">
        <v>2</v>
      </c>
      <c r="K833" t="s">
        <v>19</v>
      </c>
      <c r="L833" t="s">
        <v>70</v>
      </c>
      <c r="M833" s="3" t="s">
        <v>1006</v>
      </c>
    </row>
    <row r="834" spans="1:14" hidden="1" x14ac:dyDescent="0.25">
      <c r="A834" s="1" t="str">
        <f>VLOOKUP(Table2[[#This Row],[Prod Line ]],Lists!A:E,5,0)</f>
        <v>a</v>
      </c>
      <c r="B834" s="1">
        <v>44282</v>
      </c>
      <c r="C834" s="1">
        <v>44280</v>
      </c>
      <c r="D834" s="1" t="s">
        <v>56</v>
      </c>
      <c r="E834" s="2" t="s">
        <v>405</v>
      </c>
      <c r="F834" s="1"/>
      <c r="G834" s="2">
        <v>20</v>
      </c>
      <c r="H834" s="1"/>
      <c r="I834" t="s">
        <v>1</v>
      </c>
      <c r="J834" t="s">
        <v>67</v>
      </c>
      <c r="K834" t="s">
        <v>67</v>
      </c>
      <c r="L834" t="s">
        <v>407</v>
      </c>
      <c r="M834" s="3" t="s">
        <v>1009</v>
      </c>
    </row>
    <row r="835" spans="1:14" hidden="1" x14ac:dyDescent="0.25">
      <c r="A835" s="1" t="str">
        <f>VLOOKUP(Table2[[#This Row],[Prod Line ]],Lists!A:E,5,0)</f>
        <v>c</v>
      </c>
      <c r="B835" s="1">
        <v>44282</v>
      </c>
      <c r="C835" s="1">
        <v>44280</v>
      </c>
      <c r="D835" s="1" t="s">
        <v>60</v>
      </c>
      <c r="E835" s="2" t="s">
        <v>404</v>
      </c>
      <c r="F835" s="1"/>
      <c r="G835" s="2">
        <v>28</v>
      </c>
      <c r="H835" s="1"/>
      <c r="I835" t="s">
        <v>1</v>
      </c>
      <c r="J835" t="s">
        <v>2</v>
      </c>
      <c r="K835" t="s">
        <v>378</v>
      </c>
      <c r="L835" t="s">
        <v>345</v>
      </c>
      <c r="M835" s="3" t="s">
        <v>1010</v>
      </c>
    </row>
    <row r="836" spans="1:14" hidden="1" x14ac:dyDescent="0.25">
      <c r="A836" s="1" t="str">
        <f>VLOOKUP(Table2[[#This Row],[Prod Line ]],Lists!A:E,5,0)</f>
        <v>c</v>
      </c>
      <c r="B836" s="1">
        <v>44282</v>
      </c>
      <c r="C836" s="1">
        <v>44280</v>
      </c>
      <c r="D836" s="1" t="s">
        <v>60</v>
      </c>
      <c r="E836" s="2" t="s">
        <v>405</v>
      </c>
      <c r="F836" s="1"/>
      <c r="G836" s="2">
        <v>15</v>
      </c>
      <c r="H836" s="1"/>
      <c r="I836" t="s">
        <v>1</v>
      </c>
      <c r="J836" t="s">
        <v>65</v>
      </c>
      <c r="K836" t="s">
        <v>3</v>
      </c>
      <c r="L836" t="s">
        <v>441</v>
      </c>
      <c r="M836" s="3" t="s">
        <v>1011</v>
      </c>
    </row>
    <row r="837" spans="1:14" hidden="1" x14ac:dyDescent="0.25">
      <c r="A837" s="1" t="str">
        <f>VLOOKUP(Table2[[#This Row],[Prod Line ]],Lists!A:E,5,0)</f>
        <v>b</v>
      </c>
      <c r="B837" s="1">
        <v>44282</v>
      </c>
      <c r="C837" s="1">
        <v>44280</v>
      </c>
      <c r="D837" s="1" t="s">
        <v>58</v>
      </c>
      <c r="E837" s="2" t="s">
        <v>404</v>
      </c>
      <c r="F837" s="1"/>
      <c r="G837" s="2">
        <v>20</v>
      </c>
      <c r="H837" s="1"/>
      <c r="I837" t="s">
        <v>1</v>
      </c>
      <c r="J837" t="s">
        <v>67</v>
      </c>
      <c r="K837" t="s">
        <v>67</v>
      </c>
      <c r="L837" t="s">
        <v>407</v>
      </c>
      <c r="M837" s="3" t="s">
        <v>1012</v>
      </c>
    </row>
    <row r="838" spans="1:14" hidden="1" x14ac:dyDescent="0.25">
      <c r="A838" s="1" t="str">
        <f>VLOOKUP(Table2[[#This Row],[Prod Line ]],Lists!A:E,5,0)</f>
        <v>a</v>
      </c>
      <c r="B838" s="1">
        <v>44284</v>
      </c>
      <c r="C838" s="1">
        <v>44282</v>
      </c>
      <c r="D838" s="1" t="s">
        <v>56</v>
      </c>
      <c r="E838" s="2" t="s">
        <v>404</v>
      </c>
      <c r="F838" s="1"/>
      <c r="G838" s="2">
        <v>12</v>
      </c>
      <c r="H838" s="1"/>
      <c r="I838" t="s">
        <v>0</v>
      </c>
      <c r="J838" t="s">
        <v>64</v>
      </c>
      <c r="K838" t="s">
        <v>365</v>
      </c>
      <c r="L838" t="s">
        <v>70</v>
      </c>
      <c r="M838" s="3" t="s">
        <v>1013</v>
      </c>
    </row>
    <row r="839" spans="1:14" hidden="1" x14ac:dyDescent="0.25">
      <c r="A839" s="1" t="str">
        <f>VLOOKUP(Table2[[#This Row],[Prod Line ]],Lists!A:E,5,0)</f>
        <v>a</v>
      </c>
      <c r="B839" s="1">
        <v>44284</v>
      </c>
      <c r="C839" s="1">
        <v>44282</v>
      </c>
      <c r="D839" s="1" t="s">
        <v>56</v>
      </c>
      <c r="E839" s="2" t="s">
        <v>404</v>
      </c>
      <c r="F839" s="1"/>
      <c r="G839" s="2">
        <v>25</v>
      </c>
      <c r="H839" s="1"/>
      <c r="I839" t="s">
        <v>1</v>
      </c>
      <c r="J839" t="s">
        <v>2</v>
      </c>
      <c r="K839" t="s">
        <v>19</v>
      </c>
      <c r="L839" t="s">
        <v>407</v>
      </c>
      <c r="M839" s="3" t="s">
        <v>834</v>
      </c>
    </row>
    <row r="840" spans="1:14" hidden="1" x14ac:dyDescent="0.25">
      <c r="A840" s="1" t="str">
        <f>VLOOKUP(Table2[[#This Row],[Prod Line ]],Lists!A:E,5,0)</f>
        <v>a</v>
      </c>
      <c r="B840" s="1">
        <v>44284</v>
      </c>
      <c r="C840" s="1">
        <v>44282</v>
      </c>
      <c r="D840" s="1" t="s">
        <v>56</v>
      </c>
      <c r="E840" s="2" t="s">
        <v>404</v>
      </c>
      <c r="F840" s="1"/>
      <c r="G840" s="2">
        <v>4</v>
      </c>
      <c r="H840" s="1"/>
      <c r="I840" t="s">
        <v>1</v>
      </c>
      <c r="J840" t="s">
        <v>65</v>
      </c>
      <c r="K840" t="s">
        <v>27</v>
      </c>
      <c r="L840" t="s">
        <v>350</v>
      </c>
      <c r="M840" s="3" t="s">
        <v>884</v>
      </c>
    </row>
    <row r="841" spans="1:14" hidden="1" x14ac:dyDescent="0.25">
      <c r="A841" s="1" t="str">
        <f>VLOOKUP(Table2[[#This Row],[Prod Line ]],Lists!A:E,5,0)</f>
        <v>a</v>
      </c>
      <c r="B841" s="1">
        <v>44284</v>
      </c>
      <c r="C841" s="1">
        <v>44282</v>
      </c>
      <c r="D841" s="1" t="s">
        <v>56</v>
      </c>
      <c r="E841" s="2" t="s">
        <v>405</v>
      </c>
      <c r="F841" s="1"/>
      <c r="G841" s="2">
        <v>8</v>
      </c>
      <c r="H841" s="1"/>
      <c r="I841" t="s">
        <v>1</v>
      </c>
      <c r="J841" t="s">
        <v>2</v>
      </c>
      <c r="K841" t="s">
        <v>19</v>
      </c>
      <c r="L841" t="s">
        <v>72</v>
      </c>
      <c r="M841" s="3" t="s">
        <v>1024</v>
      </c>
    </row>
    <row r="842" spans="1:14" hidden="1" x14ac:dyDescent="0.25">
      <c r="A842" s="1" t="str">
        <f>VLOOKUP(Table2[[#This Row],[Prod Line ]],Lists!A:E,5,0)</f>
        <v>b</v>
      </c>
      <c r="B842" s="1">
        <v>44284</v>
      </c>
      <c r="C842" s="1">
        <v>44282</v>
      </c>
      <c r="D842" s="1" t="s">
        <v>58</v>
      </c>
      <c r="E842" s="2" t="s">
        <v>406</v>
      </c>
      <c r="F842" s="1"/>
      <c r="G842" s="2">
        <v>14</v>
      </c>
      <c r="H842" s="1"/>
      <c r="I842" t="s">
        <v>1</v>
      </c>
      <c r="J842" t="s">
        <v>65</v>
      </c>
      <c r="K842" t="s">
        <v>27</v>
      </c>
      <c r="L842" t="s">
        <v>441</v>
      </c>
      <c r="M842" s="3" t="s">
        <v>1014</v>
      </c>
    </row>
    <row r="843" spans="1:14" hidden="1" x14ac:dyDescent="0.25">
      <c r="A843" s="1" t="str">
        <f>VLOOKUP(Table2[[#This Row],[Prod Line ]],Lists!A:E,5,0)</f>
        <v>b</v>
      </c>
      <c r="B843" s="1">
        <v>44284</v>
      </c>
      <c r="C843" s="1">
        <v>44282</v>
      </c>
      <c r="D843" s="1" t="s">
        <v>58</v>
      </c>
      <c r="E843" s="2" t="s">
        <v>404</v>
      </c>
      <c r="F843" s="1"/>
      <c r="G843" s="2">
        <v>7</v>
      </c>
      <c r="H843" s="1"/>
      <c r="I843" t="s">
        <v>1</v>
      </c>
      <c r="J843" t="s">
        <v>65</v>
      </c>
      <c r="K843" t="s">
        <v>27</v>
      </c>
      <c r="L843" t="s">
        <v>441</v>
      </c>
      <c r="M843" s="3" t="s">
        <v>612</v>
      </c>
    </row>
    <row r="844" spans="1:14" hidden="1" x14ac:dyDescent="0.25">
      <c r="A844" s="1" t="str">
        <f>VLOOKUP(Table2[[#This Row],[Prod Line ]],Lists!A:E,5,0)</f>
        <v>b</v>
      </c>
      <c r="B844" s="1">
        <v>44284</v>
      </c>
      <c r="C844" s="1">
        <v>44282</v>
      </c>
      <c r="D844" s="1" t="s">
        <v>58</v>
      </c>
      <c r="E844" s="2" t="s">
        <v>406</v>
      </c>
      <c r="F844" s="1"/>
      <c r="G844" s="2">
        <v>54</v>
      </c>
      <c r="H844" s="1"/>
      <c r="I844" t="s">
        <v>0</v>
      </c>
      <c r="J844" t="s">
        <v>2</v>
      </c>
      <c r="K844" t="s">
        <v>17</v>
      </c>
      <c r="L844" t="s">
        <v>70</v>
      </c>
      <c r="M844" s="3" t="s">
        <v>1015</v>
      </c>
      <c r="N844" s="20" t="s">
        <v>1031</v>
      </c>
    </row>
    <row r="845" spans="1:14" hidden="1" x14ac:dyDescent="0.25">
      <c r="A845" s="1" t="str">
        <f>VLOOKUP(Table2[[#This Row],[Prod Line ]],Lists!A:E,5,0)</f>
        <v>d</v>
      </c>
      <c r="B845" s="1">
        <v>44284</v>
      </c>
      <c r="C845" s="1">
        <v>44282</v>
      </c>
      <c r="D845" s="1" t="s">
        <v>62</v>
      </c>
      <c r="E845" s="2" t="s">
        <v>406</v>
      </c>
      <c r="F845" s="1"/>
      <c r="G845" s="2">
        <v>10</v>
      </c>
      <c r="H845" s="1"/>
      <c r="I845" t="s">
        <v>0</v>
      </c>
      <c r="J845" t="s">
        <v>5</v>
      </c>
      <c r="K845" t="s">
        <v>397</v>
      </c>
      <c r="L845" t="s">
        <v>70</v>
      </c>
      <c r="M845" s="3" t="s">
        <v>1016</v>
      </c>
    </row>
    <row r="846" spans="1:14" hidden="1" x14ac:dyDescent="0.25">
      <c r="A846" s="1" t="str">
        <f>VLOOKUP(Table2[[#This Row],[Prod Line ]],Lists!A:E,5,0)</f>
        <v>d</v>
      </c>
      <c r="B846" s="1">
        <v>44284</v>
      </c>
      <c r="C846" s="1">
        <v>44282</v>
      </c>
      <c r="D846" s="1" t="s">
        <v>62</v>
      </c>
      <c r="E846" s="2" t="s">
        <v>406</v>
      </c>
      <c r="F846" s="1"/>
      <c r="G846" s="2">
        <v>13</v>
      </c>
      <c r="H846" s="1"/>
      <c r="I846" t="s">
        <v>1</v>
      </c>
      <c r="J846" t="s">
        <v>64</v>
      </c>
      <c r="K846" t="s">
        <v>379</v>
      </c>
      <c r="L846" t="s">
        <v>407</v>
      </c>
      <c r="M846" s="3" t="s">
        <v>750</v>
      </c>
    </row>
    <row r="847" spans="1:14" hidden="1" x14ac:dyDescent="0.25">
      <c r="A847" s="1" t="str">
        <f>VLOOKUP(Table2[[#This Row],[Prod Line ]],Lists!A:E,5,0)</f>
        <v>d</v>
      </c>
      <c r="B847" s="1">
        <v>44284</v>
      </c>
      <c r="C847" s="1">
        <v>44282</v>
      </c>
      <c r="D847" s="1" t="s">
        <v>62</v>
      </c>
      <c r="E847" s="2" t="s">
        <v>404</v>
      </c>
      <c r="F847" s="1"/>
      <c r="G847" s="2">
        <v>5</v>
      </c>
      <c r="H847" s="1"/>
      <c r="I847" t="s">
        <v>0</v>
      </c>
      <c r="J847" t="s">
        <v>2</v>
      </c>
      <c r="K847" t="s">
        <v>14</v>
      </c>
      <c r="L847" t="s">
        <v>70</v>
      </c>
      <c r="M847" s="3" t="s">
        <v>1022</v>
      </c>
    </row>
    <row r="848" spans="1:14" hidden="1" x14ac:dyDescent="0.25">
      <c r="A848" s="1" t="str">
        <f>VLOOKUP(Table2[[#This Row],[Prod Line ]],Lists!A:E,5,0)</f>
        <v>d</v>
      </c>
      <c r="B848" s="1">
        <v>44284</v>
      </c>
      <c r="C848" s="1">
        <v>44282</v>
      </c>
      <c r="D848" s="1" t="s">
        <v>62</v>
      </c>
      <c r="E848" s="2" t="s">
        <v>404</v>
      </c>
      <c r="F848" s="1"/>
      <c r="G848" s="2">
        <v>6</v>
      </c>
      <c r="H848" s="1"/>
      <c r="I848" t="s">
        <v>1</v>
      </c>
      <c r="J848" t="s">
        <v>64</v>
      </c>
      <c r="K848" t="s">
        <v>379</v>
      </c>
      <c r="L848" t="s">
        <v>407</v>
      </c>
      <c r="M848" s="3" t="s">
        <v>835</v>
      </c>
    </row>
    <row r="849" spans="1:16" hidden="1" x14ac:dyDescent="0.25">
      <c r="A849" s="1" t="str">
        <f>VLOOKUP(Table2[[#This Row],[Prod Line ]],Lists!A:E,5,0)</f>
        <v>a</v>
      </c>
      <c r="B849" s="1">
        <v>44285</v>
      </c>
      <c r="C849" s="1">
        <v>44283</v>
      </c>
      <c r="D849" s="1" t="s">
        <v>56</v>
      </c>
      <c r="E849" s="2" t="s">
        <v>405</v>
      </c>
      <c r="F849" s="1"/>
      <c r="G849" s="2">
        <v>22</v>
      </c>
      <c r="H849" s="1"/>
      <c r="I849" t="s">
        <v>1</v>
      </c>
      <c r="J849" t="s">
        <v>5</v>
      </c>
      <c r="K849" t="s">
        <v>376</v>
      </c>
      <c r="L849" t="s">
        <v>407</v>
      </c>
      <c r="M849" s="3" t="s">
        <v>1017</v>
      </c>
    </row>
    <row r="850" spans="1:16" hidden="1" x14ac:dyDescent="0.25">
      <c r="A850" s="1" t="str">
        <f>VLOOKUP(Table2[[#This Row],[Prod Line ]],Lists!A:E,5,0)</f>
        <v>c</v>
      </c>
      <c r="B850" s="1">
        <v>44285</v>
      </c>
      <c r="C850" s="1">
        <v>44283</v>
      </c>
      <c r="D850" s="1" t="s">
        <v>60</v>
      </c>
      <c r="E850" s="2" t="s">
        <v>404</v>
      </c>
      <c r="F850" s="1"/>
      <c r="G850" s="2">
        <v>2</v>
      </c>
      <c r="H850" s="1"/>
      <c r="I850" t="s">
        <v>1</v>
      </c>
      <c r="J850" t="s">
        <v>64</v>
      </c>
      <c r="K850" t="s">
        <v>379</v>
      </c>
      <c r="L850" t="s">
        <v>349</v>
      </c>
      <c r="M850" s="3" t="s">
        <v>1018</v>
      </c>
    </row>
    <row r="851" spans="1:16" hidden="1" x14ac:dyDescent="0.25">
      <c r="A851" s="1" t="str">
        <f>VLOOKUP(Table2[[#This Row],[Prod Line ]],Lists!A:E,5,0)</f>
        <v>c</v>
      </c>
      <c r="B851" s="1">
        <v>44285</v>
      </c>
      <c r="C851" s="1">
        <v>44283</v>
      </c>
      <c r="D851" s="1" t="s">
        <v>60</v>
      </c>
      <c r="E851" s="2" t="s">
        <v>404</v>
      </c>
      <c r="F851" s="1"/>
      <c r="G851" s="2">
        <v>16</v>
      </c>
      <c r="H851" s="1"/>
      <c r="I851" t="s">
        <v>1</v>
      </c>
      <c r="J851" t="s">
        <v>2</v>
      </c>
      <c r="K851" t="s">
        <v>378</v>
      </c>
      <c r="L851" t="s">
        <v>349</v>
      </c>
      <c r="M851" s="3" t="s">
        <v>575</v>
      </c>
    </row>
    <row r="852" spans="1:16" hidden="1" x14ac:dyDescent="0.25">
      <c r="A852" s="1" t="str">
        <f>VLOOKUP(Table2[[#This Row],[Prod Line ]],Lists!A:E,5,0)</f>
        <v>c</v>
      </c>
      <c r="B852" s="1">
        <v>44285</v>
      </c>
      <c r="C852" s="1">
        <v>44283</v>
      </c>
      <c r="D852" s="1" t="s">
        <v>60</v>
      </c>
      <c r="E852" s="2" t="s">
        <v>405</v>
      </c>
      <c r="F852" s="1"/>
      <c r="G852" s="2">
        <v>13</v>
      </c>
      <c r="H852" s="1"/>
      <c r="I852" t="s">
        <v>1</v>
      </c>
      <c r="J852" t="s">
        <v>64</v>
      </c>
      <c r="K852" t="s">
        <v>379</v>
      </c>
      <c r="L852" t="s">
        <v>407</v>
      </c>
      <c r="M852" s="3" t="s">
        <v>1019</v>
      </c>
    </row>
    <row r="853" spans="1:16" hidden="1" x14ac:dyDescent="0.25">
      <c r="A853" s="1" t="str">
        <f>VLOOKUP(Table2[[#This Row],[Prod Line ]],Lists!A:E,5,0)</f>
        <v>b</v>
      </c>
      <c r="B853" s="1">
        <v>44285</v>
      </c>
      <c r="C853" s="1">
        <v>44283</v>
      </c>
      <c r="D853" s="1" t="s">
        <v>58</v>
      </c>
      <c r="E853" s="2" t="s">
        <v>404</v>
      </c>
      <c r="F853" s="1"/>
      <c r="G853" s="2">
        <v>4</v>
      </c>
      <c r="H853" s="1"/>
      <c r="I853" t="s">
        <v>1</v>
      </c>
      <c r="J853" t="s">
        <v>2</v>
      </c>
      <c r="K853" t="s">
        <v>19</v>
      </c>
      <c r="L853" t="s">
        <v>349</v>
      </c>
      <c r="M853" s="3" t="s">
        <v>575</v>
      </c>
    </row>
    <row r="854" spans="1:16" ht="30" hidden="1" x14ac:dyDescent="0.25">
      <c r="A854" s="1" t="str">
        <f>VLOOKUP(Table2[[#This Row],[Prod Line ]],Lists!A:E,5,0)</f>
        <v>d</v>
      </c>
      <c r="B854" s="1">
        <v>44285</v>
      </c>
      <c r="C854" s="1">
        <v>44283</v>
      </c>
      <c r="D854" s="1" t="s">
        <v>62</v>
      </c>
      <c r="E854" s="2" t="s">
        <v>406</v>
      </c>
      <c r="F854" s="1"/>
      <c r="G854" s="2">
        <v>126</v>
      </c>
      <c r="H854" s="1"/>
      <c r="I854" t="s">
        <v>0</v>
      </c>
      <c r="J854" t="s">
        <v>5</v>
      </c>
      <c r="K854" t="s">
        <v>397</v>
      </c>
      <c r="L854" t="s">
        <v>69</v>
      </c>
      <c r="M854" s="3" t="s">
        <v>1020</v>
      </c>
      <c r="N854" s="20" t="s">
        <v>1029</v>
      </c>
    </row>
    <row r="855" spans="1:16" hidden="1" x14ac:dyDescent="0.25">
      <c r="A855" s="1" t="str">
        <f>VLOOKUP(Table2[[#This Row],[Prod Line ]],Lists!A:E,5,0)</f>
        <v>d</v>
      </c>
      <c r="B855" s="1">
        <v>44285</v>
      </c>
      <c r="C855" s="1">
        <v>44283</v>
      </c>
      <c r="D855" s="1" t="s">
        <v>62</v>
      </c>
      <c r="E855" s="2" t="s">
        <v>406</v>
      </c>
      <c r="F855" s="1"/>
      <c r="G855" s="2">
        <v>15</v>
      </c>
      <c r="H855" s="1"/>
      <c r="I855" t="s">
        <v>0</v>
      </c>
      <c r="J855" t="s">
        <v>5</v>
      </c>
      <c r="K855" t="s">
        <v>397</v>
      </c>
      <c r="L855" t="s">
        <v>70</v>
      </c>
      <c r="M855" s="3" t="s">
        <v>1016</v>
      </c>
      <c r="N855" s="20" t="s">
        <v>1030</v>
      </c>
    </row>
    <row r="856" spans="1:16" hidden="1" x14ac:dyDescent="0.25">
      <c r="A856" s="1" t="str">
        <f>VLOOKUP(Table2[[#This Row],[Prod Line ]],Lists!A:E,5,0)</f>
        <v>d</v>
      </c>
      <c r="B856" s="1">
        <v>44285</v>
      </c>
      <c r="C856" s="1">
        <v>44283</v>
      </c>
      <c r="D856" s="1" t="s">
        <v>62</v>
      </c>
      <c r="E856" s="2" t="s">
        <v>406</v>
      </c>
      <c r="F856" s="1"/>
      <c r="G856" s="2">
        <v>9</v>
      </c>
      <c r="H856" s="1"/>
      <c r="I856" t="s">
        <v>1</v>
      </c>
      <c r="J856" t="s">
        <v>5</v>
      </c>
      <c r="K856" t="s">
        <v>397</v>
      </c>
      <c r="L856" t="s">
        <v>407</v>
      </c>
      <c r="M856" s="3" t="s">
        <v>1021</v>
      </c>
    </row>
    <row r="857" spans="1:16" hidden="1" x14ac:dyDescent="0.25">
      <c r="A857" s="1" t="str">
        <f>VLOOKUP(Table2[[#This Row],[Prod Line ]],Lists!A:E,5,0)</f>
        <v>d</v>
      </c>
      <c r="B857" s="1">
        <v>44285</v>
      </c>
      <c r="C857" s="1">
        <v>44283</v>
      </c>
      <c r="D857" s="1" t="s">
        <v>62</v>
      </c>
      <c r="E857" s="2" t="s">
        <v>404</v>
      </c>
      <c r="F857" s="1"/>
      <c r="G857" s="2">
        <v>6</v>
      </c>
      <c r="H857" s="1"/>
      <c r="I857" t="s">
        <v>1</v>
      </c>
      <c r="J857" t="s">
        <v>5</v>
      </c>
      <c r="K857" t="s">
        <v>397</v>
      </c>
      <c r="L857" t="s">
        <v>407</v>
      </c>
      <c r="M857" s="3" t="s">
        <v>1021</v>
      </c>
    </row>
    <row r="858" spans="1:16" hidden="1" x14ac:dyDescent="0.25">
      <c r="A858" s="1" t="str">
        <f>VLOOKUP(Table2[[#This Row],[Prod Line ]],Lists!A:E,5,0)</f>
        <v>d</v>
      </c>
      <c r="B858" s="28">
        <v>44285</v>
      </c>
      <c r="C858" s="28">
        <v>44283</v>
      </c>
      <c r="D858" s="28" t="s">
        <v>62</v>
      </c>
      <c r="E858" s="29" t="s">
        <v>404</v>
      </c>
      <c r="F858" s="28"/>
      <c r="G858" s="29">
        <v>5</v>
      </c>
      <c r="H858" s="28"/>
      <c r="I858" s="30" t="s">
        <v>0</v>
      </c>
      <c r="J858" s="30" t="s">
        <v>2</v>
      </c>
      <c r="K858" s="30" t="s">
        <v>19</v>
      </c>
      <c r="L858" s="30" t="s">
        <v>83</v>
      </c>
      <c r="M858" s="31" t="s">
        <v>1022</v>
      </c>
      <c r="N858" s="32"/>
      <c r="O858" s="30"/>
      <c r="P858" s="30"/>
    </row>
    <row r="859" spans="1:16" hidden="1" x14ac:dyDescent="0.25">
      <c r="A859" s="1" t="str">
        <f>VLOOKUP(Table2[[#This Row],[Prod Line ]],Lists!A:E,5,0)</f>
        <v>c</v>
      </c>
      <c r="B859" s="1">
        <v>44285</v>
      </c>
      <c r="C859" s="1">
        <v>44284</v>
      </c>
      <c r="D859" s="1" t="s">
        <v>60</v>
      </c>
      <c r="E859" s="2" t="s">
        <v>404</v>
      </c>
      <c r="F859" s="1"/>
      <c r="G859" s="2">
        <v>37</v>
      </c>
      <c r="H859" s="1"/>
      <c r="I859" t="s">
        <v>1</v>
      </c>
      <c r="J859" t="s">
        <v>64</v>
      </c>
      <c r="K859" t="s">
        <v>379</v>
      </c>
      <c r="L859" t="s">
        <v>407</v>
      </c>
      <c r="M859" s="3" t="s">
        <v>1023</v>
      </c>
    </row>
    <row r="860" spans="1:16" hidden="1" x14ac:dyDescent="0.25">
      <c r="A860" s="1" t="str">
        <f>VLOOKUP(Table2[[#This Row],[Prod Line ]],Lists!A:E,5,0)</f>
        <v>c</v>
      </c>
      <c r="B860" s="1">
        <v>44287</v>
      </c>
      <c r="C860" s="1">
        <v>44285</v>
      </c>
      <c r="D860" s="1" t="s">
        <v>60</v>
      </c>
      <c r="E860" s="2" t="s">
        <v>404</v>
      </c>
      <c r="F860" s="1"/>
      <c r="G860" s="2">
        <v>5</v>
      </c>
      <c r="H860" s="1"/>
      <c r="I860" t="s">
        <v>1</v>
      </c>
      <c r="J860" t="s">
        <v>64</v>
      </c>
      <c r="K860" t="s">
        <v>379</v>
      </c>
      <c r="L860" t="s">
        <v>407</v>
      </c>
      <c r="M860" s="3" t="s">
        <v>1025</v>
      </c>
    </row>
    <row r="861" spans="1:16" hidden="1" x14ac:dyDescent="0.25">
      <c r="A861" s="1" t="str">
        <f>VLOOKUP(Table2[[#This Row],[Prod Line ]],Lists!A:E,5,0)</f>
        <v>a</v>
      </c>
      <c r="B861" s="1">
        <v>44287</v>
      </c>
      <c r="C861" s="1">
        <v>44285</v>
      </c>
      <c r="D861" s="1" t="s">
        <v>56</v>
      </c>
      <c r="E861" s="2" t="s">
        <v>404</v>
      </c>
      <c r="F861" s="1"/>
      <c r="G861" s="2">
        <v>7</v>
      </c>
      <c r="H861" s="1"/>
      <c r="I861" t="s">
        <v>0</v>
      </c>
      <c r="J861" t="s">
        <v>26</v>
      </c>
      <c r="K861" t="s">
        <v>26</v>
      </c>
      <c r="L861" t="s">
        <v>70</v>
      </c>
      <c r="M861" s="3" t="s">
        <v>1027</v>
      </c>
    </row>
    <row r="862" spans="1:16" hidden="1" x14ac:dyDescent="0.25">
      <c r="A862" s="1" t="str">
        <f>VLOOKUP(Table2[[#This Row],[Prod Line ]],Lists!A:E,5,0)</f>
        <v>c</v>
      </c>
      <c r="B862" s="1">
        <v>44287</v>
      </c>
      <c r="C862" s="1">
        <v>44285</v>
      </c>
      <c r="D862" s="1" t="s">
        <v>60</v>
      </c>
      <c r="E862" s="2" t="s">
        <v>404</v>
      </c>
      <c r="F862" s="1"/>
      <c r="G862" s="2">
        <v>8</v>
      </c>
      <c r="H862" s="1"/>
      <c r="I862" t="s">
        <v>0</v>
      </c>
      <c r="J862" t="s">
        <v>2</v>
      </c>
      <c r="K862" t="s">
        <v>378</v>
      </c>
      <c r="L862" t="s">
        <v>70</v>
      </c>
      <c r="M862" s="3" t="s">
        <v>1026</v>
      </c>
    </row>
    <row r="863" spans="1:16" hidden="1" x14ac:dyDescent="0.25">
      <c r="A863" s="1" t="str">
        <f>VLOOKUP(Table2[[#This Row],[Prod Line ]],Lists!A:E,5,0)</f>
        <v>a</v>
      </c>
      <c r="B863" s="1">
        <v>44287</v>
      </c>
      <c r="C863" s="1">
        <v>44285</v>
      </c>
      <c r="D863" s="1" t="s">
        <v>56</v>
      </c>
      <c r="E863" s="2" t="s">
        <v>404</v>
      </c>
      <c r="F863" s="1"/>
      <c r="G863" s="2">
        <v>8</v>
      </c>
      <c r="H863" s="1"/>
      <c r="I863" t="s">
        <v>1</v>
      </c>
      <c r="J863" t="s">
        <v>64</v>
      </c>
      <c r="K863" t="s">
        <v>365</v>
      </c>
      <c r="L863" t="s">
        <v>407</v>
      </c>
      <c r="M863" s="3" t="s">
        <v>1028</v>
      </c>
    </row>
    <row r="864" spans="1:16" hidden="1" x14ac:dyDescent="0.25">
      <c r="A864" s="1" t="str">
        <f>VLOOKUP(Table2[[#This Row],[Prod Line ]],Lists!A:E,5,0)</f>
        <v>d</v>
      </c>
      <c r="B864" s="1">
        <v>44287</v>
      </c>
      <c r="C864" s="1">
        <v>44285</v>
      </c>
      <c r="D864" s="1" t="s">
        <v>62</v>
      </c>
      <c r="E864" s="2" t="s">
        <v>406</v>
      </c>
      <c r="F864" s="1"/>
      <c r="G864" s="2">
        <v>4</v>
      </c>
      <c r="H864" s="1"/>
      <c r="I864" t="s">
        <v>1</v>
      </c>
      <c r="J864" t="s">
        <v>64</v>
      </c>
      <c r="K864" t="s">
        <v>379</v>
      </c>
      <c r="L864" t="s">
        <v>72</v>
      </c>
      <c r="M864" s="3" t="s">
        <v>573</v>
      </c>
    </row>
    <row r="865" spans="1:14" hidden="1" x14ac:dyDescent="0.25">
      <c r="A865" s="1" t="str">
        <f>VLOOKUP(Table2[[#This Row],[Prod Line ]],Lists!A:E,5,0)</f>
        <v>d</v>
      </c>
      <c r="B865" s="1">
        <v>44287</v>
      </c>
      <c r="C865" s="1">
        <v>44285</v>
      </c>
      <c r="D865" s="1" t="s">
        <v>62</v>
      </c>
      <c r="E865" s="2" t="s">
        <v>405</v>
      </c>
      <c r="F865" s="1"/>
      <c r="G865" s="2">
        <v>30</v>
      </c>
      <c r="H865" s="1"/>
      <c r="I865" t="s">
        <v>1</v>
      </c>
      <c r="J865" t="s">
        <v>67</v>
      </c>
      <c r="K865" t="s">
        <v>67</v>
      </c>
      <c r="L865" t="s">
        <v>407</v>
      </c>
      <c r="M865" s="3" t="s">
        <v>1034</v>
      </c>
    </row>
    <row r="866" spans="1:14" hidden="1" x14ac:dyDescent="0.25">
      <c r="A866" s="1" t="str">
        <f>VLOOKUP(Table2[[#This Row],[Prod Line ]],Lists!A:E,5,0)</f>
        <v>b</v>
      </c>
      <c r="B866" s="1">
        <v>44287</v>
      </c>
      <c r="C866" s="1">
        <v>44285</v>
      </c>
      <c r="D866" s="1" t="s">
        <v>58</v>
      </c>
      <c r="E866" s="2" t="s">
        <v>404</v>
      </c>
      <c r="F866" s="1"/>
      <c r="G866" s="2">
        <v>9</v>
      </c>
      <c r="H866" s="1"/>
      <c r="I866" t="s">
        <v>1</v>
      </c>
      <c r="J866" t="s">
        <v>2</v>
      </c>
      <c r="K866" t="s">
        <v>19</v>
      </c>
      <c r="L866" t="s">
        <v>72</v>
      </c>
      <c r="M866" s="3" t="s">
        <v>1033</v>
      </c>
    </row>
    <row r="867" spans="1:14" ht="30" hidden="1" x14ac:dyDescent="0.25">
      <c r="A867" s="1" t="str">
        <f>VLOOKUP(Table2[[#This Row],[Prod Line ]],Lists!A:E,5,0)</f>
        <v>a</v>
      </c>
      <c r="B867" s="1">
        <v>44288</v>
      </c>
      <c r="C867" s="1">
        <v>44286</v>
      </c>
      <c r="D867" s="1" t="s">
        <v>56</v>
      </c>
      <c r="E867" s="2" t="s">
        <v>404</v>
      </c>
      <c r="F867" s="1"/>
      <c r="G867" s="2">
        <v>27</v>
      </c>
      <c r="H867" s="1"/>
      <c r="I867" t="s">
        <v>0</v>
      </c>
      <c r="J867" t="s">
        <v>67</v>
      </c>
      <c r="K867" t="s">
        <v>365</v>
      </c>
      <c r="L867" t="s">
        <v>69</v>
      </c>
      <c r="M867" s="3" t="s">
        <v>1035</v>
      </c>
      <c r="N867" s="20" t="s">
        <v>1061</v>
      </c>
    </row>
    <row r="868" spans="1:14" hidden="1" x14ac:dyDescent="0.25">
      <c r="A868" s="1" t="str">
        <f>VLOOKUP(Table2[[#This Row],[Prod Line ]],Lists!A:E,5,0)</f>
        <v>a</v>
      </c>
      <c r="B868" s="1">
        <v>44288</v>
      </c>
      <c r="C868" s="1">
        <v>44286</v>
      </c>
      <c r="D868" s="1" t="s">
        <v>56</v>
      </c>
      <c r="E868" s="2" t="s">
        <v>404</v>
      </c>
      <c r="F868" s="1"/>
      <c r="G868" s="2">
        <v>36</v>
      </c>
      <c r="H868" s="1" t="s">
        <v>0</v>
      </c>
      <c r="I868" t="s">
        <v>0</v>
      </c>
      <c r="J868" t="s">
        <v>5</v>
      </c>
      <c r="K868" t="s">
        <v>376</v>
      </c>
      <c r="L868" t="s">
        <v>70</v>
      </c>
      <c r="M868" s="3" t="s">
        <v>1036</v>
      </c>
    </row>
    <row r="869" spans="1:14" hidden="1" x14ac:dyDescent="0.25">
      <c r="A869" s="1" t="str">
        <f>VLOOKUP(Table2[[#This Row],[Prod Line ]],Lists!A:E,5,0)</f>
        <v>d</v>
      </c>
      <c r="B869" s="1">
        <v>44288</v>
      </c>
      <c r="C869" s="1">
        <v>44286</v>
      </c>
      <c r="D869" s="1" t="s">
        <v>62</v>
      </c>
      <c r="E869" s="2" t="s">
        <v>406</v>
      </c>
      <c r="F869" s="1"/>
      <c r="G869" s="2">
        <v>5</v>
      </c>
      <c r="H869" s="1"/>
      <c r="I869" t="s">
        <v>1</v>
      </c>
      <c r="J869" t="s">
        <v>2</v>
      </c>
      <c r="K869" t="s">
        <v>19</v>
      </c>
      <c r="L869" t="s">
        <v>349</v>
      </c>
      <c r="M869" s="3" t="s">
        <v>575</v>
      </c>
    </row>
    <row r="870" spans="1:14" hidden="1" x14ac:dyDescent="0.25">
      <c r="A870" s="1" t="str">
        <f>VLOOKUP(Table2[[#This Row],[Prod Line ]],Lists!A:E,5,0)</f>
        <v>a</v>
      </c>
      <c r="B870" s="1">
        <v>44288</v>
      </c>
      <c r="C870" s="1">
        <v>44286</v>
      </c>
      <c r="D870" s="1" t="s">
        <v>56</v>
      </c>
      <c r="E870" s="2" t="s">
        <v>404</v>
      </c>
      <c r="F870" s="1"/>
      <c r="G870" s="2">
        <v>16</v>
      </c>
      <c r="H870" s="1" t="s">
        <v>1</v>
      </c>
      <c r="I870" t="s">
        <v>1</v>
      </c>
      <c r="J870" t="s">
        <v>5</v>
      </c>
      <c r="K870" t="s">
        <v>376</v>
      </c>
      <c r="L870" t="s">
        <v>407</v>
      </c>
      <c r="M870" s="3" t="s">
        <v>1037</v>
      </c>
    </row>
    <row r="871" spans="1:14" hidden="1" x14ac:dyDescent="0.25">
      <c r="A871" s="1" t="str">
        <f>VLOOKUP(Table2[[#This Row],[Prod Line ]],Lists!A:E,5,0)</f>
        <v>b</v>
      </c>
      <c r="B871" s="1">
        <v>44288</v>
      </c>
      <c r="C871" s="1">
        <v>44286</v>
      </c>
      <c r="D871" s="1" t="s">
        <v>58</v>
      </c>
      <c r="E871" s="2" t="s">
        <v>406</v>
      </c>
      <c r="F871" s="1"/>
      <c r="G871" s="2">
        <v>16</v>
      </c>
      <c r="H871" s="1" t="s">
        <v>1</v>
      </c>
      <c r="I871" t="s">
        <v>1</v>
      </c>
      <c r="J871" t="s">
        <v>5</v>
      </c>
      <c r="K871" t="s">
        <v>37</v>
      </c>
      <c r="L871" t="s">
        <v>407</v>
      </c>
      <c r="M871" s="3" t="s">
        <v>1045</v>
      </c>
    </row>
    <row r="872" spans="1:14" hidden="1" x14ac:dyDescent="0.25">
      <c r="A872" s="1" t="str">
        <f>VLOOKUP(Table2[[#This Row],[Prod Line ]],Lists!A:E,5,0)</f>
        <v>d</v>
      </c>
      <c r="B872" s="1">
        <v>44289</v>
      </c>
      <c r="C872" s="1">
        <v>44287</v>
      </c>
      <c r="D872" s="1" t="s">
        <v>62</v>
      </c>
      <c r="E872" s="2" t="s">
        <v>406</v>
      </c>
      <c r="F872" s="1"/>
      <c r="G872" s="2">
        <v>5</v>
      </c>
      <c r="H872" s="1"/>
      <c r="I872" t="s">
        <v>1</v>
      </c>
      <c r="J872" t="s">
        <v>2</v>
      </c>
      <c r="K872" t="s">
        <v>19</v>
      </c>
      <c r="L872" t="s">
        <v>407</v>
      </c>
      <c r="M872" s="3" t="s">
        <v>885</v>
      </c>
    </row>
    <row r="873" spans="1:14" hidden="1" x14ac:dyDescent="0.25">
      <c r="A873" s="1" t="str">
        <f>VLOOKUP(Table2[[#This Row],[Prod Line ]],Lists!A:E,5,0)</f>
        <v>d</v>
      </c>
      <c r="B873" s="1">
        <v>44289</v>
      </c>
      <c r="C873" s="1">
        <v>44287</v>
      </c>
      <c r="D873" s="1" t="s">
        <v>62</v>
      </c>
      <c r="E873" s="2" t="s">
        <v>406</v>
      </c>
      <c r="F873" s="1"/>
      <c r="G873" s="2">
        <v>7</v>
      </c>
      <c r="H873" s="1"/>
      <c r="I873" t="s">
        <v>1</v>
      </c>
      <c r="J873" t="s">
        <v>64</v>
      </c>
      <c r="K873" t="s">
        <v>379</v>
      </c>
      <c r="L873" t="s">
        <v>407</v>
      </c>
      <c r="M873" s="3" t="s">
        <v>821</v>
      </c>
    </row>
    <row r="874" spans="1:14" hidden="1" x14ac:dyDescent="0.25">
      <c r="A874" s="1" t="str">
        <f>VLOOKUP(Table2[[#This Row],[Prod Line ]],Lists!A:E,5,0)</f>
        <v>a</v>
      </c>
      <c r="B874" s="1">
        <v>44289</v>
      </c>
      <c r="C874" s="1">
        <v>44287</v>
      </c>
      <c r="D874" s="1" t="s">
        <v>56</v>
      </c>
      <c r="E874" s="2" t="s">
        <v>404</v>
      </c>
      <c r="F874" s="1"/>
      <c r="G874" s="2">
        <v>9</v>
      </c>
      <c r="H874" s="1"/>
      <c r="I874" t="s">
        <v>1</v>
      </c>
      <c r="J874" t="s">
        <v>64</v>
      </c>
      <c r="K874" t="s">
        <v>367</v>
      </c>
      <c r="L874" t="s">
        <v>407</v>
      </c>
      <c r="M874" s="3" t="s">
        <v>1038</v>
      </c>
    </row>
    <row r="875" spans="1:14" hidden="1" x14ac:dyDescent="0.25">
      <c r="A875" s="1" t="str">
        <f>VLOOKUP(Table2[[#This Row],[Prod Line ]],Lists!A:E,5,0)</f>
        <v>a</v>
      </c>
      <c r="B875" s="1">
        <v>44289</v>
      </c>
      <c r="C875" s="1">
        <v>44287</v>
      </c>
      <c r="D875" s="1" t="s">
        <v>56</v>
      </c>
      <c r="E875" s="2" t="s">
        <v>405</v>
      </c>
      <c r="F875" s="1"/>
      <c r="G875" s="2">
        <v>15</v>
      </c>
      <c r="H875" s="1"/>
      <c r="I875" t="s">
        <v>0</v>
      </c>
      <c r="J875" t="s">
        <v>64</v>
      </c>
      <c r="K875" t="s">
        <v>370</v>
      </c>
      <c r="L875" t="s">
        <v>70</v>
      </c>
      <c r="M875" s="3" t="s">
        <v>1039</v>
      </c>
    </row>
    <row r="876" spans="1:14" hidden="1" x14ac:dyDescent="0.25">
      <c r="A876" s="1" t="str">
        <f>VLOOKUP(Table2[[#This Row],[Prod Line ]],Lists!A:E,5,0)</f>
        <v>a</v>
      </c>
      <c r="B876" s="1">
        <v>44289</v>
      </c>
      <c r="C876" s="1">
        <v>44287</v>
      </c>
      <c r="D876" s="1" t="s">
        <v>56</v>
      </c>
      <c r="E876" s="2" t="s">
        <v>405</v>
      </c>
      <c r="F876" s="1"/>
      <c r="G876" s="2">
        <v>20</v>
      </c>
      <c r="H876" s="1"/>
      <c r="I876" t="s">
        <v>0</v>
      </c>
      <c r="J876" t="s">
        <v>64</v>
      </c>
      <c r="K876" t="s">
        <v>370</v>
      </c>
      <c r="L876" t="s">
        <v>70</v>
      </c>
      <c r="M876" s="3" t="s">
        <v>1040</v>
      </c>
    </row>
    <row r="877" spans="1:14" hidden="1" x14ac:dyDescent="0.25">
      <c r="A877" s="1" t="str">
        <f>VLOOKUP(Table2[[#This Row],[Prod Line ]],Lists!A:E,5,0)</f>
        <v>a</v>
      </c>
      <c r="B877" s="1">
        <v>44289</v>
      </c>
      <c r="C877" s="1">
        <v>44287</v>
      </c>
      <c r="D877" s="1" t="s">
        <v>56</v>
      </c>
      <c r="E877" s="2" t="s">
        <v>405</v>
      </c>
      <c r="F877" s="1"/>
      <c r="G877" s="2">
        <v>10</v>
      </c>
      <c r="H877" s="1"/>
      <c r="I877" t="s">
        <v>1</v>
      </c>
      <c r="J877" t="s">
        <v>65</v>
      </c>
      <c r="K877" t="s">
        <v>3</v>
      </c>
      <c r="L877" t="s">
        <v>407</v>
      </c>
      <c r="M877" s="3" t="s">
        <v>1041</v>
      </c>
    </row>
    <row r="878" spans="1:14" hidden="1" x14ac:dyDescent="0.25">
      <c r="A878" s="1" t="str">
        <f>VLOOKUP(Table2[[#This Row],[Prod Line ]],Lists!A:E,5,0)</f>
        <v>c</v>
      </c>
      <c r="B878" s="1">
        <v>44289</v>
      </c>
      <c r="C878" s="1">
        <v>44287</v>
      </c>
      <c r="D878" s="1" t="s">
        <v>60</v>
      </c>
      <c r="E878" s="2" t="s">
        <v>405</v>
      </c>
      <c r="F878" s="1"/>
      <c r="G878" s="2">
        <v>14</v>
      </c>
      <c r="H878" s="1"/>
      <c r="I878" t="s">
        <v>1</v>
      </c>
      <c r="J878" t="s">
        <v>2</v>
      </c>
      <c r="K878" t="s">
        <v>378</v>
      </c>
      <c r="L878" t="s">
        <v>407</v>
      </c>
      <c r="M878" s="3" t="s">
        <v>1042</v>
      </c>
    </row>
    <row r="879" spans="1:14" hidden="1" x14ac:dyDescent="0.25">
      <c r="A879" s="1" t="str">
        <f>VLOOKUP(Table2[[#This Row],[Prod Line ]],Lists!A:E,5,0)</f>
        <v>c</v>
      </c>
      <c r="B879" s="1">
        <v>44289</v>
      </c>
      <c r="C879" s="1">
        <v>44287</v>
      </c>
      <c r="D879" s="1" t="s">
        <v>60</v>
      </c>
      <c r="E879" s="2" t="s">
        <v>405</v>
      </c>
      <c r="F879" s="1"/>
      <c r="G879" s="2">
        <v>9</v>
      </c>
      <c r="H879" s="1"/>
      <c r="I879" t="s">
        <v>1</v>
      </c>
      <c r="J879" t="s">
        <v>2</v>
      </c>
      <c r="K879" t="s">
        <v>378</v>
      </c>
      <c r="L879" t="s">
        <v>349</v>
      </c>
      <c r="M879" s="3" t="s">
        <v>1043</v>
      </c>
    </row>
    <row r="880" spans="1:14" hidden="1" x14ac:dyDescent="0.25">
      <c r="A880" s="1" t="str">
        <f>VLOOKUP(Table2[[#This Row],[Prod Line ]],Lists!A:E,5,0)</f>
        <v>c</v>
      </c>
      <c r="B880" s="1">
        <v>44289</v>
      </c>
      <c r="C880" s="1">
        <v>44287</v>
      </c>
      <c r="D880" s="1" t="s">
        <v>60</v>
      </c>
      <c r="E880" s="2" t="s">
        <v>405</v>
      </c>
      <c r="F880" s="1"/>
      <c r="G880" s="2">
        <v>18</v>
      </c>
      <c r="H880" s="1"/>
      <c r="I880" t="s">
        <v>1</v>
      </c>
      <c r="J880" t="s">
        <v>2</v>
      </c>
      <c r="K880" t="s">
        <v>378</v>
      </c>
      <c r="L880" t="s">
        <v>349</v>
      </c>
      <c r="M880" s="3" t="s">
        <v>1044</v>
      </c>
    </row>
    <row r="881" spans="1:16" s="22" customFormat="1" ht="15.75" hidden="1" thickBot="1" x14ac:dyDescent="0.3">
      <c r="A881" s="1" t="str">
        <f>VLOOKUP(Table2[[#This Row],[Prod Line ]],Lists!A:E,5,0)</f>
        <v>b</v>
      </c>
      <c r="B881" s="1">
        <v>44289</v>
      </c>
      <c r="C881" s="1">
        <v>44287</v>
      </c>
      <c r="D881" s="1" t="s">
        <v>58</v>
      </c>
      <c r="E881" s="2" t="s">
        <v>404</v>
      </c>
      <c r="F881" s="1"/>
      <c r="G881" s="2">
        <v>18</v>
      </c>
      <c r="H881" s="1"/>
      <c r="I881" t="s">
        <v>1</v>
      </c>
      <c r="J881" t="s">
        <v>2</v>
      </c>
      <c r="K881" t="s">
        <v>19</v>
      </c>
      <c r="L881" t="s">
        <v>407</v>
      </c>
      <c r="M881" s="3" t="s">
        <v>1046</v>
      </c>
      <c r="N881" s="20"/>
      <c r="O881"/>
      <c r="P881"/>
    </row>
    <row r="882" spans="1:16" ht="15.75" hidden="1" thickBot="1" x14ac:dyDescent="0.3">
      <c r="A882" s="1" t="str">
        <f>VLOOKUP(Table2[[#This Row],[Prod Line ]],Lists!A:E,5,0)</f>
        <v>b</v>
      </c>
      <c r="B882" s="21">
        <v>44289</v>
      </c>
      <c r="C882" s="21">
        <v>44287</v>
      </c>
      <c r="D882" s="21" t="s">
        <v>58</v>
      </c>
      <c r="E882" s="25" t="s">
        <v>404</v>
      </c>
      <c r="F882" s="21"/>
      <c r="G882" s="25">
        <v>13</v>
      </c>
      <c r="H882" s="21"/>
      <c r="I882" s="22" t="s">
        <v>0</v>
      </c>
      <c r="J882" s="22" t="s">
        <v>5</v>
      </c>
      <c r="K882" s="22" t="s">
        <v>39</v>
      </c>
      <c r="L882" s="22" t="s">
        <v>70</v>
      </c>
      <c r="M882" s="26" t="s">
        <v>1047</v>
      </c>
      <c r="N882" s="27"/>
      <c r="O882" s="22"/>
      <c r="P882" s="22"/>
    </row>
    <row r="883" spans="1:16" hidden="1" x14ac:dyDescent="0.25">
      <c r="A883" s="1" t="str">
        <f>VLOOKUP(Table2[[#This Row],[Prod Line ]],Lists!A:E,5,0)</f>
        <v>a</v>
      </c>
      <c r="B883" s="1">
        <v>44291</v>
      </c>
      <c r="C883" s="1">
        <v>44289</v>
      </c>
      <c r="D883" s="1" t="s">
        <v>56</v>
      </c>
      <c r="E883" s="2" t="s">
        <v>404</v>
      </c>
      <c r="F883" s="1"/>
      <c r="G883" s="2">
        <v>27</v>
      </c>
      <c r="H883" s="1"/>
      <c r="I883" t="s">
        <v>1</v>
      </c>
      <c r="J883" t="s">
        <v>64</v>
      </c>
      <c r="K883" t="s">
        <v>365</v>
      </c>
      <c r="L883" t="s">
        <v>407</v>
      </c>
      <c r="M883" s="3" t="s">
        <v>1048</v>
      </c>
    </row>
    <row r="884" spans="1:16" hidden="1" x14ac:dyDescent="0.25">
      <c r="A884" s="1" t="str">
        <f>VLOOKUP(Table2[[#This Row],[Prod Line ]],Lists!A:E,5,0)</f>
        <v>a</v>
      </c>
      <c r="B884" s="1">
        <v>44291</v>
      </c>
      <c r="C884" s="1">
        <v>44289</v>
      </c>
      <c r="D884" s="1" t="s">
        <v>56</v>
      </c>
      <c r="E884" s="2" t="s">
        <v>404</v>
      </c>
      <c r="F884" s="1"/>
      <c r="G884" s="2">
        <v>3</v>
      </c>
      <c r="H884" s="1"/>
      <c r="I884" t="s">
        <v>1</v>
      </c>
      <c r="J884" t="s">
        <v>67</v>
      </c>
      <c r="K884" t="s">
        <v>67</v>
      </c>
      <c r="L884" t="s">
        <v>350</v>
      </c>
      <c r="M884" s="3" t="s">
        <v>1058</v>
      </c>
    </row>
    <row r="885" spans="1:16" hidden="1" x14ac:dyDescent="0.25">
      <c r="A885" s="1" t="str">
        <f>VLOOKUP(Table2[[#This Row],[Prod Line ]],Lists!A:E,5,0)</f>
        <v>b</v>
      </c>
      <c r="B885" s="1">
        <v>44291</v>
      </c>
      <c r="C885" s="1">
        <v>44289</v>
      </c>
      <c r="D885" s="1" t="s">
        <v>58</v>
      </c>
      <c r="E885" s="2" t="s">
        <v>406</v>
      </c>
      <c r="F885" s="1"/>
      <c r="G885" s="2">
        <v>4</v>
      </c>
      <c r="H885" s="1"/>
      <c r="I885" t="s">
        <v>0</v>
      </c>
      <c r="J885" t="s">
        <v>64</v>
      </c>
      <c r="K885" t="s">
        <v>20</v>
      </c>
      <c r="L885" t="s">
        <v>70</v>
      </c>
      <c r="M885" s="3" t="s">
        <v>1049</v>
      </c>
    </row>
    <row r="886" spans="1:16" hidden="1" x14ac:dyDescent="0.25">
      <c r="A886" s="1" t="str">
        <f>VLOOKUP(Table2[[#This Row],[Prod Line ]],Lists!A:E,5,0)</f>
        <v>b</v>
      </c>
      <c r="B886" s="1">
        <v>44291</v>
      </c>
      <c r="C886" s="1">
        <v>44289</v>
      </c>
      <c r="D886" s="1" t="s">
        <v>58</v>
      </c>
      <c r="E886" s="2" t="s">
        <v>406</v>
      </c>
      <c r="F886" s="1"/>
      <c r="G886" s="2">
        <v>6</v>
      </c>
      <c r="H886" s="1"/>
      <c r="I886" t="s">
        <v>1</v>
      </c>
      <c r="J886" t="s">
        <v>64</v>
      </c>
      <c r="K886" t="s">
        <v>22</v>
      </c>
      <c r="L886" t="s">
        <v>407</v>
      </c>
      <c r="M886" s="3" t="s">
        <v>939</v>
      </c>
    </row>
    <row r="887" spans="1:16" hidden="1" x14ac:dyDescent="0.25">
      <c r="A887" s="1" t="str">
        <f>VLOOKUP(Table2[[#This Row],[Prod Line ]],Lists!A:E,5,0)</f>
        <v>b</v>
      </c>
      <c r="B887" s="1">
        <v>44291</v>
      </c>
      <c r="C887" s="1">
        <v>44289</v>
      </c>
      <c r="D887" s="1" t="s">
        <v>58</v>
      </c>
      <c r="E887" s="2" t="s">
        <v>406</v>
      </c>
      <c r="F887" s="1"/>
      <c r="G887" s="2">
        <v>11</v>
      </c>
      <c r="H887" s="1"/>
      <c r="I887" t="s">
        <v>1</v>
      </c>
      <c r="J887" t="s">
        <v>2</v>
      </c>
      <c r="K887" t="s">
        <v>19</v>
      </c>
      <c r="L887" t="s">
        <v>72</v>
      </c>
      <c r="M887" s="3" t="s">
        <v>1050</v>
      </c>
    </row>
    <row r="888" spans="1:16" hidden="1" x14ac:dyDescent="0.25">
      <c r="A888" s="1" t="str">
        <f>VLOOKUP(Table2[[#This Row],[Prod Line ]],Lists!A:E,5,0)</f>
        <v>b</v>
      </c>
      <c r="B888" s="1">
        <v>44291</v>
      </c>
      <c r="C888" s="1">
        <v>44289</v>
      </c>
      <c r="D888" s="1" t="s">
        <v>58</v>
      </c>
      <c r="E888" s="2" t="s">
        <v>404</v>
      </c>
      <c r="F888" s="1"/>
      <c r="G888" s="2">
        <v>13</v>
      </c>
      <c r="H888" s="1"/>
      <c r="I888" t="s">
        <v>1</v>
      </c>
      <c r="J888" t="s">
        <v>65</v>
      </c>
      <c r="K888" t="s">
        <v>27</v>
      </c>
      <c r="L888" t="s">
        <v>441</v>
      </c>
      <c r="M888" s="3" t="s">
        <v>1011</v>
      </c>
    </row>
    <row r="889" spans="1:16" hidden="1" x14ac:dyDescent="0.25">
      <c r="A889" s="1" t="str">
        <f>VLOOKUP(Table2[[#This Row],[Prod Line ]],Lists!A:E,5,0)</f>
        <v>b</v>
      </c>
      <c r="B889" s="1">
        <v>44291</v>
      </c>
      <c r="C889" s="1">
        <v>44289</v>
      </c>
      <c r="D889" s="1" t="s">
        <v>58</v>
      </c>
      <c r="E889" s="2" t="s">
        <v>404</v>
      </c>
      <c r="F889" s="1"/>
      <c r="G889" s="2">
        <v>10</v>
      </c>
      <c r="H889" s="1"/>
      <c r="I889" t="s">
        <v>1</v>
      </c>
      <c r="J889" t="s">
        <v>2</v>
      </c>
      <c r="K889" t="s">
        <v>19</v>
      </c>
      <c r="L889" t="s">
        <v>349</v>
      </c>
      <c r="M889" s="3" t="s">
        <v>575</v>
      </c>
    </row>
    <row r="890" spans="1:16" hidden="1" x14ac:dyDescent="0.25">
      <c r="A890" s="1" t="str">
        <f>VLOOKUP(Table2[[#This Row],[Prod Line ]],Lists!A:E,5,0)</f>
        <v>b</v>
      </c>
      <c r="B890" s="1">
        <v>44291</v>
      </c>
      <c r="C890" s="1">
        <v>44289</v>
      </c>
      <c r="D890" s="1" t="s">
        <v>58</v>
      </c>
      <c r="E890" s="2" t="s">
        <v>406</v>
      </c>
      <c r="F890" s="1"/>
      <c r="G890" s="2">
        <v>12</v>
      </c>
      <c r="H890" s="1"/>
      <c r="I890" t="s">
        <v>1</v>
      </c>
      <c r="J890" t="s">
        <v>2</v>
      </c>
      <c r="K890" t="s">
        <v>19</v>
      </c>
      <c r="L890" t="s">
        <v>72</v>
      </c>
      <c r="M890" s="3" t="s">
        <v>1055</v>
      </c>
    </row>
    <row r="891" spans="1:16" hidden="1" x14ac:dyDescent="0.25">
      <c r="A891" s="1" t="str">
        <f>VLOOKUP(Table2[[#This Row],[Prod Line ]],Lists!A:E,5,0)</f>
        <v>d</v>
      </c>
      <c r="B891" s="1">
        <v>44291</v>
      </c>
      <c r="C891" s="1">
        <v>44289</v>
      </c>
      <c r="D891" s="1" t="s">
        <v>62</v>
      </c>
      <c r="E891" s="2" t="s">
        <v>406</v>
      </c>
      <c r="F891" s="1"/>
      <c r="G891" s="2">
        <v>18</v>
      </c>
      <c r="H891" s="1"/>
      <c r="I891" t="s">
        <v>1</v>
      </c>
      <c r="J891" t="s">
        <v>26</v>
      </c>
      <c r="K891" t="s">
        <v>393</v>
      </c>
      <c r="L891" t="s">
        <v>72</v>
      </c>
      <c r="M891" s="3" t="s">
        <v>1076</v>
      </c>
    </row>
    <row r="892" spans="1:16" hidden="1" x14ac:dyDescent="0.25">
      <c r="A892" s="1" t="str">
        <f>VLOOKUP(Table2[[#This Row],[Prod Line ]],Lists!A:E,5,0)</f>
        <v>d</v>
      </c>
      <c r="B892" s="1">
        <v>44291</v>
      </c>
      <c r="C892" s="1">
        <v>44289</v>
      </c>
      <c r="D892" s="1" t="s">
        <v>62</v>
      </c>
      <c r="E892" s="2" t="s">
        <v>406</v>
      </c>
      <c r="F892" s="1"/>
      <c r="G892" s="2">
        <v>23</v>
      </c>
      <c r="H892" s="1"/>
      <c r="I892" t="s">
        <v>1</v>
      </c>
      <c r="J892" t="s">
        <v>2</v>
      </c>
      <c r="K892" t="s">
        <v>19</v>
      </c>
      <c r="L892" t="s">
        <v>407</v>
      </c>
      <c r="M892" s="3" t="s">
        <v>1051</v>
      </c>
    </row>
    <row r="893" spans="1:16" hidden="1" x14ac:dyDescent="0.25">
      <c r="A893" s="1" t="str">
        <f>VLOOKUP(Table2[[#This Row],[Prod Line ]],Lists!A:E,5,0)</f>
        <v>b</v>
      </c>
      <c r="B893" s="1">
        <v>44292</v>
      </c>
      <c r="C893" s="1">
        <v>44290</v>
      </c>
      <c r="D893" s="1" t="s">
        <v>58</v>
      </c>
      <c r="E893" s="2" t="s">
        <v>406</v>
      </c>
      <c r="F893" s="1"/>
      <c r="G893" s="2">
        <v>20</v>
      </c>
      <c r="H893" s="1" t="s">
        <v>0</v>
      </c>
      <c r="I893" t="s">
        <v>0</v>
      </c>
      <c r="J893" t="s">
        <v>64</v>
      </c>
      <c r="K893" t="s">
        <v>20</v>
      </c>
      <c r="L893" t="s">
        <v>70</v>
      </c>
      <c r="M893" s="3" t="s">
        <v>1052</v>
      </c>
    </row>
    <row r="894" spans="1:16" hidden="1" x14ac:dyDescent="0.25">
      <c r="A894" s="1" t="str">
        <f>VLOOKUP(Table2[[#This Row],[Prod Line ]],Lists!A:E,5,0)</f>
        <v>c</v>
      </c>
      <c r="B894" s="1">
        <v>44292</v>
      </c>
      <c r="C894" s="1">
        <v>44290</v>
      </c>
      <c r="D894" s="1" t="s">
        <v>60</v>
      </c>
      <c r="E894" s="2" t="s">
        <v>404</v>
      </c>
      <c r="F894" s="1"/>
      <c r="G894" s="2">
        <v>24</v>
      </c>
      <c r="H894" s="1"/>
      <c r="I894" t="s">
        <v>1</v>
      </c>
      <c r="J894" t="s">
        <v>64</v>
      </c>
      <c r="K894" t="s">
        <v>379</v>
      </c>
      <c r="L894" t="s">
        <v>349</v>
      </c>
      <c r="M894" s="3" t="s">
        <v>1000</v>
      </c>
    </row>
    <row r="895" spans="1:16" s="22" customFormat="1" ht="15.75" hidden="1" thickBot="1" x14ac:dyDescent="0.3">
      <c r="A895" s="1" t="str">
        <f>VLOOKUP(Table2[[#This Row],[Prod Line ]],Lists!A:E,5,0)</f>
        <v>d</v>
      </c>
      <c r="B895" s="1">
        <v>44292</v>
      </c>
      <c r="C895" s="1">
        <v>44290</v>
      </c>
      <c r="D895" s="1" t="s">
        <v>62</v>
      </c>
      <c r="E895" s="2" t="s">
        <v>404</v>
      </c>
      <c r="F895" s="1"/>
      <c r="G895" s="2">
        <v>5</v>
      </c>
      <c r="H895" s="1"/>
      <c r="I895" t="s">
        <v>1</v>
      </c>
      <c r="J895" t="s">
        <v>64</v>
      </c>
      <c r="K895" t="s">
        <v>379</v>
      </c>
      <c r="L895" t="s">
        <v>407</v>
      </c>
      <c r="M895" s="3" t="s">
        <v>610</v>
      </c>
      <c r="N895" s="20"/>
      <c r="O895"/>
      <c r="P895"/>
    </row>
    <row r="896" spans="1:16" ht="15.75" hidden="1" thickBot="1" x14ac:dyDescent="0.3">
      <c r="A896" s="1" t="str">
        <f>VLOOKUP(Table2[[#This Row],[Prod Line ]],Lists!A:E,5,0)</f>
        <v>d</v>
      </c>
      <c r="B896" s="21">
        <v>44292</v>
      </c>
      <c r="C896" s="21">
        <v>44290</v>
      </c>
      <c r="D896" s="21" t="s">
        <v>62</v>
      </c>
      <c r="E896" s="25" t="s">
        <v>404</v>
      </c>
      <c r="F896" s="21"/>
      <c r="G896" s="25">
        <v>6</v>
      </c>
      <c r="H896" s="21"/>
      <c r="I896" s="22" t="s">
        <v>0</v>
      </c>
      <c r="J896" s="22" t="s">
        <v>5</v>
      </c>
      <c r="K896" s="22" t="s">
        <v>397</v>
      </c>
      <c r="L896" s="22" t="s">
        <v>70</v>
      </c>
      <c r="M896" s="26" t="s">
        <v>1053</v>
      </c>
      <c r="N896" s="27"/>
      <c r="O896" s="22"/>
      <c r="P896" s="22"/>
    </row>
    <row r="897" spans="1:14" hidden="1" x14ac:dyDescent="0.25">
      <c r="A897" s="1" t="str">
        <f>VLOOKUP(Table2[[#This Row],[Prod Line ]],Lists!A:E,5,0)</f>
        <v>b</v>
      </c>
      <c r="B897" s="1">
        <v>44292</v>
      </c>
      <c r="C897" s="1">
        <v>44290</v>
      </c>
      <c r="D897" s="1" t="s">
        <v>58</v>
      </c>
      <c r="E897" s="2" t="s">
        <v>404</v>
      </c>
      <c r="F897" s="1"/>
      <c r="G897" s="2">
        <v>6</v>
      </c>
      <c r="H897" s="1"/>
      <c r="I897" t="s">
        <v>1</v>
      </c>
      <c r="J897" t="s">
        <v>2</v>
      </c>
      <c r="K897" t="s">
        <v>19</v>
      </c>
      <c r="L897" t="s">
        <v>407</v>
      </c>
      <c r="M897" s="3" t="s">
        <v>1054</v>
      </c>
    </row>
    <row r="898" spans="1:14" hidden="1" x14ac:dyDescent="0.25">
      <c r="A898" s="1" t="str">
        <f>VLOOKUP(Table2[[#This Row],[Prod Line ]],Lists!A:E,5,0)</f>
        <v>c</v>
      </c>
      <c r="B898" s="1">
        <v>44292</v>
      </c>
      <c r="C898" s="1">
        <v>44291</v>
      </c>
      <c r="D898" s="1" t="s">
        <v>60</v>
      </c>
      <c r="E898" s="2" t="s">
        <v>404</v>
      </c>
      <c r="F898" s="1"/>
      <c r="G898" s="2">
        <v>4</v>
      </c>
      <c r="H898" s="1"/>
      <c r="I898" t="s">
        <v>1</v>
      </c>
      <c r="J898" t="s">
        <v>2</v>
      </c>
      <c r="K898" t="s">
        <v>378</v>
      </c>
      <c r="L898" t="s">
        <v>349</v>
      </c>
      <c r="M898" s="3" t="s">
        <v>797</v>
      </c>
    </row>
    <row r="899" spans="1:14" hidden="1" x14ac:dyDescent="0.25">
      <c r="A899" s="1" t="str">
        <f>VLOOKUP(Table2[[#This Row],[Prod Line ]],Lists!A:E,5,0)</f>
        <v>c</v>
      </c>
      <c r="B899" s="1">
        <v>44292</v>
      </c>
      <c r="C899" s="1">
        <v>44291</v>
      </c>
      <c r="D899" s="1" t="s">
        <v>60</v>
      </c>
      <c r="E899" s="2" t="s">
        <v>404</v>
      </c>
      <c r="F899" s="1"/>
      <c r="G899" s="2">
        <v>5</v>
      </c>
      <c r="H899" s="1"/>
      <c r="I899" t="s">
        <v>1</v>
      </c>
      <c r="J899" t="s">
        <v>2</v>
      </c>
      <c r="K899" t="s">
        <v>378</v>
      </c>
      <c r="L899" t="s">
        <v>349</v>
      </c>
      <c r="M899" s="3" t="s">
        <v>1056</v>
      </c>
    </row>
    <row r="900" spans="1:14" hidden="1" x14ac:dyDescent="0.25">
      <c r="A900" s="1" t="str">
        <f>VLOOKUP(Table2[[#This Row],[Prod Line ]],Lists!A:E,5,0)</f>
        <v>c</v>
      </c>
      <c r="B900" s="1">
        <v>44292</v>
      </c>
      <c r="C900" s="1">
        <v>44291</v>
      </c>
      <c r="D900" s="1" t="s">
        <v>60</v>
      </c>
      <c r="E900" s="2" t="s">
        <v>404</v>
      </c>
      <c r="F900" s="1"/>
      <c r="G900" s="2">
        <v>5</v>
      </c>
      <c r="H900" s="1"/>
      <c r="I900" t="s">
        <v>1</v>
      </c>
      <c r="J900" t="s">
        <v>26</v>
      </c>
      <c r="K900" t="s">
        <v>26</v>
      </c>
      <c r="L900" t="s">
        <v>430</v>
      </c>
      <c r="M900" s="3" t="s">
        <v>1057</v>
      </c>
    </row>
    <row r="901" spans="1:14" hidden="1" x14ac:dyDescent="0.25">
      <c r="A901" s="1" t="str">
        <f>VLOOKUP(Table2[[#This Row],[Prod Line ]],Lists!A:E,5,0)</f>
        <v>a</v>
      </c>
      <c r="B901" s="1">
        <v>44294</v>
      </c>
      <c r="C901" s="1">
        <v>44292</v>
      </c>
      <c r="D901" s="1" t="s">
        <v>56</v>
      </c>
      <c r="E901" s="2" t="s">
        <v>404</v>
      </c>
      <c r="F901" s="1"/>
      <c r="G901" s="2">
        <v>11</v>
      </c>
      <c r="H901" s="1"/>
      <c r="I901" t="s">
        <v>1</v>
      </c>
      <c r="J901" t="s">
        <v>2</v>
      </c>
      <c r="K901" t="s">
        <v>19</v>
      </c>
      <c r="L901" t="s">
        <v>349</v>
      </c>
      <c r="M901" s="3" t="s">
        <v>575</v>
      </c>
    </row>
    <row r="902" spans="1:14" ht="120" hidden="1" x14ac:dyDescent="0.25">
      <c r="A902" s="1" t="str">
        <f>VLOOKUP(Table2[[#This Row],[Prod Line ]],Lists!A:E,5,0)</f>
        <v>a</v>
      </c>
      <c r="B902" s="1">
        <v>44294</v>
      </c>
      <c r="C902" s="1">
        <v>44292</v>
      </c>
      <c r="D902" s="1" t="s">
        <v>56</v>
      </c>
      <c r="E902" s="2" t="s">
        <v>404</v>
      </c>
      <c r="F902" s="1"/>
      <c r="G902" s="2">
        <v>151</v>
      </c>
      <c r="H902" s="1"/>
      <c r="I902" t="s">
        <v>0</v>
      </c>
      <c r="J902" t="s">
        <v>64</v>
      </c>
      <c r="K902" t="s">
        <v>370</v>
      </c>
      <c r="L902" t="s">
        <v>69</v>
      </c>
      <c r="M902" s="3" t="s">
        <v>1063</v>
      </c>
      <c r="N902" s="20" t="s">
        <v>1064</v>
      </c>
    </row>
    <row r="903" spans="1:14" hidden="1" x14ac:dyDescent="0.25">
      <c r="A903" s="1" t="str">
        <f>VLOOKUP(Table2[[#This Row],[Prod Line ]],Lists!A:E,5,0)</f>
        <v>a</v>
      </c>
      <c r="B903" s="1">
        <v>44294</v>
      </c>
      <c r="C903" s="1">
        <v>44292</v>
      </c>
      <c r="D903" s="1" t="s">
        <v>56</v>
      </c>
      <c r="E903" s="2" t="s">
        <v>404</v>
      </c>
      <c r="F903" s="1"/>
      <c r="G903" s="2">
        <v>20</v>
      </c>
      <c r="H903" s="1" t="s">
        <v>0</v>
      </c>
      <c r="I903" t="s">
        <v>0</v>
      </c>
      <c r="J903" t="s">
        <v>64</v>
      </c>
      <c r="K903" t="s">
        <v>370</v>
      </c>
      <c r="L903" t="s">
        <v>69</v>
      </c>
      <c r="M903" s="3" t="s">
        <v>1060</v>
      </c>
    </row>
    <row r="904" spans="1:14" hidden="1" x14ac:dyDescent="0.25">
      <c r="A904" s="1" t="str">
        <f>VLOOKUP(Table2[[#This Row],[Prod Line ]],Lists!A:E,5,0)</f>
        <v>a</v>
      </c>
      <c r="B904" s="1">
        <v>44294</v>
      </c>
      <c r="C904" s="1">
        <v>44292</v>
      </c>
      <c r="D904" s="1" t="s">
        <v>56</v>
      </c>
      <c r="E904" s="2" t="s">
        <v>405</v>
      </c>
      <c r="F904" s="1"/>
      <c r="G904" s="2">
        <v>15</v>
      </c>
      <c r="H904" s="1"/>
      <c r="I904" t="s">
        <v>1</v>
      </c>
      <c r="J904" t="s">
        <v>64</v>
      </c>
      <c r="K904" t="s">
        <v>370</v>
      </c>
      <c r="L904" t="s">
        <v>407</v>
      </c>
      <c r="M904" s="3" t="s">
        <v>967</v>
      </c>
    </row>
    <row r="905" spans="1:14" hidden="1" x14ac:dyDescent="0.25">
      <c r="A905" s="1" t="str">
        <f>VLOOKUP(Table2[[#This Row],[Prod Line ]],Lists!A:E,5,0)</f>
        <v>b</v>
      </c>
      <c r="B905" s="1">
        <v>44294</v>
      </c>
      <c r="C905" s="1">
        <v>44294</v>
      </c>
      <c r="D905" s="1" t="s">
        <v>58</v>
      </c>
      <c r="E905" s="2" t="s">
        <v>404</v>
      </c>
      <c r="F905" s="1"/>
      <c r="G905" s="2">
        <v>33</v>
      </c>
      <c r="H905" s="1"/>
      <c r="I905" t="s">
        <v>0</v>
      </c>
      <c r="J905" t="s">
        <v>64</v>
      </c>
      <c r="K905" t="s">
        <v>20</v>
      </c>
      <c r="L905" t="s">
        <v>69</v>
      </c>
      <c r="M905" s="3" t="s">
        <v>1068</v>
      </c>
    </row>
    <row r="906" spans="1:14" ht="15" hidden="1" customHeight="1" x14ac:dyDescent="0.25">
      <c r="A906" s="1" t="str">
        <f>VLOOKUP(Table2[[#This Row],[Prod Line ]],Lists!A:E,5,0)</f>
        <v>b</v>
      </c>
      <c r="B906" s="1">
        <v>44294</v>
      </c>
      <c r="C906" s="1">
        <v>44294</v>
      </c>
      <c r="D906" s="1" t="s">
        <v>58</v>
      </c>
      <c r="E906" s="2" t="s">
        <v>404</v>
      </c>
      <c r="F906" s="1"/>
      <c r="G906" s="2">
        <v>20</v>
      </c>
      <c r="H906" s="1"/>
      <c r="I906" t="s">
        <v>0</v>
      </c>
      <c r="J906" t="s">
        <v>64</v>
      </c>
      <c r="K906" t="s">
        <v>20</v>
      </c>
      <c r="L906" t="s">
        <v>69</v>
      </c>
      <c r="M906" s="3" t="s">
        <v>1069</v>
      </c>
    </row>
    <row r="907" spans="1:14" hidden="1" x14ac:dyDescent="0.25">
      <c r="A907" s="1" t="str">
        <f>VLOOKUP(Table2[[#This Row],[Prod Line ]],Lists!A:E,5,0)</f>
        <v>b</v>
      </c>
      <c r="B907" s="1">
        <v>44294</v>
      </c>
      <c r="C907" s="1">
        <v>44294</v>
      </c>
      <c r="D907" s="1" t="s">
        <v>58</v>
      </c>
      <c r="E907" s="2" t="s">
        <v>404</v>
      </c>
      <c r="F907" s="1"/>
      <c r="G907" s="2">
        <v>10</v>
      </c>
      <c r="H907" s="1"/>
      <c r="I907" t="s">
        <v>1</v>
      </c>
      <c r="J907" t="s">
        <v>65</v>
      </c>
      <c r="K907" t="s">
        <v>27</v>
      </c>
      <c r="L907" t="s">
        <v>441</v>
      </c>
      <c r="M907" s="3" t="s">
        <v>1070</v>
      </c>
    </row>
    <row r="908" spans="1:14" hidden="1" x14ac:dyDescent="0.25">
      <c r="A908" s="1" t="str">
        <f>VLOOKUP(Table2[[#This Row],[Prod Line ]],Lists!A:E,5,0)</f>
        <v>b</v>
      </c>
      <c r="B908" s="1">
        <v>44294</v>
      </c>
      <c r="C908" s="1">
        <v>44294</v>
      </c>
      <c r="D908" s="1" t="s">
        <v>58</v>
      </c>
      <c r="E908" s="2" t="s">
        <v>404</v>
      </c>
      <c r="F908" s="1"/>
      <c r="G908" s="2">
        <v>3</v>
      </c>
      <c r="H908" s="1"/>
      <c r="I908" t="s">
        <v>1</v>
      </c>
      <c r="J908" t="s">
        <v>26</v>
      </c>
      <c r="K908" t="s">
        <v>25</v>
      </c>
      <c r="L908" t="s">
        <v>441</v>
      </c>
      <c r="M908" s="3" t="s">
        <v>749</v>
      </c>
    </row>
    <row r="909" spans="1:14" hidden="1" x14ac:dyDescent="0.25">
      <c r="A909" s="1" t="str">
        <f>VLOOKUP(Table2[[#This Row],[Prod Line ]],Lists!A:E,5,0)</f>
        <v>b</v>
      </c>
      <c r="B909" s="1">
        <v>44294</v>
      </c>
      <c r="C909" s="1">
        <v>44294</v>
      </c>
      <c r="D909" s="1" t="s">
        <v>58</v>
      </c>
      <c r="E909" s="2" t="s">
        <v>404</v>
      </c>
      <c r="F909" s="1"/>
      <c r="G909" s="2">
        <v>5</v>
      </c>
      <c r="H909" s="1"/>
      <c r="I909" t="s">
        <v>1</v>
      </c>
      <c r="J909" t="s">
        <v>67</v>
      </c>
      <c r="K909" t="s">
        <v>67</v>
      </c>
      <c r="L909" t="s">
        <v>407</v>
      </c>
      <c r="M909" s="3" t="s">
        <v>1071</v>
      </c>
    </row>
    <row r="910" spans="1:14" hidden="1" x14ac:dyDescent="0.25">
      <c r="A910" s="1" t="str">
        <f>VLOOKUP(Table2[[#This Row],[Prod Line ]],Lists!A:E,5,0)</f>
        <v>b</v>
      </c>
      <c r="B910" s="1">
        <v>44294</v>
      </c>
      <c r="C910" s="1">
        <v>44294</v>
      </c>
      <c r="D910" s="1" t="s">
        <v>58</v>
      </c>
      <c r="E910" s="2" t="s">
        <v>404</v>
      </c>
      <c r="F910" s="1"/>
      <c r="G910" s="2">
        <v>12</v>
      </c>
      <c r="H910" s="1"/>
      <c r="I910" t="s">
        <v>1</v>
      </c>
      <c r="J910" t="s">
        <v>2</v>
      </c>
      <c r="K910" t="s">
        <v>19</v>
      </c>
      <c r="L910" t="s">
        <v>349</v>
      </c>
      <c r="M910" s="3" t="s">
        <v>598</v>
      </c>
    </row>
    <row r="911" spans="1:14" hidden="1" x14ac:dyDescent="0.25">
      <c r="A911" s="1" t="str">
        <f>VLOOKUP(Table2[[#This Row],[Prod Line ]],Lists!A:E,5,0)</f>
        <v>b</v>
      </c>
      <c r="B911" s="1">
        <v>44294</v>
      </c>
      <c r="C911" s="1">
        <v>44294</v>
      </c>
      <c r="D911" s="1" t="s">
        <v>58</v>
      </c>
      <c r="E911" s="2" t="s">
        <v>405</v>
      </c>
      <c r="F911" s="1"/>
      <c r="G911" s="2">
        <v>18</v>
      </c>
      <c r="H911" s="1"/>
      <c r="I911" t="s">
        <v>0</v>
      </c>
      <c r="J911" t="s">
        <v>64</v>
      </c>
      <c r="K911" t="s">
        <v>20</v>
      </c>
      <c r="L911" t="s">
        <v>69</v>
      </c>
      <c r="M911" s="3" t="s">
        <v>1067</v>
      </c>
    </row>
    <row r="912" spans="1:14" hidden="1" x14ac:dyDescent="0.25">
      <c r="A912" s="1" t="str">
        <f>VLOOKUP(Table2[[#This Row],[Prod Line ]],Lists!A:E,5,0)</f>
        <v>b</v>
      </c>
      <c r="B912" s="1">
        <v>44294</v>
      </c>
      <c r="C912" s="1">
        <v>44294</v>
      </c>
      <c r="D912" s="1" t="s">
        <v>58</v>
      </c>
      <c r="E912" s="2" t="s">
        <v>406</v>
      </c>
      <c r="F912" s="1"/>
      <c r="G912" s="2">
        <v>12</v>
      </c>
      <c r="H912" s="1"/>
      <c r="I912" t="s">
        <v>1</v>
      </c>
      <c r="J912" t="s">
        <v>2</v>
      </c>
      <c r="K912" t="s">
        <v>19</v>
      </c>
      <c r="L912" t="s">
        <v>349</v>
      </c>
      <c r="M912" s="3" t="s">
        <v>575</v>
      </c>
    </row>
    <row r="913" spans="1:16" hidden="1" x14ac:dyDescent="0.25">
      <c r="A913" s="1" t="str">
        <f>VLOOKUP(Table2[[#This Row],[Prod Line ]],Lists!A:E,5,0)</f>
        <v>b</v>
      </c>
      <c r="B913" s="28">
        <v>44294</v>
      </c>
      <c r="C913" s="28">
        <v>44294</v>
      </c>
      <c r="D913" s="28" t="s">
        <v>58</v>
      </c>
      <c r="E913" s="29" t="s">
        <v>404</v>
      </c>
      <c r="F913" s="28"/>
      <c r="G913" s="29">
        <v>16</v>
      </c>
      <c r="H913" s="28"/>
      <c r="I913" s="30" t="s">
        <v>1</v>
      </c>
      <c r="J913" s="30" t="s">
        <v>67</v>
      </c>
      <c r="K913" s="30" t="s">
        <v>67</v>
      </c>
      <c r="L913" s="30" t="s">
        <v>407</v>
      </c>
      <c r="M913" s="31" t="s">
        <v>1034</v>
      </c>
      <c r="N913" s="32"/>
      <c r="O913" s="30"/>
      <c r="P913" s="30"/>
    </row>
    <row r="914" spans="1:16" hidden="1" x14ac:dyDescent="0.25">
      <c r="A914" s="1" t="str">
        <f>VLOOKUP(Table2[[#This Row],[Prod Line ]],Lists!A:E,5,0)</f>
        <v>c</v>
      </c>
      <c r="B914" s="1">
        <v>44294</v>
      </c>
      <c r="C914" s="1">
        <v>44292</v>
      </c>
      <c r="D914" s="1" t="s">
        <v>60</v>
      </c>
      <c r="E914" s="2" t="s">
        <v>404</v>
      </c>
      <c r="F914" s="1"/>
      <c r="G914" s="2">
        <v>47</v>
      </c>
      <c r="H914" s="1"/>
      <c r="I914" t="s">
        <v>0</v>
      </c>
      <c r="J914" t="s">
        <v>65</v>
      </c>
      <c r="K914" t="s">
        <v>382</v>
      </c>
      <c r="L914" t="s">
        <v>69</v>
      </c>
      <c r="M914" s="3" t="s">
        <v>1041</v>
      </c>
      <c r="N914" s="20" t="s">
        <v>1062</v>
      </c>
    </row>
    <row r="915" spans="1:16" s="22" customFormat="1" ht="15.75" hidden="1" thickBot="1" x14ac:dyDescent="0.3">
      <c r="A915" s="1" t="str">
        <f>VLOOKUP(Table2[[#This Row],[Prod Line ]],Lists!A:E,5,0)</f>
        <v>d</v>
      </c>
      <c r="B915" s="1">
        <v>44294</v>
      </c>
      <c r="C915" s="1">
        <v>44292</v>
      </c>
      <c r="D915" s="1" t="s">
        <v>62</v>
      </c>
      <c r="E915" s="2" t="s">
        <v>404</v>
      </c>
      <c r="F915" s="1"/>
      <c r="G915" s="2">
        <v>15</v>
      </c>
      <c r="H915" s="1"/>
      <c r="I915" t="s">
        <v>1</v>
      </c>
      <c r="J915" t="s">
        <v>67</v>
      </c>
      <c r="K915" t="s">
        <v>67</v>
      </c>
      <c r="L915" t="s">
        <v>407</v>
      </c>
      <c r="M915" s="3" t="s">
        <v>1059</v>
      </c>
      <c r="N915" s="20"/>
      <c r="O915"/>
      <c r="P915"/>
    </row>
    <row r="916" spans="1:16" ht="15.75" hidden="1" thickBot="1" x14ac:dyDescent="0.3">
      <c r="A916" s="1" t="str">
        <f>VLOOKUP(Table2[[#This Row],[Prod Line ]],Lists!A:E,5,0)</f>
        <v>d</v>
      </c>
      <c r="B916" s="21">
        <v>44294</v>
      </c>
      <c r="C916" s="21">
        <v>44292</v>
      </c>
      <c r="D916" s="21" t="s">
        <v>62</v>
      </c>
      <c r="E916" s="25" t="s">
        <v>405</v>
      </c>
      <c r="F916" s="21"/>
      <c r="G916" s="25">
        <v>15</v>
      </c>
      <c r="H916" s="21"/>
      <c r="I916" s="22" t="s">
        <v>1</v>
      </c>
      <c r="J916" s="22" t="s">
        <v>64</v>
      </c>
      <c r="K916" s="22" t="s">
        <v>379</v>
      </c>
      <c r="L916" s="22" t="s">
        <v>407</v>
      </c>
      <c r="M916" s="26" t="s">
        <v>631</v>
      </c>
      <c r="N916" s="27"/>
      <c r="O916" s="22"/>
      <c r="P916" s="22"/>
    </row>
    <row r="917" spans="1:16" hidden="1" x14ac:dyDescent="0.25">
      <c r="A917" s="1" t="str">
        <f>VLOOKUP(Table2[[#This Row],[Prod Line ]],Lists!A:E,5,0)</f>
        <v>a</v>
      </c>
      <c r="B917" s="1">
        <v>44295</v>
      </c>
      <c r="C917" s="1">
        <v>44293</v>
      </c>
      <c r="D917" s="1" t="s">
        <v>56</v>
      </c>
      <c r="E917" s="2" t="s">
        <v>404</v>
      </c>
      <c r="F917" s="1"/>
      <c r="G917" s="2">
        <v>5</v>
      </c>
      <c r="H917" s="1"/>
      <c r="I917" t="s">
        <v>1</v>
      </c>
      <c r="J917" t="s">
        <v>64</v>
      </c>
      <c r="K917" t="s">
        <v>370</v>
      </c>
      <c r="L917" t="s">
        <v>407</v>
      </c>
      <c r="M917" s="3" t="s">
        <v>1065</v>
      </c>
    </row>
    <row r="918" spans="1:16" ht="45" hidden="1" x14ac:dyDescent="0.25">
      <c r="A918" s="1" t="str">
        <f>VLOOKUP(Table2[[#This Row],[Prod Line ]],Lists!A:E,5,0)</f>
        <v>b</v>
      </c>
      <c r="B918" s="1">
        <v>44295</v>
      </c>
      <c r="C918" s="1">
        <v>44293</v>
      </c>
      <c r="D918" s="1" t="s">
        <v>58</v>
      </c>
      <c r="E918" s="2" t="s">
        <v>404</v>
      </c>
      <c r="F918" s="1"/>
      <c r="G918" s="2">
        <v>26</v>
      </c>
      <c r="H918" s="1" t="s">
        <v>0</v>
      </c>
      <c r="I918" t="s">
        <v>0</v>
      </c>
      <c r="J918" t="s">
        <v>5</v>
      </c>
      <c r="K918" t="s">
        <v>37</v>
      </c>
      <c r="L918" t="s">
        <v>70</v>
      </c>
      <c r="M918" s="3" t="s">
        <v>1072</v>
      </c>
      <c r="N918" s="20" t="s">
        <v>1134</v>
      </c>
    </row>
    <row r="919" spans="1:16" hidden="1" x14ac:dyDescent="0.25">
      <c r="A919" s="1" t="str">
        <f>VLOOKUP(Table2[[#This Row],[Prod Line ]],Lists!A:E,5,0)</f>
        <v>b</v>
      </c>
      <c r="B919" s="1">
        <v>44295</v>
      </c>
      <c r="C919" s="1">
        <v>44293</v>
      </c>
      <c r="D919" s="1" t="s">
        <v>58</v>
      </c>
      <c r="E919" s="2" t="s">
        <v>404</v>
      </c>
      <c r="F919" s="1"/>
      <c r="G919" s="2">
        <v>16</v>
      </c>
      <c r="H919" s="1" t="s">
        <v>0</v>
      </c>
      <c r="I919" t="s">
        <v>0</v>
      </c>
      <c r="J919" t="s">
        <v>5</v>
      </c>
      <c r="K919" t="s">
        <v>37</v>
      </c>
      <c r="L919" t="s">
        <v>70</v>
      </c>
      <c r="M919" s="3" t="s">
        <v>1072</v>
      </c>
    </row>
    <row r="920" spans="1:16" hidden="1" x14ac:dyDescent="0.25">
      <c r="A920" s="1" t="str">
        <f>VLOOKUP(Table2[[#This Row],[Prod Line ]],Lists!A:E,5,0)</f>
        <v>b</v>
      </c>
      <c r="B920" s="1">
        <v>44295</v>
      </c>
      <c r="C920" s="1">
        <v>44293</v>
      </c>
      <c r="D920" s="1" t="s">
        <v>58</v>
      </c>
      <c r="E920" s="2" t="s">
        <v>404</v>
      </c>
      <c r="F920" s="1"/>
      <c r="G920" s="2">
        <v>6</v>
      </c>
      <c r="H920" s="1" t="s">
        <v>0</v>
      </c>
      <c r="I920" t="s">
        <v>0</v>
      </c>
      <c r="J920" t="s">
        <v>5</v>
      </c>
      <c r="K920" t="s">
        <v>37</v>
      </c>
      <c r="L920" t="s">
        <v>70</v>
      </c>
      <c r="M920" s="3" t="s">
        <v>1072</v>
      </c>
    </row>
    <row r="921" spans="1:16" hidden="1" x14ac:dyDescent="0.25">
      <c r="A921" s="1" t="str">
        <f>VLOOKUP(Table2[[#This Row],[Prod Line ]],Lists!A:E,5,0)</f>
        <v>b</v>
      </c>
      <c r="B921" s="1">
        <v>44295</v>
      </c>
      <c r="C921" s="1">
        <v>44293</v>
      </c>
      <c r="D921" s="1" t="s">
        <v>58</v>
      </c>
      <c r="E921" s="2" t="s">
        <v>405</v>
      </c>
      <c r="F921" s="1"/>
      <c r="G921" s="2">
        <v>5</v>
      </c>
      <c r="H921" s="1" t="s">
        <v>0</v>
      </c>
      <c r="I921" t="s">
        <v>0</v>
      </c>
      <c r="J921" t="s">
        <v>5</v>
      </c>
      <c r="K921" t="s">
        <v>37</v>
      </c>
      <c r="L921" t="s">
        <v>70</v>
      </c>
      <c r="M921" s="3" t="s">
        <v>1072</v>
      </c>
    </row>
    <row r="922" spans="1:16" hidden="1" x14ac:dyDescent="0.25">
      <c r="A922" s="1" t="str">
        <f>VLOOKUP(Table2[[#This Row],[Prod Line ]],Lists!A:E,5,0)</f>
        <v>b</v>
      </c>
      <c r="B922" s="1">
        <v>44295</v>
      </c>
      <c r="C922" s="1">
        <v>44293</v>
      </c>
      <c r="D922" s="1" t="s">
        <v>58</v>
      </c>
      <c r="E922" s="2" t="s">
        <v>405</v>
      </c>
      <c r="F922" s="1"/>
      <c r="G922" s="2">
        <v>17</v>
      </c>
      <c r="H922" s="1" t="s">
        <v>0</v>
      </c>
      <c r="I922" t="s">
        <v>0</v>
      </c>
      <c r="J922" t="s">
        <v>5</v>
      </c>
      <c r="K922" t="s">
        <v>37</v>
      </c>
      <c r="L922" t="s">
        <v>70</v>
      </c>
      <c r="M922" s="3" t="s">
        <v>1072</v>
      </c>
    </row>
    <row r="923" spans="1:16" hidden="1" x14ac:dyDescent="0.25">
      <c r="A923" s="1" t="str">
        <f>VLOOKUP(Table2[[#This Row],[Prod Line ]],Lists!A:E,5,0)</f>
        <v>b</v>
      </c>
      <c r="B923" s="1">
        <v>44295</v>
      </c>
      <c r="C923" s="1">
        <v>44293</v>
      </c>
      <c r="D923" s="1" t="s">
        <v>58</v>
      </c>
      <c r="E923" s="2" t="s">
        <v>405</v>
      </c>
      <c r="F923" s="1"/>
      <c r="G923" s="2">
        <v>5</v>
      </c>
      <c r="H923" s="1" t="s">
        <v>0</v>
      </c>
      <c r="I923" t="s">
        <v>0</v>
      </c>
      <c r="J923" t="s">
        <v>5</v>
      </c>
      <c r="K923" t="s">
        <v>37</v>
      </c>
      <c r="L923" t="s">
        <v>70</v>
      </c>
      <c r="M923" s="3" t="s">
        <v>1072</v>
      </c>
    </row>
    <row r="924" spans="1:16" hidden="1" x14ac:dyDescent="0.25">
      <c r="A924" s="1" t="str">
        <f>VLOOKUP(Table2[[#This Row],[Prod Line ]],Lists!A:E,5,0)</f>
        <v>b</v>
      </c>
      <c r="B924" s="1">
        <v>44295</v>
      </c>
      <c r="C924" s="1">
        <v>44293</v>
      </c>
      <c r="D924" s="1" t="s">
        <v>58</v>
      </c>
      <c r="E924" s="2" t="s">
        <v>405</v>
      </c>
      <c r="F924" s="1"/>
      <c r="G924" s="2">
        <v>4</v>
      </c>
      <c r="H924" s="1" t="s">
        <v>0</v>
      </c>
      <c r="I924" t="s">
        <v>0</v>
      </c>
      <c r="J924" t="s">
        <v>5</v>
      </c>
      <c r="K924" t="s">
        <v>37</v>
      </c>
      <c r="L924" t="s">
        <v>70</v>
      </c>
      <c r="M924" s="3" t="s">
        <v>1072</v>
      </c>
    </row>
    <row r="925" spans="1:16" hidden="1" x14ac:dyDescent="0.25">
      <c r="A925" s="1" t="str">
        <f>VLOOKUP(Table2[[#This Row],[Prod Line ]],Lists!A:E,5,0)</f>
        <v>b</v>
      </c>
      <c r="B925" s="1">
        <v>44295</v>
      </c>
      <c r="C925" s="1">
        <v>44293</v>
      </c>
      <c r="D925" s="1" t="s">
        <v>58</v>
      </c>
      <c r="E925" s="2" t="s">
        <v>405</v>
      </c>
      <c r="F925" s="1"/>
      <c r="G925" s="2">
        <v>8</v>
      </c>
      <c r="H925" s="1"/>
      <c r="I925" t="s">
        <v>1</v>
      </c>
      <c r="J925" t="s">
        <v>2</v>
      </c>
      <c r="K925" t="s">
        <v>18</v>
      </c>
      <c r="L925" t="s">
        <v>72</v>
      </c>
      <c r="M925" s="3" t="s">
        <v>1073</v>
      </c>
    </row>
    <row r="926" spans="1:16" s="22" customFormat="1" ht="15.75" hidden="1" thickBot="1" x14ac:dyDescent="0.3">
      <c r="A926" s="1" t="str">
        <f>VLOOKUP(Table2[[#This Row],[Prod Line ]],Lists!A:E,5,0)</f>
        <v>b</v>
      </c>
      <c r="B926" s="28">
        <v>44295</v>
      </c>
      <c r="C926" s="28">
        <v>44293</v>
      </c>
      <c r="D926" s="28" t="s">
        <v>58</v>
      </c>
      <c r="E926" s="29" t="s">
        <v>406</v>
      </c>
      <c r="F926" s="28"/>
      <c r="G926" s="29">
        <v>14</v>
      </c>
      <c r="H926" s="28" t="s">
        <v>0</v>
      </c>
      <c r="I926" s="30" t="s">
        <v>0</v>
      </c>
      <c r="J926" s="30" t="s">
        <v>67</v>
      </c>
      <c r="K926" s="30" t="s">
        <v>20</v>
      </c>
      <c r="L926" s="30" t="s">
        <v>82</v>
      </c>
      <c r="M926" s="31" t="s">
        <v>1074</v>
      </c>
      <c r="N926" s="32"/>
      <c r="O926" s="30"/>
      <c r="P926" s="30"/>
    </row>
    <row r="927" spans="1:16" ht="15.75" hidden="1" thickBot="1" x14ac:dyDescent="0.3">
      <c r="A927" s="1" t="str">
        <f>VLOOKUP(Table2[[#This Row],[Prod Line ]],Lists!A:E,5,0)</f>
        <v>c</v>
      </c>
      <c r="B927" s="21">
        <v>44295</v>
      </c>
      <c r="C927" s="21">
        <v>44293</v>
      </c>
      <c r="D927" s="21" t="s">
        <v>60</v>
      </c>
      <c r="E927" s="25" t="s">
        <v>404</v>
      </c>
      <c r="F927" s="21"/>
      <c r="G927" s="25">
        <v>15</v>
      </c>
      <c r="H927" s="21"/>
      <c r="I927" s="22" t="s">
        <v>1</v>
      </c>
      <c r="J927" s="22" t="s">
        <v>2</v>
      </c>
      <c r="K927" s="22" t="s">
        <v>378</v>
      </c>
      <c r="L927" s="22" t="s">
        <v>349</v>
      </c>
      <c r="M927" s="26" t="s">
        <v>1000</v>
      </c>
      <c r="N927" s="27"/>
      <c r="O927" s="22"/>
      <c r="P927" s="22"/>
    </row>
    <row r="928" spans="1:16" hidden="1" x14ac:dyDescent="0.25">
      <c r="A928" s="1" t="str">
        <f>VLOOKUP(Table2[[#This Row],[Prod Line ]],Lists!A:E,5,0)</f>
        <v>b</v>
      </c>
      <c r="B928" s="1">
        <v>44296</v>
      </c>
      <c r="C928" s="1">
        <v>44294</v>
      </c>
      <c r="D928" s="1" t="s">
        <v>58</v>
      </c>
      <c r="E928" s="2" t="s">
        <v>404</v>
      </c>
      <c r="F928" s="1"/>
      <c r="G928" s="2">
        <v>15</v>
      </c>
      <c r="H928" s="1"/>
      <c r="I928" t="s">
        <v>1</v>
      </c>
      <c r="J928" t="s">
        <v>2</v>
      </c>
      <c r="K928" t="s">
        <v>19</v>
      </c>
      <c r="L928" t="s">
        <v>349</v>
      </c>
      <c r="M928" s="3" t="s">
        <v>429</v>
      </c>
    </row>
    <row r="929" spans="1:16" hidden="1" x14ac:dyDescent="0.25">
      <c r="A929" s="1" t="str">
        <f>VLOOKUP(Table2[[#This Row],[Prod Line ]],Lists!A:E,5,0)</f>
        <v>b</v>
      </c>
      <c r="B929" s="1">
        <v>44296</v>
      </c>
      <c r="C929" s="1">
        <v>44294</v>
      </c>
      <c r="D929" s="1" t="s">
        <v>58</v>
      </c>
      <c r="E929" s="2" t="s">
        <v>406</v>
      </c>
      <c r="F929" s="1"/>
      <c r="G929" s="2">
        <v>13</v>
      </c>
      <c r="H929" s="1"/>
      <c r="I929" t="s">
        <v>1</v>
      </c>
      <c r="J929" t="s">
        <v>64</v>
      </c>
      <c r="K929" t="s">
        <v>23</v>
      </c>
      <c r="L929" t="s">
        <v>407</v>
      </c>
      <c r="M929" s="3" t="s">
        <v>1077</v>
      </c>
    </row>
    <row r="930" spans="1:16" hidden="1" x14ac:dyDescent="0.25">
      <c r="A930" s="1" t="str">
        <f>VLOOKUP(Table2[[#This Row],[Prod Line ]],Lists!A:E,5,0)</f>
        <v>b</v>
      </c>
      <c r="B930" s="1">
        <v>44296</v>
      </c>
      <c r="C930" s="1">
        <v>44294</v>
      </c>
      <c r="D930" s="1" t="s">
        <v>58</v>
      </c>
      <c r="E930" s="2" t="s">
        <v>406</v>
      </c>
      <c r="F930" s="1"/>
      <c r="G930" s="2">
        <v>5</v>
      </c>
      <c r="H930" s="1"/>
      <c r="I930" t="s">
        <v>0</v>
      </c>
      <c r="J930" t="s">
        <v>26</v>
      </c>
      <c r="K930" t="s">
        <v>25</v>
      </c>
      <c r="L930" t="s">
        <v>70</v>
      </c>
      <c r="M930" s="3" t="s">
        <v>1078</v>
      </c>
    </row>
    <row r="931" spans="1:16" hidden="1" x14ac:dyDescent="0.25">
      <c r="A931" s="1" t="str">
        <f>VLOOKUP(Table2[[#This Row],[Prod Line ]],Lists!A:E,5,0)</f>
        <v>b</v>
      </c>
      <c r="B931" s="28">
        <v>44296</v>
      </c>
      <c r="C931" s="28">
        <v>44295</v>
      </c>
      <c r="D931" s="28" t="s">
        <v>58</v>
      </c>
      <c r="E931" s="29" t="s">
        <v>404</v>
      </c>
      <c r="F931" s="28"/>
      <c r="G931" s="29">
        <v>8</v>
      </c>
      <c r="H931" s="28"/>
      <c r="I931" s="30" t="s">
        <v>1</v>
      </c>
      <c r="J931" s="30" t="s">
        <v>65</v>
      </c>
      <c r="K931" s="30" t="s">
        <v>25</v>
      </c>
      <c r="L931" s="30" t="s">
        <v>407</v>
      </c>
      <c r="M931" s="31" t="s">
        <v>1079</v>
      </c>
      <c r="N931" s="32"/>
      <c r="O931" s="30"/>
      <c r="P931" s="30"/>
    </row>
    <row r="932" spans="1:16" hidden="1" x14ac:dyDescent="0.25">
      <c r="A932" s="1" t="str">
        <f>VLOOKUP(Table2[[#This Row],[Prod Line ]],Lists!A:E,5,0)</f>
        <v>c</v>
      </c>
      <c r="B932" s="1">
        <v>44296</v>
      </c>
      <c r="C932" s="1">
        <v>44294</v>
      </c>
      <c r="D932" s="1" t="s">
        <v>60</v>
      </c>
      <c r="E932" s="2" t="s">
        <v>405</v>
      </c>
      <c r="F932" s="1"/>
      <c r="G932" s="2">
        <v>10</v>
      </c>
      <c r="H932" s="1"/>
      <c r="I932" t="s">
        <v>1</v>
      </c>
      <c r="J932" t="s">
        <v>64</v>
      </c>
      <c r="K932" t="s">
        <v>379</v>
      </c>
      <c r="L932" t="s">
        <v>407</v>
      </c>
      <c r="M932" s="3" t="s">
        <v>1075</v>
      </c>
    </row>
    <row r="933" spans="1:16" hidden="1" x14ac:dyDescent="0.25">
      <c r="A933" s="1" t="str">
        <f>VLOOKUP(Table2[[#This Row],[Prod Line ]],Lists!A:E,5,0)</f>
        <v>c</v>
      </c>
      <c r="B933" s="28">
        <v>44296</v>
      </c>
      <c r="C933" s="28">
        <v>44294</v>
      </c>
      <c r="D933" s="28" t="s">
        <v>60</v>
      </c>
      <c r="E933" s="29" t="s">
        <v>405</v>
      </c>
      <c r="F933" s="28"/>
      <c r="G933" s="29">
        <v>13</v>
      </c>
      <c r="H933" s="28"/>
      <c r="I933" s="30" t="s">
        <v>1</v>
      </c>
      <c r="J933" s="30" t="s">
        <v>2</v>
      </c>
      <c r="K933" s="30" t="s">
        <v>378</v>
      </c>
      <c r="L933" s="30" t="s">
        <v>72</v>
      </c>
      <c r="M933" s="31" t="s">
        <v>797</v>
      </c>
      <c r="N933" s="32"/>
      <c r="O933" s="30"/>
      <c r="P933" s="30"/>
    </row>
    <row r="934" spans="1:16" s="22" customFormat="1" ht="15.75" hidden="1" thickBot="1" x14ac:dyDescent="0.3">
      <c r="A934" s="1" t="str">
        <f>VLOOKUP(Table2[[#This Row],[Prod Line ]],Lists!A:E,5,0)</f>
        <v>d</v>
      </c>
      <c r="B934" s="1">
        <v>44296</v>
      </c>
      <c r="C934" s="1">
        <v>44294</v>
      </c>
      <c r="D934" s="1" t="s">
        <v>62</v>
      </c>
      <c r="E934" s="2" t="s">
        <v>405</v>
      </c>
      <c r="F934" s="1"/>
      <c r="G934" s="2">
        <v>5</v>
      </c>
      <c r="H934" s="1"/>
      <c r="I934" t="s">
        <v>1</v>
      </c>
      <c r="J934" t="s">
        <v>64</v>
      </c>
      <c r="K934" t="s">
        <v>379</v>
      </c>
      <c r="L934" t="s">
        <v>407</v>
      </c>
      <c r="M934" s="3" t="s">
        <v>1066</v>
      </c>
      <c r="N934" s="20"/>
      <c r="O934"/>
      <c r="P934"/>
    </row>
    <row r="935" spans="1:16" ht="15.75" hidden="1" thickBot="1" x14ac:dyDescent="0.3">
      <c r="A935" s="1" t="str">
        <f>VLOOKUP(Table2[[#This Row],[Prod Line ]],Lists!A:E,5,0)</f>
        <v>d</v>
      </c>
      <c r="B935" s="21">
        <v>44296</v>
      </c>
      <c r="C935" s="21">
        <v>44294</v>
      </c>
      <c r="D935" s="21" t="s">
        <v>62</v>
      </c>
      <c r="E935" s="25" t="s">
        <v>404</v>
      </c>
      <c r="F935" s="21"/>
      <c r="G935" s="25">
        <v>5</v>
      </c>
      <c r="H935" s="21"/>
      <c r="I935" s="22" t="s">
        <v>1</v>
      </c>
      <c r="J935" s="22" t="s">
        <v>2</v>
      </c>
      <c r="K935" s="22" t="s">
        <v>19</v>
      </c>
      <c r="L935" s="22" t="s">
        <v>349</v>
      </c>
      <c r="M935" s="26" t="s">
        <v>575</v>
      </c>
      <c r="N935" s="27"/>
      <c r="O935" s="22"/>
      <c r="P935" s="22"/>
    </row>
    <row r="936" spans="1:16" hidden="1" x14ac:dyDescent="0.25">
      <c r="A936" s="1" t="str">
        <f>VLOOKUP(Table2[[#This Row],[Prod Line ]],Lists!A:E,5,0)</f>
        <v>a</v>
      </c>
      <c r="B936" s="1">
        <v>44298</v>
      </c>
      <c r="C936" s="1">
        <v>44297</v>
      </c>
      <c r="D936" s="1" t="s">
        <v>56</v>
      </c>
      <c r="E936" s="2" t="s">
        <v>404</v>
      </c>
      <c r="F936" s="1"/>
      <c r="G936" s="2">
        <v>7</v>
      </c>
      <c r="H936" s="1"/>
      <c r="I936" t="s">
        <v>0</v>
      </c>
      <c r="J936" t="s">
        <v>65</v>
      </c>
      <c r="K936" t="s">
        <v>372</v>
      </c>
      <c r="L936" t="s">
        <v>70</v>
      </c>
      <c r="M936" s="3" t="s">
        <v>1080</v>
      </c>
    </row>
    <row r="937" spans="1:16" hidden="1" x14ac:dyDescent="0.25">
      <c r="A937" s="1" t="str">
        <f>VLOOKUP(Table2[[#This Row],[Prod Line ]],Lists!A:E,5,0)</f>
        <v>a</v>
      </c>
      <c r="B937" s="1">
        <v>44298</v>
      </c>
      <c r="C937" s="1">
        <v>44297</v>
      </c>
      <c r="D937" s="1" t="s">
        <v>56</v>
      </c>
      <c r="E937" s="2" t="s">
        <v>404</v>
      </c>
      <c r="F937" s="1"/>
      <c r="G937" s="2">
        <v>10</v>
      </c>
      <c r="H937" s="1"/>
      <c r="I937" t="s">
        <v>1</v>
      </c>
      <c r="J937" t="s">
        <v>2</v>
      </c>
      <c r="K937" t="s">
        <v>19</v>
      </c>
      <c r="L937" t="s">
        <v>349</v>
      </c>
      <c r="M937" s="3" t="s">
        <v>575</v>
      </c>
    </row>
    <row r="938" spans="1:16" hidden="1" x14ac:dyDescent="0.25">
      <c r="A938" s="1" t="str">
        <f>VLOOKUP(Table2[[#This Row],[Prod Line ]],Lists!A:E,5,0)</f>
        <v>b</v>
      </c>
      <c r="B938" s="1">
        <v>44298</v>
      </c>
      <c r="C938" s="1">
        <v>44297</v>
      </c>
      <c r="D938" s="1" t="s">
        <v>58</v>
      </c>
      <c r="E938" s="2" t="s">
        <v>406</v>
      </c>
      <c r="F938" s="1"/>
      <c r="G938" s="2">
        <v>14</v>
      </c>
      <c r="H938" s="1"/>
      <c r="I938" t="s">
        <v>1</v>
      </c>
      <c r="J938" t="s">
        <v>5</v>
      </c>
      <c r="K938" t="s">
        <v>36</v>
      </c>
      <c r="L938" t="s">
        <v>72</v>
      </c>
      <c r="M938" s="3" t="s">
        <v>1081</v>
      </c>
    </row>
    <row r="939" spans="1:16" hidden="1" x14ac:dyDescent="0.25">
      <c r="A939" s="1" t="str">
        <f>VLOOKUP(Table2[[#This Row],[Prod Line ]],Lists!A:E,5,0)</f>
        <v>b</v>
      </c>
      <c r="B939" s="1">
        <v>44298</v>
      </c>
      <c r="C939" s="1">
        <v>44297</v>
      </c>
      <c r="D939" s="1" t="s">
        <v>58</v>
      </c>
      <c r="E939" s="2" t="s">
        <v>406</v>
      </c>
      <c r="F939" s="1"/>
      <c r="G939" s="2">
        <v>9</v>
      </c>
      <c r="H939" s="1"/>
      <c r="I939" t="s">
        <v>1</v>
      </c>
      <c r="J939" t="s">
        <v>64</v>
      </c>
      <c r="K939" t="s">
        <v>21</v>
      </c>
      <c r="L939" t="s">
        <v>407</v>
      </c>
      <c r="M939" s="3" t="s">
        <v>750</v>
      </c>
    </row>
    <row r="940" spans="1:16" hidden="1" x14ac:dyDescent="0.25">
      <c r="A940" s="1" t="str">
        <f>VLOOKUP(Table2[[#This Row],[Prod Line ]],Lists!A:E,5,0)</f>
        <v>c</v>
      </c>
      <c r="B940" s="1">
        <v>44298</v>
      </c>
      <c r="C940" s="1">
        <v>44297</v>
      </c>
      <c r="D940" s="1" t="s">
        <v>60</v>
      </c>
      <c r="E940" s="2" t="s">
        <v>404</v>
      </c>
      <c r="F940" s="1"/>
      <c r="G940" s="2">
        <v>28</v>
      </c>
      <c r="H940" s="1" t="s">
        <v>1</v>
      </c>
      <c r="I940" t="s">
        <v>1</v>
      </c>
      <c r="J940" t="s">
        <v>2</v>
      </c>
      <c r="K940" t="s">
        <v>378</v>
      </c>
      <c r="L940" t="s">
        <v>407</v>
      </c>
      <c r="M940" s="3" t="s">
        <v>1097</v>
      </c>
    </row>
    <row r="941" spans="1:16" hidden="1" x14ac:dyDescent="0.25">
      <c r="A941" s="1" t="str">
        <f>VLOOKUP(Table2[[#This Row],[Prod Line ]],Lists!A:E,5,0)</f>
        <v>c</v>
      </c>
      <c r="B941" s="1">
        <v>44298</v>
      </c>
      <c r="C941" s="1">
        <v>44297</v>
      </c>
      <c r="D941" s="1" t="s">
        <v>60</v>
      </c>
      <c r="E941" s="2" t="s">
        <v>405</v>
      </c>
      <c r="F941" s="1"/>
      <c r="G941" s="2">
        <v>7</v>
      </c>
      <c r="H941" s="1"/>
      <c r="I941" t="s">
        <v>1</v>
      </c>
      <c r="J941" t="s">
        <v>64</v>
      </c>
      <c r="K941" t="s">
        <v>380</v>
      </c>
      <c r="L941" t="s">
        <v>407</v>
      </c>
      <c r="M941" s="3" t="s">
        <v>1082</v>
      </c>
    </row>
    <row r="942" spans="1:16" hidden="1" x14ac:dyDescent="0.25">
      <c r="A942" s="1" t="str">
        <f>VLOOKUP(Table2[[#This Row],[Prod Line ]],Lists!A:E,5,0)</f>
        <v>c</v>
      </c>
      <c r="B942" s="1">
        <v>44298</v>
      </c>
      <c r="C942" s="1">
        <v>44297</v>
      </c>
      <c r="D942" s="1" t="s">
        <v>60</v>
      </c>
      <c r="E942" s="2" t="s">
        <v>405</v>
      </c>
      <c r="F942" s="1"/>
      <c r="G942" s="2">
        <v>6</v>
      </c>
      <c r="H942" s="1"/>
      <c r="I942" t="s">
        <v>1</v>
      </c>
      <c r="J942" t="s">
        <v>2</v>
      </c>
      <c r="K942" t="s">
        <v>378</v>
      </c>
      <c r="L942" t="s">
        <v>72</v>
      </c>
      <c r="M942" s="3" t="s">
        <v>575</v>
      </c>
    </row>
    <row r="943" spans="1:16" s="22" customFormat="1" ht="15.75" hidden="1" thickBot="1" x14ac:dyDescent="0.3">
      <c r="A943" s="1" t="str">
        <f>VLOOKUP(Table2[[#This Row],[Prod Line ]],Lists!A:E,5,0)</f>
        <v>d</v>
      </c>
      <c r="B943" s="1">
        <v>44298</v>
      </c>
      <c r="C943" s="1">
        <v>44297</v>
      </c>
      <c r="D943" s="1" t="s">
        <v>62</v>
      </c>
      <c r="E943" s="2" t="s">
        <v>406</v>
      </c>
      <c r="F943" s="1"/>
      <c r="G943" s="2">
        <v>20</v>
      </c>
      <c r="H943" s="1"/>
      <c r="I943" t="s">
        <v>1</v>
      </c>
      <c r="J943" t="s">
        <v>2</v>
      </c>
      <c r="K943" t="s">
        <v>19</v>
      </c>
      <c r="L943" t="s">
        <v>349</v>
      </c>
      <c r="M943" s="3" t="s">
        <v>1083</v>
      </c>
      <c r="N943" s="20"/>
      <c r="O943"/>
      <c r="P943"/>
    </row>
    <row r="944" spans="1:16" ht="15.75" hidden="1" thickBot="1" x14ac:dyDescent="0.3">
      <c r="A944" s="1" t="str">
        <f>VLOOKUP(Table2[[#This Row],[Prod Line ]],Lists!A:E,5,0)</f>
        <v>d</v>
      </c>
      <c r="B944" s="21">
        <v>44298</v>
      </c>
      <c r="C944" s="21">
        <v>44297</v>
      </c>
      <c r="D944" s="21" t="s">
        <v>62</v>
      </c>
      <c r="E944" s="25" t="s">
        <v>406</v>
      </c>
      <c r="F944" s="21"/>
      <c r="G944" s="25">
        <v>20</v>
      </c>
      <c r="H944" s="21"/>
      <c r="I944" s="22" t="s">
        <v>1</v>
      </c>
      <c r="J944" s="22" t="s">
        <v>2</v>
      </c>
      <c r="K944" s="22" t="s">
        <v>15</v>
      </c>
      <c r="L944" s="22" t="s">
        <v>349</v>
      </c>
      <c r="M944" s="26" t="s">
        <v>1084</v>
      </c>
      <c r="N944" s="27"/>
      <c r="O944" s="22"/>
      <c r="P944" s="22"/>
    </row>
    <row r="945" spans="1:16" hidden="1" x14ac:dyDescent="0.25">
      <c r="A945" s="1" t="str">
        <f>VLOOKUP(Table2[[#This Row],[Prod Line ]],Lists!A:E,5,0)</f>
        <v>a</v>
      </c>
      <c r="B945" s="1">
        <v>44299</v>
      </c>
      <c r="C945" s="1">
        <v>44297</v>
      </c>
      <c r="D945" s="1" t="s">
        <v>56</v>
      </c>
      <c r="E945" s="2" t="s">
        <v>404</v>
      </c>
      <c r="F945" s="1"/>
      <c r="G945" s="2">
        <v>10</v>
      </c>
      <c r="H945" s="1"/>
      <c r="I945" t="s">
        <v>1</v>
      </c>
      <c r="J945" t="s">
        <v>64</v>
      </c>
      <c r="K945" t="s">
        <v>369</v>
      </c>
      <c r="L945" t="s">
        <v>407</v>
      </c>
      <c r="M945" s="3" t="s">
        <v>655</v>
      </c>
    </row>
    <row r="946" spans="1:16" hidden="1" x14ac:dyDescent="0.25">
      <c r="A946" s="1" t="str">
        <f>VLOOKUP(Table2[[#This Row],[Prod Line ]],Lists!A:E,5,0)</f>
        <v>b</v>
      </c>
      <c r="B946" s="1">
        <v>44299</v>
      </c>
      <c r="C946" s="1">
        <v>44297</v>
      </c>
      <c r="D946" s="1" t="s">
        <v>58</v>
      </c>
      <c r="E946" s="2" t="s">
        <v>404</v>
      </c>
      <c r="F946" s="1"/>
      <c r="G946" s="2">
        <v>8</v>
      </c>
      <c r="H946" s="1"/>
      <c r="I946" t="s">
        <v>1</v>
      </c>
      <c r="J946" t="s">
        <v>65</v>
      </c>
      <c r="K946" t="s">
        <v>27</v>
      </c>
      <c r="L946" t="s">
        <v>441</v>
      </c>
      <c r="M946" s="3" t="s">
        <v>1085</v>
      </c>
    </row>
    <row r="947" spans="1:16" hidden="1" x14ac:dyDescent="0.25">
      <c r="A947" s="1" t="str">
        <f>VLOOKUP(Table2[[#This Row],[Prod Line ]],Lists!A:E,5,0)</f>
        <v>b</v>
      </c>
      <c r="B947" s="1">
        <v>44299</v>
      </c>
      <c r="C947" s="1">
        <v>44297</v>
      </c>
      <c r="D947" s="1" t="s">
        <v>58</v>
      </c>
      <c r="E947" s="2" t="s">
        <v>405</v>
      </c>
      <c r="F947" s="1"/>
      <c r="G947" s="2">
        <v>25</v>
      </c>
      <c r="H947" s="1" t="s">
        <v>1</v>
      </c>
      <c r="I947" t="s">
        <v>1</v>
      </c>
      <c r="J947" t="s">
        <v>2</v>
      </c>
      <c r="K947" t="s">
        <v>17</v>
      </c>
      <c r="L947" t="s">
        <v>407</v>
      </c>
      <c r="M947" s="3" t="s">
        <v>1086</v>
      </c>
    </row>
    <row r="948" spans="1:16" hidden="1" x14ac:dyDescent="0.25">
      <c r="A948" s="1" t="str">
        <f>VLOOKUP(Table2[[#This Row],[Prod Line ]],Lists!A:E,5,0)</f>
        <v>b</v>
      </c>
      <c r="B948" s="1">
        <v>44299</v>
      </c>
      <c r="C948" s="1">
        <v>44297</v>
      </c>
      <c r="D948" s="1" t="s">
        <v>58</v>
      </c>
      <c r="E948" s="2" t="s">
        <v>405</v>
      </c>
      <c r="F948" s="1"/>
      <c r="G948" s="2">
        <v>16</v>
      </c>
      <c r="H948" s="1" t="s">
        <v>1</v>
      </c>
      <c r="I948" t="s">
        <v>1</v>
      </c>
      <c r="J948" t="s">
        <v>5</v>
      </c>
      <c r="K948" t="s">
        <v>39</v>
      </c>
      <c r="L948" t="s">
        <v>407</v>
      </c>
      <c r="M948" s="3" t="s">
        <v>1087</v>
      </c>
    </row>
    <row r="949" spans="1:16" hidden="1" x14ac:dyDescent="0.25">
      <c r="A949" s="1" t="str">
        <f>VLOOKUP(Table2[[#This Row],[Prod Line ]],Lists!A:E,5,0)</f>
        <v>b</v>
      </c>
      <c r="B949" s="1">
        <v>44299</v>
      </c>
      <c r="C949" s="1">
        <v>44297</v>
      </c>
      <c r="D949" s="1" t="s">
        <v>58</v>
      </c>
      <c r="E949" s="2" t="s">
        <v>405</v>
      </c>
      <c r="F949" s="1"/>
      <c r="G949" s="2">
        <v>5</v>
      </c>
      <c r="H949" s="1"/>
      <c r="I949" t="s">
        <v>1</v>
      </c>
      <c r="J949" t="s">
        <v>26</v>
      </c>
      <c r="K949" t="s">
        <v>25</v>
      </c>
      <c r="L949" t="s">
        <v>441</v>
      </c>
      <c r="M949" s="3" t="s">
        <v>612</v>
      </c>
    </row>
    <row r="950" spans="1:16" hidden="1" x14ac:dyDescent="0.25">
      <c r="A950" s="1" t="str">
        <f>VLOOKUP(Table2[[#This Row],[Prod Line ]],Lists!A:E,5,0)</f>
        <v>b</v>
      </c>
      <c r="B950" s="1">
        <v>44299</v>
      </c>
      <c r="C950" s="1">
        <v>44297</v>
      </c>
      <c r="D950" s="1" t="s">
        <v>58</v>
      </c>
      <c r="E950" s="2" t="s">
        <v>404</v>
      </c>
      <c r="F950" s="1"/>
      <c r="G950" s="2">
        <v>25</v>
      </c>
      <c r="H950" s="1" t="s">
        <v>1</v>
      </c>
      <c r="I950" t="s">
        <v>1</v>
      </c>
      <c r="J950" t="s">
        <v>5</v>
      </c>
      <c r="K950" t="s">
        <v>37</v>
      </c>
      <c r="L950" t="s">
        <v>407</v>
      </c>
      <c r="M950" s="3" t="s">
        <v>1088</v>
      </c>
    </row>
    <row r="951" spans="1:16" hidden="1" x14ac:dyDescent="0.25">
      <c r="A951" s="1" t="str">
        <f>VLOOKUP(Table2[[#This Row],[Prod Line ]],Lists!A:E,5,0)</f>
        <v>b</v>
      </c>
      <c r="B951" s="1">
        <v>44299</v>
      </c>
      <c r="C951" s="1">
        <v>44297</v>
      </c>
      <c r="D951" s="1" t="s">
        <v>58</v>
      </c>
      <c r="E951" s="2" t="s">
        <v>405</v>
      </c>
      <c r="F951" s="1"/>
      <c r="G951" s="2">
        <v>11</v>
      </c>
      <c r="H951" s="1"/>
      <c r="I951" t="s">
        <v>1</v>
      </c>
      <c r="J951" t="s">
        <v>64</v>
      </c>
      <c r="K951" t="s">
        <v>21</v>
      </c>
      <c r="L951" t="s">
        <v>72</v>
      </c>
      <c r="M951" s="3" t="s">
        <v>1091</v>
      </c>
    </row>
    <row r="952" spans="1:16" hidden="1" x14ac:dyDescent="0.25">
      <c r="A952" s="1" t="str">
        <f>VLOOKUP(Table2[[#This Row],[Prod Line ]],Lists!A:E,5,0)</f>
        <v>b</v>
      </c>
      <c r="B952" s="1">
        <v>44299</v>
      </c>
      <c r="C952" s="1">
        <v>44297</v>
      </c>
      <c r="D952" s="1" t="s">
        <v>58</v>
      </c>
      <c r="E952" s="2" t="s">
        <v>404</v>
      </c>
      <c r="F952" s="1"/>
      <c r="G952" s="2">
        <v>4</v>
      </c>
      <c r="H952" s="1"/>
      <c r="I952" t="s">
        <v>1</v>
      </c>
      <c r="J952" t="s">
        <v>2</v>
      </c>
      <c r="K952" t="s">
        <v>19</v>
      </c>
      <c r="L952" t="s">
        <v>349</v>
      </c>
      <c r="M952" s="3" t="s">
        <v>575</v>
      </c>
    </row>
    <row r="953" spans="1:16" hidden="1" x14ac:dyDescent="0.25">
      <c r="A953" s="1" t="str">
        <f>VLOOKUP(Table2[[#This Row],[Prod Line ]],Lists!A:E,5,0)</f>
        <v>c</v>
      </c>
      <c r="B953" s="1">
        <v>44299</v>
      </c>
      <c r="C953" s="1">
        <v>44297</v>
      </c>
      <c r="D953" s="1" t="s">
        <v>60</v>
      </c>
      <c r="E953" s="2" t="s">
        <v>404</v>
      </c>
      <c r="F953" s="1"/>
      <c r="G953" s="2">
        <v>27</v>
      </c>
      <c r="H953" s="1"/>
      <c r="I953" t="s">
        <v>1</v>
      </c>
      <c r="J953" t="s">
        <v>2</v>
      </c>
      <c r="K953" t="s">
        <v>378</v>
      </c>
      <c r="L953" t="s">
        <v>349</v>
      </c>
      <c r="M953" s="3" t="s">
        <v>575</v>
      </c>
    </row>
    <row r="954" spans="1:16" hidden="1" x14ac:dyDescent="0.25">
      <c r="A954" s="1" t="str">
        <f>VLOOKUP(Table2[[#This Row],[Prod Line ]],Lists!A:E,5,0)</f>
        <v>c</v>
      </c>
      <c r="B954" s="1">
        <v>44299</v>
      </c>
      <c r="C954" s="1">
        <v>44297</v>
      </c>
      <c r="D954" s="1" t="s">
        <v>60</v>
      </c>
      <c r="E954" s="2" t="s">
        <v>404</v>
      </c>
      <c r="F954" s="1"/>
      <c r="G954" s="2">
        <v>5</v>
      </c>
      <c r="H954" s="1"/>
      <c r="I954" t="s">
        <v>1</v>
      </c>
      <c r="J954" t="s">
        <v>65</v>
      </c>
      <c r="K954" t="s">
        <v>3</v>
      </c>
      <c r="L954" t="s">
        <v>430</v>
      </c>
      <c r="M954" s="3" t="s">
        <v>1089</v>
      </c>
    </row>
    <row r="955" spans="1:16" hidden="1" x14ac:dyDescent="0.25">
      <c r="A955" s="1" t="str">
        <f>VLOOKUP(Table2[[#This Row],[Prod Line ]],Lists!A:E,5,0)</f>
        <v>c</v>
      </c>
      <c r="B955" s="1">
        <v>44299</v>
      </c>
      <c r="C955" s="1">
        <v>44297</v>
      </c>
      <c r="D955" s="1" t="s">
        <v>60</v>
      </c>
      <c r="E955" s="2" t="s">
        <v>405</v>
      </c>
      <c r="F955" s="1"/>
      <c r="G955" s="2">
        <v>15</v>
      </c>
      <c r="H955" s="1"/>
      <c r="I955" t="s">
        <v>1</v>
      </c>
      <c r="J955" t="s">
        <v>64</v>
      </c>
      <c r="K955" t="s">
        <v>381</v>
      </c>
      <c r="L955" t="s">
        <v>407</v>
      </c>
      <c r="M955" s="3" t="s">
        <v>1090</v>
      </c>
    </row>
    <row r="956" spans="1:16" hidden="1" x14ac:dyDescent="0.25">
      <c r="A956" s="1" t="str">
        <f>VLOOKUP(Table2[[#This Row],[Prod Line ]],Lists!A:E,5,0)</f>
        <v>c</v>
      </c>
      <c r="B956" s="1">
        <v>44299</v>
      </c>
      <c r="C956" s="1">
        <v>44298</v>
      </c>
      <c r="D956" s="1" t="s">
        <v>60</v>
      </c>
      <c r="E956" s="2" t="s">
        <v>404</v>
      </c>
      <c r="F956" s="1"/>
      <c r="G956" s="2">
        <v>23</v>
      </c>
      <c r="H956" s="1"/>
      <c r="I956" t="s">
        <v>1</v>
      </c>
      <c r="J956" t="s">
        <v>64</v>
      </c>
      <c r="K956" t="s">
        <v>379</v>
      </c>
      <c r="L956" t="s">
        <v>407</v>
      </c>
      <c r="M956" s="3" t="s">
        <v>1092</v>
      </c>
    </row>
    <row r="957" spans="1:16" hidden="1" x14ac:dyDescent="0.25">
      <c r="A957" s="1" t="str">
        <f>VLOOKUP(Table2[[#This Row],[Prod Line ]],Lists!A:E,5,0)</f>
        <v>c</v>
      </c>
      <c r="B957" s="1">
        <v>44299</v>
      </c>
      <c r="C957" s="1">
        <v>44298</v>
      </c>
      <c r="D957" s="1" t="s">
        <v>60</v>
      </c>
      <c r="E957" s="2" t="s">
        <v>404</v>
      </c>
      <c r="F957" s="1"/>
      <c r="G957" s="2">
        <v>4</v>
      </c>
      <c r="H957" s="1"/>
      <c r="I957" t="s">
        <v>1</v>
      </c>
      <c r="J957" t="s">
        <v>2</v>
      </c>
      <c r="K957" t="s">
        <v>378</v>
      </c>
      <c r="L957" t="s">
        <v>349</v>
      </c>
      <c r="M957" s="3" t="s">
        <v>797</v>
      </c>
    </row>
    <row r="958" spans="1:16" s="22" customFormat="1" ht="15.75" hidden="1" thickBot="1" x14ac:dyDescent="0.3">
      <c r="A958" s="1" t="str">
        <f>VLOOKUP(Table2[[#This Row],[Prod Line ]],Lists!A:E,5,0)</f>
        <v>d</v>
      </c>
      <c r="B958" s="1">
        <v>44299</v>
      </c>
      <c r="C958" s="1">
        <v>44297</v>
      </c>
      <c r="D958" s="1" t="s">
        <v>62</v>
      </c>
      <c r="E958" s="2" t="s">
        <v>406</v>
      </c>
      <c r="F958" s="1"/>
      <c r="G958" s="2">
        <v>18</v>
      </c>
      <c r="H958" s="1" t="s">
        <v>1</v>
      </c>
      <c r="I958" t="s">
        <v>1</v>
      </c>
      <c r="J958" t="s">
        <v>5</v>
      </c>
      <c r="K958" t="s">
        <v>397</v>
      </c>
      <c r="L958" t="s">
        <v>407</v>
      </c>
      <c r="M958" s="3" t="s">
        <v>918</v>
      </c>
      <c r="N958" s="20"/>
      <c r="O958"/>
      <c r="P958"/>
    </row>
    <row r="959" spans="1:16" ht="15.75" hidden="1" thickBot="1" x14ac:dyDescent="0.3">
      <c r="A959" s="1" t="str">
        <f>VLOOKUP(Table2[[#This Row],[Prod Line ]],Lists!A:E,5,0)</f>
        <v>d</v>
      </c>
      <c r="B959" s="21">
        <v>44299</v>
      </c>
      <c r="C959" s="21">
        <v>44299</v>
      </c>
      <c r="D959" s="21" t="s">
        <v>62</v>
      </c>
      <c r="E959" s="25" t="s">
        <v>406</v>
      </c>
      <c r="F959" s="21"/>
      <c r="G959" s="25">
        <v>12</v>
      </c>
      <c r="H959" s="21"/>
      <c r="I959" s="22" t="s">
        <v>1</v>
      </c>
      <c r="J959" s="22" t="s">
        <v>64</v>
      </c>
      <c r="K959" s="22" t="s">
        <v>379</v>
      </c>
      <c r="L959" s="22" t="s">
        <v>407</v>
      </c>
      <c r="M959" s="26" t="s">
        <v>655</v>
      </c>
      <c r="N959" s="27"/>
      <c r="O959" s="22"/>
      <c r="P959" s="22"/>
    </row>
    <row r="960" spans="1:16" ht="30" hidden="1" x14ac:dyDescent="0.25">
      <c r="A960" s="1" t="str">
        <f>VLOOKUP(Table2[[#This Row],[Prod Line ]],Lists!A:E,5,0)</f>
        <v>d</v>
      </c>
      <c r="B960" s="1">
        <v>44301</v>
      </c>
      <c r="C960" s="1">
        <v>44299</v>
      </c>
      <c r="D960" s="1" t="s">
        <v>62</v>
      </c>
      <c r="E960" s="2" t="s">
        <v>404</v>
      </c>
      <c r="F960" s="1"/>
      <c r="G960" s="2">
        <v>90</v>
      </c>
      <c r="H960" s="1"/>
      <c r="I960" t="s">
        <v>0</v>
      </c>
      <c r="J960" t="s">
        <v>5</v>
      </c>
      <c r="K960" t="s">
        <v>397</v>
      </c>
      <c r="L960" t="s">
        <v>82</v>
      </c>
      <c r="M960" s="3" t="s">
        <v>1093</v>
      </c>
      <c r="N960" s="20" t="s">
        <v>1135</v>
      </c>
    </row>
    <row r="961" spans="1:16" ht="30" hidden="1" x14ac:dyDescent="0.25">
      <c r="A961" s="1" t="str">
        <f>VLOOKUP(Table2[[#This Row],[Prod Line ]],Lists!A:E,5,0)</f>
        <v>a</v>
      </c>
      <c r="B961" s="1">
        <v>44301</v>
      </c>
      <c r="C961" s="1">
        <v>44299</v>
      </c>
      <c r="D961" s="1" t="s">
        <v>56</v>
      </c>
      <c r="E961" s="2" t="s">
        <v>404</v>
      </c>
      <c r="F961" s="1"/>
      <c r="G961" s="2">
        <v>12</v>
      </c>
      <c r="H961" s="1"/>
      <c r="I961" t="s">
        <v>0</v>
      </c>
      <c r="J961" t="s">
        <v>67</v>
      </c>
      <c r="K961" t="s">
        <v>67</v>
      </c>
      <c r="L961" t="s">
        <v>69</v>
      </c>
      <c r="M961" s="3" t="s">
        <v>1094</v>
      </c>
      <c r="N961" s="20" t="s">
        <v>1136</v>
      </c>
    </row>
    <row r="962" spans="1:16" ht="30" hidden="1" x14ac:dyDescent="0.25">
      <c r="A962" s="1" t="str">
        <f>VLOOKUP(Table2[[#This Row],[Prod Line ]],Lists!A:E,5,0)</f>
        <v>a</v>
      </c>
      <c r="B962" s="1">
        <v>44301</v>
      </c>
      <c r="C962" s="1">
        <v>44299</v>
      </c>
      <c r="D962" s="1" t="s">
        <v>56</v>
      </c>
      <c r="E962" s="2" t="s">
        <v>404</v>
      </c>
      <c r="F962" s="1"/>
      <c r="G962" s="2">
        <v>18</v>
      </c>
      <c r="H962" s="1"/>
      <c r="I962" t="s">
        <v>0</v>
      </c>
      <c r="J962" t="s">
        <v>67</v>
      </c>
      <c r="K962" t="s">
        <v>67</v>
      </c>
      <c r="L962" t="s">
        <v>69</v>
      </c>
      <c r="M962" s="3" t="s">
        <v>1095</v>
      </c>
      <c r="N962" s="20" t="s">
        <v>1136</v>
      </c>
    </row>
    <row r="963" spans="1:16" hidden="1" x14ac:dyDescent="0.25">
      <c r="A963" s="1" t="str">
        <f>VLOOKUP(Table2[[#This Row],[Prod Line ]],Lists!A:E,5,0)</f>
        <v>a</v>
      </c>
      <c r="B963" s="1">
        <v>44301</v>
      </c>
      <c r="C963" s="1">
        <v>44299</v>
      </c>
      <c r="D963" s="1" t="s">
        <v>56</v>
      </c>
      <c r="E963" s="2" t="s">
        <v>404</v>
      </c>
      <c r="F963" s="1"/>
      <c r="G963" s="2">
        <v>3</v>
      </c>
      <c r="H963" s="1"/>
      <c r="I963" t="s">
        <v>1</v>
      </c>
      <c r="J963" t="s">
        <v>67</v>
      </c>
      <c r="K963" t="s">
        <v>67</v>
      </c>
      <c r="L963" t="s">
        <v>350</v>
      </c>
      <c r="M963" s="3" t="s">
        <v>1058</v>
      </c>
    </row>
    <row r="964" spans="1:16" hidden="1" x14ac:dyDescent="0.25">
      <c r="A964" s="1" t="str">
        <f>VLOOKUP(Table2[[#This Row],[Prod Line ]],Lists!A:E,5,0)</f>
        <v>a</v>
      </c>
      <c r="B964" s="1">
        <v>44301</v>
      </c>
      <c r="C964" s="1">
        <v>44299</v>
      </c>
      <c r="D964" s="1" t="s">
        <v>56</v>
      </c>
      <c r="E964" s="2" t="s">
        <v>404</v>
      </c>
      <c r="F964" s="1"/>
      <c r="G964" s="2">
        <v>9</v>
      </c>
      <c r="H964" s="1"/>
      <c r="I964" t="s">
        <v>1</v>
      </c>
      <c r="J964" t="s">
        <v>64</v>
      </c>
      <c r="K964" t="s">
        <v>363</v>
      </c>
      <c r="L964" t="s">
        <v>407</v>
      </c>
      <c r="M964" s="3" t="s">
        <v>553</v>
      </c>
    </row>
    <row r="965" spans="1:16" hidden="1" x14ac:dyDescent="0.25">
      <c r="A965" s="1" t="str">
        <f>VLOOKUP(Table2[[#This Row],[Prod Line ]],Lists!A:E,5,0)</f>
        <v>a</v>
      </c>
      <c r="B965" s="1">
        <v>44301</v>
      </c>
      <c r="C965" s="1">
        <v>44299</v>
      </c>
      <c r="D965" s="1" t="s">
        <v>56</v>
      </c>
      <c r="E965" s="2" t="s">
        <v>405</v>
      </c>
      <c r="F965" s="1"/>
      <c r="G965" s="2">
        <v>67</v>
      </c>
      <c r="H965" s="1"/>
      <c r="I965" t="s">
        <v>1</v>
      </c>
      <c r="J965" t="s">
        <v>67</v>
      </c>
      <c r="K965" t="s">
        <v>67</v>
      </c>
      <c r="L965" t="s">
        <v>407</v>
      </c>
      <c r="M965" s="3" t="s">
        <v>1096</v>
      </c>
    </row>
    <row r="966" spans="1:16" hidden="1" x14ac:dyDescent="0.25">
      <c r="A966" s="1" t="str">
        <f>VLOOKUP(Table2[[#This Row],[Prod Line ]],Lists!A:E,5,0)</f>
        <v>c</v>
      </c>
      <c r="B966" s="1">
        <v>44301</v>
      </c>
      <c r="C966" s="1">
        <v>44299</v>
      </c>
      <c r="D966" s="1" t="s">
        <v>60</v>
      </c>
      <c r="E966" s="2" t="s">
        <v>404</v>
      </c>
      <c r="F966" s="1"/>
      <c r="G966" s="2">
        <v>3</v>
      </c>
      <c r="H966" s="1"/>
      <c r="I966" t="s">
        <v>0</v>
      </c>
      <c r="J966" t="s">
        <v>65</v>
      </c>
      <c r="K966" t="s">
        <v>382</v>
      </c>
      <c r="L966" t="s">
        <v>70</v>
      </c>
      <c r="M966" s="3" t="s">
        <v>1098</v>
      </c>
    </row>
    <row r="967" spans="1:16" hidden="1" x14ac:dyDescent="0.25">
      <c r="A967" s="1" t="str">
        <f>VLOOKUP(Table2[[#This Row],[Prod Line ]],Lists!A:E,5,0)</f>
        <v>c</v>
      </c>
      <c r="B967" s="1">
        <v>44301</v>
      </c>
      <c r="C967" s="1">
        <v>44299</v>
      </c>
      <c r="D967" s="1" t="s">
        <v>60</v>
      </c>
      <c r="E967" s="2" t="s">
        <v>404</v>
      </c>
      <c r="F967" s="1"/>
      <c r="G967" s="2">
        <v>5</v>
      </c>
      <c r="H967" s="1"/>
      <c r="I967" t="s">
        <v>1</v>
      </c>
      <c r="J967" t="s">
        <v>2</v>
      </c>
      <c r="K967" t="s">
        <v>378</v>
      </c>
      <c r="L967" t="s">
        <v>349</v>
      </c>
      <c r="M967" s="3" t="s">
        <v>1099</v>
      </c>
    </row>
    <row r="968" spans="1:16" hidden="1" x14ac:dyDescent="0.25">
      <c r="A968" s="1" t="str">
        <f>VLOOKUP(Table2[[#This Row],[Prod Line ]],Lists!A:E,5,0)</f>
        <v>c</v>
      </c>
      <c r="B968" s="1">
        <v>44301</v>
      </c>
      <c r="C968" s="1">
        <v>44299</v>
      </c>
      <c r="D968" s="1" t="s">
        <v>60</v>
      </c>
      <c r="E968" s="2" t="s">
        <v>405</v>
      </c>
      <c r="F968" s="1"/>
      <c r="G968" s="2">
        <v>30</v>
      </c>
      <c r="H968" s="1"/>
      <c r="I968" t="s">
        <v>0</v>
      </c>
      <c r="J968" t="s">
        <v>65</v>
      </c>
      <c r="K968" t="s">
        <v>382</v>
      </c>
      <c r="L968" t="s">
        <v>70</v>
      </c>
      <c r="M968" s="3" t="s">
        <v>1100</v>
      </c>
      <c r="N968" s="20" t="s">
        <v>1137</v>
      </c>
    </row>
    <row r="969" spans="1:16" hidden="1" x14ac:dyDescent="0.25">
      <c r="A969" s="1" t="str">
        <f>VLOOKUP(Table2[[#This Row],[Prod Line ]],Lists!A:E,5,0)</f>
        <v>b</v>
      </c>
      <c r="B969" s="1">
        <v>44301</v>
      </c>
      <c r="C969" s="1">
        <v>44299</v>
      </c>
      <c r="D969" s="1" t="s">
        <v>58</v>
      </c>
      <c r="E969" s="2" t="s">
        <v>404</v>
      </c>
      <c r="F969" s="1"/>
      <c r="G969" s="2">
        <v>27</v>
      </c>
      <c r="H969" s="1"/>
      <c r="I969" t="s">
        <v>1</v>
      </c>
      <c r="J969" t="s">
        <v>2</v>
      </c>
      <c r="K969" t="s">
        <v>19</v>
      </c>
      <c r="L969" t="s">
        <v>72</v>
      </c>
      <c r="M969" s="3" t="s">
        <v>1101</v>
      </c>
    </row>
    <row r="970" spans="1:16" hidden="1" x14ac:dyDescent="0.25">
      <c r="A970" s="1" t="str">
        <f>VLOOKUP(Table2[[#This Row],[Prod Line ]],Lists!A:E,5,0)</f>
        <v>b</v>
      </c>
      <c r="B970" s="1">
        <v>44301</v>
      </c>
      <c r="C970" s="1">
        <v>44299</v>
      </c>
      <c r="D970" s="1" t="s">
        <v>58</v>
      </c>
      <c r="E970" s="2" t="s">
        <v>404</v>
      </c>
      <c r="F970" s="1"/>
      <c r="G970" s="2">
        <v>38</v>
      </c>
      <c r="H970" s="1"/>
      <c r="I970" t="s">
        <v>1</v>
      </c>
      <c r="J970" t="s">
        <v>2</v>
      </c>
      <c r="K970" t="s">
        <v>19</v>
      </c>
      <c r="L970" t="s">
        <v>72</v>
      </c>
      <c r="M970" s="3" t="s">
        <v>1102</v>
      </c>
    </row>
    <row r="971" spans="1:16" hidden="1" x14ac:dyDescent="0.25">
      <c r="A971" s="1" t="str">
        <f>VLOOKUP(Table2[[#This Row],[Prod Line ]],Lists!A:E,5,0)</f>
        <v>b</v>
      </c>
      <c r="B971" s="1">
        <v>44301</v>
      </c>
      <c r="C971" s="1">
        <v>44299</v>
      </c>
      <c r="D971" s="1" t="s">
        <v>58</v>
      </c>
      <c r="E971" s="2" t="s">
        <v>406</v>
      </c>
      <c r="F971" s="1"/>
      <c r="G971" s="2">
        <v>15</v>
      </c>
      <c r="H971" s="1"/>
      <c r="I971" t="s">
        <v>1</v>
      </c>
      <c r="J971" t="s">
        <v>2</v>
      </c>
      <c r="K971" t="s">
        <v>19</v>
      </c>
      <c r="L971" t="s">
        <v>349</v>
      </c>
      <c r="M971" s="3" t="s">
        <v>575</v>
      </c>
    </row>
    <row r="972" spans="1:16" s="22" customFormat="1" ht="15.75" hidden="1" thickBot="1" x14ac:dyDescent="0.3">
      <c r="A972" s="1" t="str">
        <f>VLOOKUP(Table2[[#This Row],[Prod Line ]],Lists!A:E,5,0)</f>
        <v>b</v>
      </c>
      <c r="B972" s="1">
        <v>44301</v>
      </c>
      <c r="C972" s="1">
        <v>44299</v>
      </c>
      <c r="D972" s="1" t="s">
        <v>58</v>
      </c>
      <c r="E972" s="2" t="s">
        <v>404</v>
      </c>
      <c r="F972" s="1"/>
      <c r="G972" s="2">
        <v>3</v>
      </c>
      <c r="H972" s="1"/>
      <c r="I972" t="s">
        <v>1</v>
      </c>
      <c r="J972" t="s">
        <v>2</v>
      </c>
      <c r="K972" t="s">
        <v>19</v>
      </c>
      <c r="L972" t="s">
        <v>349</v>
      </c>
      <c r="M972" s="3" t="s">
        <v>575</v>
      </c>
      <c r="N972" s="20"/>
      <c r="O972"/>
      <c r="P972"/>
    </row>
    <row r="973" spans="1:16" ht="15.75" hidden="1" thickBot="1" x14ac:dyDescent="0.3">
      <c r="A973" s="1" t="str">
        <f>VLOOKUP(Table2[[#This Row],[Prod Line ]],Lists!A:E,5,0)</f>
        <v>b</v>
      </c>
      <c r="B973" s="21">
        <v>44301</v>
      </c>
      <c r="C973" s="21">
        <v>44299</v>
      </c>
      <c r="D973" s="21" t="s">
        <v>58</v>
      </c>
      <c r="E973" s="25" t="s">
        <v>404</v>
      </c>
      <c r="F973" s="21"/>
      <c r="G973" s="25">
        <v>13</v>
      </c>
      <c r="H973" s="21"/>
      <c r="I973" s="22" t="s">
        <v>0</v>
      </c>
      <c r="J973" s="22" t="s">
        <v>64</v>
      </c>
      <c r="K973" s="22" t="s">
        <v>20</v>
      </c>
      <c r="L973" s="22" t="s">
        <v>70</v>
      </c>
      <c r="M973" s="26" t="s">
        <v>1103</v>
      </c>
      <c r="N973" s="27"/>
      <c r="O973" s="22"/>
      <c r="P973" s="22"/>
    </row>
    <row r="974" spans="1:16" hidden="1" x14ac:dyDescent="0.25">
      <c r="A974" s="1" t="str">
        <f>VLOOKUP(Table2[[#This Row],[Prod Line ]],Lists!A:E,5,0)</f>
        <v>d</v>
      </c>
      <c r="B974" s="1">
        <v>44302</v>
      </c>
      <c r="C974" s="1">
        <v>44300</v>
      </c>
      <c r="D974" s="1" t="s">
        <v>62</v>
      </c>
      <c r="E974" s="2" t="s">
        <v>406</v>
      </c>
      <c r="F974" s="1"/>
      <c r="G974" s="2">
        <v>4</v>
      </c>
      <c r="H974" s="1"/>
      <c r="I974" t="s">
        <v>1</v>
      </c>
      <c r="J974" t="s">
        <v>64</v>
      </c>
      <c r="K974" t="s">
        <v>379</v>
      </c>
      <c r="L974" t="s">
        <v>407</v>
      </c>
      <c r="M974" s="3" t="s">
        <v>1104</v>
      </c>
    </row>
    <row r="975" spans="1:16" hidden="1" x14ac:dyDescent="0.25">
      <c r="A975" s="1" t="str">
        <f>VLOOKUP(Table2[[#This Row],[Prod Line ]],Lists!A:E,5,0)</f>
        <v>d</v>
      </c>
      <c r="B975" s="1">
        <v>44302</v>
      </c>
      <c r="C975" s="1">
        <v>44300</v>
      </c>
      <c r="D975" s="1" t="s">
        <v>62</v>
      </c>
      <c r="E975" s="2" t="s">
        <v>404</v>
      </c>
      <c r="F975" s="1"/>
      <c r="G975" s="2">
        <v>14</v>
      </c>
      <c r="H975" s="1"/>
      <c r="I975" t="s">
        <v>0</v>
      </c>
      <c r="J975" t="s">
        <v>5</v>
      </c>
      <c r="K975" t="s">
        <v>397</v>
      </c>
      <c r="L975" t="s">
        <v>70</v>
      </c>
      <c r="M975" s="3" t="s">
        <v>936</v>
      </c>
    </row>
    <row r="976" spans="1:16" hidden="1" x14ac:dyDescent="0.25">
      <c r="A976" s="1" t="str">
        <f>VLOOKUP(Table2[[#This Row],[Prod Line ]],Lists!A:E,5,0)</f>
        <v>a</v>
      </c>
      <c r="B976" s="1">
        <v>44302</v>
      </c>
      <c r="C976" s="1">
        <v>44300</v>
      </c>
      <c r="D976" s="1" t="s">
        <v>56</v>
      </c>
      <c r="E976" s="2" t="s">
        <v>404</v>
      </c>
      <c r="F976" s="1"/>
      <c r="G976" s="2">
        <v>7</v>
      </c>
      <c r="H976" s="1"/>
      <c r="I976" t="s">
        <v>0</v>
      </c>
      <c r="J976" t="s">
        <v>67</v>
      </c>
      <c r="K976" t="s">
        <v>67</v>
      </c>
      <c r="L976" t="s">
        <v>70</v>
      </c>
      <c r="M976" s="3" t="s">
        <v>1105</v>
      </c>
    </row>
    <row r="977" spans="1:16" hidden="1" x14ac:dyDescent="0.25">
      <c r="A977" s="1" t="str">
        <f>VLOOKUP(Table2[[#This Row],[Prod Line ]],Lists!A:E,5,0)</f>
        <v>a</v>
      </c>
      <c r="B977" s="1">
        <v>44302</v>
      </c>
      <c r="C977" s="1">
        <v>44300</v>
      </c>
      <c r="D977" s="1" t="s">
        <v>56</v>
      </c>
      <c r="E977" s="2" t="s">
        <v>404</v>
      </c>
      <c r="F977" s="1"/>
      <c r="G977" s="2">
        <v>11</v>
      </c>
      <c r="H977" s="1"/>
      <c r="I977" t="s">
        <v>1</v>
      </c>
      <c r="J977" t="s">
        <v>64</v>
      </c>
      <c r="K977" t="s">
        <v>370</v>
      </c>
      <c r="L977" t="s">
        <v>407</v>
      </c>
      <c r="M977" s="3" t="s">
        <v>967</v>
      </c>
    </row>
    <row r="978" spans="1:16" hidden="1" x14ac:dyDescent="0.25">
      <c r="A978" s="1" t="str">
        <f>VLOOKUP(Table2[[#This Row],[Prod Line ]],Lists!A:E,5,0)</f>
        <v>c</v>
      </c>
      <c r="B978" s="1">
        <v>44302</v>
      </c>
      <c r="C978" s="1">
        <v>44300</v>
      </c>
      <c r="D978" s="1" t="s">
        <v>60</v>
      </c>
      <c r="E978" s="2" t="s">
        <v>405</v>
      </c>
      <c r="F978" s="1"/>
      <c r="G978" s="2">
        <v>20</v>
      </c>
      <c r="H978" s="1"/>
      <c r="I978" t="s">
        <v>0</v>
      </c>
      <c r="J978" t="s">
        <v>64</v>
      </c>
      <c r="K978" t="s">
        <v>381</v>
      </c>
      <c r="L978" t="s">
        <v>70</v>
      </c>
      <c r="M978" s="3" t="s">
        <v>1117</v>
      </c>
    </row>
    <row r="979" spans="1:16" hidden="1" x14ac:dyDescent="0.25">
      <c r="A979" s="1" t="str">
        <f>VLOOKUP(Table2[[#This Row],[Prod Line ]],Lists!A:E,5,0)</f>
        <v>b</v>
      </c>
      <c r="B979" s="1">
        <v>44302</v>
      </c>
      <c r="C979" s="1">
        <v>44300</v>
      </c>
      <c r="D979" s="1" t="s">
        <v>58</v>
      </c>
      <c r="E979" s="2" t="s">
        <v>404</v>
      </c>
      <c r="F979" s="1"/>
      <c r="G979" s="2">
        <v>12</v>
      </c>
      <c r="H979" s="1"/>
      <c r="I979" t="s">
        <v>0</v>
      </c>
      <c r="J979" t="s">
        <v>65</v>
      </c>
      <c r="K979" t="s">
        <v>3</v>
      </c>
      <c r="L979" t="s">
        <v>69</v>
      </c>
      <c r="M979" s="3" t="s">
        <v>1106</v>
      </c>
      <c r="N979" s="20" t="s">
        <v>1138</v>
      </c>
    </row>
    <row r="980" spans="1:16" hidden="1" x14ac:dyDescent="0.25">
      <c r="A980" s="1" t="str">
        <f>VLOOKUP(Table2[[#This Row],[Prod Line ]],Lists!A:E,5,0)</f>
        <v>b</v>
      </c>
      <c r="B980" s="1">
        <v>44302</v>
      </c>
      <c r="C980" s="1">
        <v>44300</v>
      </c>
      <c r="D980" s="1" t="s">
        <v>58</v>
      </c>
      <c r="E980" s="2" t="s">
        <v>404</v>
      </c>
      <c r="F980" s="1"/>
      <c r="G980" s="2">
        <v>7</v>
      </c>
      <c r="H980" s="1"/>
      <c r="I980" t="s">
        <v>0</v>
      </c>
      <c r="J980" t="s">
        <v>65</v>
      </c>
      <c r="K980" t="s">
        <v>3</v>
      </c>
      <c r="L980" t="s">
        <v>69</v>
      </c>
      <c r="M980" s="3" t="s">
        <v>1107</v>
      </c>
    </row>
    <row r="981" spans="1:16" hidden="1" x14ac:dyDescent="0.25">
      <c r="A981" s="1" t="str">
        <f>VLOOKUP(Table2[[#This Row],[Prod Line ]],Lists!A:E,5,0)</f>
        <v>b</v>
      </c>
      <c r="B981" s="1">
        <v>44302</v>
      </c>
      <c r="C981" s="1">
        <v>44300</v>
      </c>
      <c r="D981" s="1" t="s">
        <v>58</v>
      </c>
      <c r="E981" s="2" t="s">
        <v>404</v>
      </c>
      <c r="F981" s="1"/>
      <c r="G981" s="2">
        <v>10</v>
      </c>
      <c r="H981" s="1" t="s">
        <v>0</v>
      </c>
      <c r="I981" t="s">
        <v>0</v>
      </c>
      <c r="J981" t="s">
        <v>65</v>
      </c>
      <c r="K981" t="s">
        <v>3</v>
      </c>
      <c r="L981" t="s">
        <v>69</v>
      </c>
      <c r="M981" s="3" t="s">
        <v>1108</v>
      </c>
    </row>
    <row r="982" spans="1:16" hidden="1" x14ac:dyDescent="0.25">
      <c r="A982" s="1" t="str">
        <f>VLOOKUP(Table2[[#This Row],[Prod Line ]],Lists!A:E,5,0)</f>
        <v>b</v>
      </c>
      <c r="B982" s="1">
        <v>44302</v>
      </c>
      <c r="C982" s="1">
        <v>44300</v>
      </c>
      <c r="D982" s="1" t="s">
        <v>58</v>
      </c>
      <c r="E982" s="2" t="s">
        <v>404</v>
      </c>
      <c r="F982" s="1"/>
      <c r="G982" s="2">
        <v>13</v>
      </c>
      <c r="H982" s="1" t="s">
        <v>0</v>
      </c>
      <c r="I982" t="s">
        <v>0</v>
      </c>
      <c r="J982" t="s">
        <v>65</v>
      </c>
      <c r="K982" t="s">
        <v>3</v>
      </c>
      <c r="L982" t="s">
        <v>69</v>
      </c>
      <c r="M982" s="3" t="s">
        <v>1109</v>
      </c>
    </row>
    <row r="983" spans="1:16" hidden="1" x14ac:dyDescent="0.25">
      <c r="A983" s="1" t="str">
        <f>VLOOKUP(Table2[[#This Row],[Prod Line ]],Lists!A:E,5,0)</f>
        <v>b</v>
      </c>
      <c r="B983" s="1">
        <v>44302</v>
      </c>
      <c r="C983" s="1">
        <v>44300</v>
      </c>
      <c r="D983" s="1" t="s">
        <v>58</v>
      </c>
      <c r="E983" s="2" t="s">
        <v>405</v>
      </c>
      <c r="F983" s="1"/>
      <c r="G983" s="2">
        <v>14</v>
      </c>
      <c r="H983" s="1"/>
      <c r="I983" t="s">
        <v>0</v>
      </c>
      <c r="J983" t="s">
        <v>26</v>
      </c>
      <c r="K983" t="s">
        <v>25</v>
      </c>
      <c r="L983" t="s">
        <v>69</v>
      </c>
      <c r="M983" s="3" t="s">
        <v>1110</v>
      </c>
      <c r="N983" s="20" t="s">
        <v>1139</v>
      </c>
    </row>
    <row r="984" spans="1:16" hidden="1" x14ac:dyDescent="0.25">
      <c r="A984" s="1" t="str">
        <f>VLOOKUP(Table2[[#This Row],[Prod Line ]],Lists!A:E,5,0)</f>
        <v>b</v>
      </c>
      <c r="B984" s="1">
        <v>44302</v>
      </c>
      <c r="C984" s="1">
        <v>44300</v>
      </c>
      <c r="D984" s="1" t="s">
        <v>58</v>
      </c>
      <c r="E984" s="2" t="s">
        <v>405</v>
      </c>
      <c r="F984" s="1"/>
      <c r="G984" s="2">
        <v>5</v>
      </c>
      <c r="H984" s="1" t="s">
        <v>1</v>
      </c>
      <c r="I984" t="s">
        <v>1</v>
      </c>
      <c r="J984" t="s">
        <v>5</v>
      </c>
      <c r="K984" t="s">
        <v>37</v>
      </c>
      <c r="L984" t="s">
        <v>407</v>
      </c>
      <c r="M984" s="3" t="s">
        <v>1111</v>
      </c>
    </row>
    <row r="985" spans="1:16" hidden="1" x14ac:dyDescent="0.25">
      <c r="A985" s="1" t="str">
        <f>VLOOKUP(Table2[[#This Row],[Prod Line ]],Lists!A:E,5,0)</f>
        <v>b</v>
      </c>
      <c r="B985" s="1">
        <v>44302</v>
      </c>
      <c r="C985" s="1">
        <v>44300</v>
      </c>
      <c r="D985" s="1" t="s">
        <v>58</v>
      </c>
      <c r="E985" s="2" t="s">
        <v>405</v>
      </c>
      <c r="F985" s="1"/>
      <c r="G985" s="2">
        <v>5</v>
      </c>
      <c r="H985" s="1" t="s">
        <v>1</v>
      </c>
      <c r="I985" t="s">
        <v>1</v>
      </c>
      <c r="J985" t="s">
        <v>5</v>
      </c>
      <c r="K985" t="s">
        <v>37</v>
      </c>
      <c r="L985" t="s">
        <v>407</v>
      </c>
      <c r="M985" s="3" t="s">
        <v>1112</v>
      </c>
    </row>
    <row r="986" spans="1:16" s="22" customFormat="1" ht="15.75" hidden="1" thickBot="1" x14ac:dyDescent="0.3">
      <c r="A986" s="1" t="str">
        <f>VLOOKUP(Table2[[#This Row],[Prod Line ]],Lists!A:E,5,0)</f>
        <v>b</v>
      </c>
      <c r="B986" s="1">
        <v>44302</v>
      </c>
      <c r="C986" s="1">
        <v>44300</v>
      </c>
      <c r="D986" s="1" t="s">
        <v>58</v>
      </c>
      <c r="E986" s="2" t="s">
        <v>405</v>
      </c>
      <c r="F986" s="1"/>
      <c r="G986" s="2">
        <v>15</v>
      </c>
      <c r="H986" s="1" t="s">
        <v>1</v>
      </c>
      <c r="I986" t="s">
        <v>1</v>
      </c>
      <c r="J986" t="s">
        <v>5</v>
      </c>
      <c r="K986" t="s">
        <v>37</v>
      </c>
      <c r="L986" t="s">
        <v>407</v>
      </c>
      <c r="M986" s="3" t="s">
        <v>1113</v>
      </c>
      <c r="N986" s="20"/>
      <c r="O986"/>
      <c r="P986"/>
    </row>
    <row r="987" spans="1:16" ht="15.75" hidden="1" thickBot="1" x14ac:dyDescent="0.3">
      <c r="A987" s="1" t="str">
        <f>VLOOKUP(Table2[[#This Row],[Prod Line ]],Lists!A:E,5,0)</f>
        <v>b</v>
      </c>
      <c r="B987" s="21">
        <v>44302</v>
      </c>
      <c r="C987" s="21">
        <v>44300</v>
      </c>
      <c r="D987" s="21" t="s">
        <v>58</v>
      </c>
      <c r="E987" s="25" t="s">
        <v>406</v>
      </c>
      <c r="F987" s="21"/>
      <c r="G987" s="25">
        <v>17</v>
      </c>
      <c r="H987" s="21" t="s">
        <v>1</v>
      </c>
      <c r="I987" s="22" t="s">
        <v>1</v>
      </c>
      <c r="J987" s="22" t="s">
        <v>2</v>
      </c>
      <c r="K987" s="22" t="s">
        <v>19</v>
      </c>
      <c r="L987" s="22" t="s">
        <v>407</v>
      </c>
      <c r="M987" s="26" t="s">
        <v>1114</v>
      </c>
      <c r="N987" s="27"/>
      <c r="O987" s="22"/>
      <c r="P987" s="22"/>
    </row>
    <row r="988" spans="1:16" hidden="1" x14ac:dyDescent="0.25">
      <c r="A988" s="1" t="str">
        <f>VLOOKUP(Table2[[#This Row],[Prod Line ]],Lists!A:E,5,0)</f>
        <v>d</v>
      </c>
      <c r="B988" s="1">
        <v>44303</v>
      </c>
      <c r="C988" s="1">
        <v>44301</v>
      </c>
      <c r="D988" s="1" t="s">
        <v>62</v>
      </c>
      <c r="E988" s="2" t="s">
        <v>406</v>
      </c>
      <c r="F988" s="1"/>
      <c r="G988" s="2">
        <v>10</v>
      </c>
      <c r="H988" s="1"/>
      <c r="I988" t="s">
        <v>1</v>
      </c>
      <c r="J988" t="s">
        <v>64</v>
      </c>
      <c r="K988" t="s">
        <v>379</v>
      </c>
      <c r="L988" t="s">
        <v>407</v>
      </c>
      <c r="M988" s="3" t="s">
        <v>1104</v>
      </c>
    </row>
    <row r="989" spans="1:16" hidden="1" x14ac:dyDescent="0.25">
      <c r="A989" s="1" t="str">
        <f>VLOOKUP(Table2[[#This Row],[Prod Line ]],Lists!A:E,5,0)</f>
        <v>b</v>
      </c>
      <c r="B989" s="1">
        <v>44303</v>
      </c>
      <c r="C989" s="1">
        <v>44301</v>
      </c>
      <c r="D989" s="1" t="s">
        <v>58</v>
      </c>
      <c r="E989" s="2" t="s">
        <v>404</v>
      </c>
      <c r="F989" s="1"/>
      <c r="G989" s="2">
        <v>5</v>
      </c>
      <c r="H989" s="1"/>
      <c r="I989" t="s">
        <v>1</v>
      </c>
      <c r="J989" t="s">
        <v>64</v>
      </c>
      <c r="K989" t="s">
        <v>20</v>
      </c>
      <c r="L989" t="s">
        <v>407</v>
      </c>
      <c r="M989" s="3" t="s">
        <v>1115</v>
      </c>
    </row>
    <row r="990" spans="1:16" s="30" customFormat="1" hidden="1" x14ac:dyDescent="0.25">
      <c r="A990" s="1" t="str">
        <f>VLOOKUP(Table2[[#This Row],[Prod Line ]],Lists!A:E,5,0)</f>
        <v>b</v>
      </c>
      <c r="B990" s="1">
        <v>44303</v>
      </c>
      <c r="C990" s="1">
        <v>44301</v>
      </c>
      <c r="D990" s="1" t="s">
        <v>58</v>
      </c>
      <c r="E990" s="2" t="s">
        <v>405</v>
      </c>
      <c r="F990" s="1"/>
      <c r="G990" s="2">
        <v>10</v>
      </c>
      <c r="H990" s="1"/>
      <c r="I990" t="s">
        <v>1</v>
      </c>
      <c r="J990" t="s">
        <v>2</v>
      </c>
      <c r="K990" t="s">
        <v>19</v>
      </c>
      <c r="L990" t="s">
        <v>72</v>
      </c>
      <c r="M990" s="3" t="s">
        <v>1116</v>
      </c>
      <c r="N990" s="20"/>
      <c r="O990"/>
      <c r="P990"/>
    </row>
    <row r="991" spans="1:16" s="22" customFormat="1" ht="15.75" hidden="1" thickBot="1" x14ac:dyDescent="0.3">
      <c r="A991" s="1" t="str">
        <f>VLOOKUP(Table2[[#This Row],[Prod Line ]],Lists!A:E,5,0)</f>
        <v>a</v>
      </c>
      <c r="B991" s="28">
        <v>44303</v>
      </c>
      <c r="C991" s="28">
        <v>44301</v>
      </c>
      <c r="D991" s="28" t="s">
        <v>56</v>
      </c>
      <c r="E991" s="29" t="s">
        <v>404</v>
      </c>
      <c r="F991" s="28"/>
      <c r="G991" s="29">
        <v>5</v>
      </c>
      <c r="H991" s="28"/>
      <c r="I991" s="30" t="s">
        <v>0</v>
      </c>
      <c r="J991" s="30" t="s">
        <v>64</v>
      </c>
      <c r="K991" s="30" t="s">
        <v>363</v>
      </c>
      <c r="L991" s="30" t="s">
        <v>70</v>
      </c>
      <c r="M991" s="31" t="s">
        <v>1118</v>
      </c>
      <c r="N991" s="32"/>
      <c r="O991" s="30"/>
      <c r="P991" s="30"/>
    </row>
    <row r="992" spans="1:16" ht="15.75" hidden="1" thickBot="1" x14ac:dyDescent="0.3">
      <c r="A992" s="1" t="str">
        <f>VLOOKUP(Table2[[#This Row],[Prod Line ]],Lists!A:E,5,0)</f>
        <v>c</v>
      </c>
      <c r="B992" s="21">
        <v>44303</v>
      </c>
      <c r="C992" s="21">
        <v>44302</v>
      </c>
      <c r="D992" s="21" t="s">
        <v>60</v>
      </c>
      <c r="E992" s="25" t="s">
        <v>404</v>
      </c>
      <c r="F992" s="21"/>
      <c r="G992" s="25">
        <v>15</v>
      </c>
      <c r="H992" s="21"/>
      <c r="I992" s="22" t="s">
        <v>1</v>
      </c>
      <c r="J992" s="22" t="s">
        <v>64</v>
      </c>
      <c r="K992" s="22" t="s">
        <v>379</v>
      </c>
      <c r="L992" s="22" t="s">
        <v>72</v>
      </c>
      <c r="M992" s="26" t="s">
        <v>1119</v>
      </c>
      <c r="N992" s="27"/>
      <c r="O992" s="22"/>
      <c r="P992" s="22"/>
    </row>
    <row r="993" spans="1:16" hidden="1" x14ac:dyDescent="0.25">
      <c r="A993" s="1" t="str">
        <f>VLOOKUP(Table2[[#This Row],[Prod Line ]],Lists!A:E,5,0)</f>
        <v>a</v>
      </c>
      <c r="B993" s="1">
        <v>44305</v>
      </c>
      <c r="C993" s="1">
        <v>44303</v>
      </c>
      <c r="D993" s="1" t="s">
        <v>56</v>
      </c>
      <c r="E993" s="2" t="s">
        <v>404</v>
      </c>
      <c r="F993" s="1"/>
      <c r="G993" s="2">
        <v>5</v>
      </c>
      <c r="H993" s="1"/>
      <c r="I993" t="s">
        <v>1</v>
      </c>
      <c r="J993" t="s">
        <v>64</v>
      </c>
      <c r="K993" t="s">
        <v>363</v>
      </c>
      <c r="L993" t="s">
        <v>407</v>
      </c>
      <c r="M993" s="3" t="s">
        <v>750</v>
      </c>
    </row>
    <row r="994" spans="1:16" hidden="1" x14ac:dyDescent="0.25">
      <c r="A994" s="1" t="str">
        <f>VLOOKUP(Table2[[#This Row],[Prod Line ]],Lists!A:E,5,0)</f>
        <v>a</v>
      </c>
      <c r="B994" s="1">
        <v>44305</v>
      </c>
      <c r="C994" s="1">
        <v>44303</v>
      </c>
      <c r="D994" s="1" t="s">
        <v>56</v>
      </c>
      <c r="E994" s="2" t="s">
        <v>404</v>
      </c>
      <c r="F994" s="1"/>
      <c r="G994" s="2">
        <v>17</v>
      </c>
      <c r="H994" s="1"/>
      <c r="I994" t="s">
        <v>0</v>
      </c>
      <c r="J994" t="s">
        <v>65</v>
      </c>
      <c r="K994" t="s">
        <v>3</v>
      </c>
      <c r="L994" t="s">
        <v>69</v>
      </c>
      <c r="M994" s="3" t="s">
        <v>1120</v>
      </c>
      <c r="N994" s="20" t="s">
        <v>1140</v>
      </c>
    </row>
    <row r="995" spans="1:16" hidden="1" x14ac:dyDescent="0.25">
      <c r="A995" s="1" t="str">
        <f>VLOOKUP(Table2[[#This Row],[Prod Line ]],Lists!A:E,5,0)</f>
        <v>b</v>
      </c>
      <c r="B995" s="1">
        <v>44305</v>
      </c>
      <c r="C995" s="1">
        <v>44303</v>
      </c>
      <c r="D995" s="1" t="s">
        <v>58</v>
      </c>
      <c r="E995" s="2" t="s">
        <v>404</v>
      </c>
      <c r="F995" s="1"/>
      <c r="G995" s="2">
        <v>6</v>
      </c>
      <c r="H995" s="1"/>
      <c r="I995" t="s">
        <v>0</v>
      </c>
      <c r="J995" t="s">
        <v>64</v>
      </c>
      <c r="K995" t="s">
        <v>20</v>
      </c>
      <c r="L995" t="s">
        <v>69</v>
      </c>
      <c r="M995" s="3" t="s">
        <v>1121</v>
      </c>
    </row>
    <row r="996" spans="1:16" hidden="1" x14ac:dyDescent="0.25">
      <c r="A996" s="1" t="str">
        <f>VLOOKUP(Table2[[#This Row],[Prod Line ]],Lists!A:E,5,0)</f>
        <v>b</v>
      </c>
      <c r="B996" s="1">
        <v>44305</v>
      </c>
      <c r="C996" s="1">
        <v>44303</v>
      </c>
      <c r="D996" s="1" t="s">
        <v>58</v>
      </c>
      <c r="E996" s="2" t="s">
        <v>404</v>
      </c>
      <c r="F996" s="1"/>
      <c r="G996" s="2">
        <v>2</v>
      </c>
      <c r="H996" s="1"/>
      <c r="I996" t="s">
        <v>1</v>
      </c>
      <c r="J996" t="s">
        <v>2</v>
      </c>
      <c r="K996" t="s">
        <v>19</v>
      </c>
      <c r="L996" t="s">
        <v>349</v>
      </c>
      <c r="M996" s="3" t="s">
        <v>575</v>
      </c>
    </row>
    <row r="997" spans="1:16" hidden="1" x14ac:dyDescent="0.25">
      <c r="A997" s="1" t="str">
        <f>VLOOKUP(Table2[[#This Row],[Prod Line ]],Lists!A:E,5,0)</f>
        <v>c</v>
      </c>
      <c r="B997" s="1">
        <v>44305</v>
      </c>
      <c r="C997" s="1">
        <v>44303</v>
      </c>
      <c r="D997" s="1" t="s">
        <v>60</v>
      </c>
      <c r="E997" s="2" t="s">
        <v>404</v>
      </c>
      <c r="F997" s="1"/>
      <c r="G997" s="2">
        <v>48</v>
      </c>
      <c r="H997" s="1"/>
      <c r="I997" t="s">
        <v>1</v>
      </c>
      <c r="J997" t="s">
        <v>2</v>
      </c>
      <c r="K997" t="s">
        <v>378</v>
      </c>
      <c r="L997" t="s">
        <v>349</v>
      </c>
      <c r="M997" s="3" t="s">
        <v>1122</v>
      </c>
    </row>
    <row r="998" spans="1:16" hidden="1" x14ac:dyDescent="0.25">
      <c r="A998" s="1" t="str">
        <f>VLOOKUP(Table2[[#This Row],[Prod Line ]],Lists!A:E,5,0)</f>
        <v>c</v>
      </c>
      <c r="B998" s="1">
        <v>44305</v>
      </c>
      <c r="C998" s="1">
        <v>44303</v>
      </c>
      <c r="D998" s="1" t="s">
        <v>60</v>
      </c>
      <c r="E998" s="2" t="s">
        <v>405</v>
      </c>
      <c r="F998" s="1"/>
      <c r="G998" s="2">
        <v>10</v>
      </c>
      <c r="H998" s="1"/>
      <c r="I998" t="s">
        <v>1</v>
      </c>
      <c r="J998" t="s">
        <v>64</v>
      </c>
      <c r="K998" t="s">
        <v>379</v>
      </c>
      <c r="L998" t="s">
        <v>407</v>
      </c>
      <c r="M998" s="3" t="s">
        <v>1042</v>
      </c>
    </row>
    <row r="999" spans="1:16" hidden="1" x14ac:dyDescent="0.25">
      <c r="A999" s="1" t="str">
        <f>VLOOKUP(Table2[[#This Row],[Prod Line ]],Lists!A:E,5,0)</f>
        <v>c</v>
      </c>
      <c r="B999" s="1">
        <v>44305</v>
      </c>
      <c r="C999" s="1">
        <v>44303</v>
      </c>
      <c r="D999" s="1" t="s">
        <v>60</v>
      </c>
      <c r="E999" s="2" t="s">
        <v>405</v>
      </c>
      <c r="F999" s="1"/>
      <c r="G999" s="2">
        <v>6</v>
      </c>
      <c r="H999" s="1"/>
      <c r="I999" t="s">
        <v>1</v>
      </c>
      <c r="J999" t="s">
        <v>2</v>
      </c>
      <c r="K999" t="s">
        <v>378</v>
      </c>
      <c r="L999" t="s">
        <v>72</v>
      </c>
      <c r="M999" s="3" t="s">
        <v>1123</v>
      </c>
    </row>
    <row r="1000" spans="1:16" hidden="1" x14ac:dyDescent="0.25">
      <c r="A1000" s="1" t="str">
        <f>VLOOKUP(Table2[[#This Row],[Prod Line ]],Lists!A:E,5,0)</f>
        <v>c</v>
      </c>
      <c r="B1000" s="1">
        <v>44305</v>
      </c>
      <c r="C1000" s="1">
        <v>44303</v>
      </c>
      <c r="D1000" s="1" t="s">
        <v>60</v>
      </c>
      <c r="E1000" s="2" t="s">
        <v>405</v>
      </c>
      <c r="F1000" s="1"/>
      <c r="G1000" s="2">
        <v>10</v>
      </c>
      <c r="H1000" s="1"/>
      <c r="I1000" t="s">
        <v>1</v>
      </c>
      <c r="J1000" t="s">
        <v>64</v>
      </c>
      <c r="K1000" t="s">
        <v>381</v>
      </c>
      <c r="L1000" t="s">
        <v>441</v>
      </c>
      <c r="M1000" s="3" t="s">
        <v>612</v>
      </c>
    </row>
    <row r="1001" spans="1:16" s="22" customFormat="1" ht="15.75" hidden="1" thickBot="1" x14ac:dyDescent="0.3">
      <c r="A1001" s="1" t="str">
        <f>VLOOKUP(Table2[[#This Row],[Prod Line ]],Lists!A:E,5,0)</f>
        <v>c</v>
      </c>
      <c r="B1001" s="1">
        <v>44305</v>
      </c>
      <c r="C1001" s="1">
        <v>44303</v>
      </c>
      <c r="D1001" s="1" t="s">
        <v>60</v>
      </c>
      <c r="E1001" s="2" t="s">
        <v>405</v>
      </c>
      <c r="F1001" s="1"/>
      <c r="G1001" s="2">
        <v>20</v>
      </c>
      <c r="H1001" s="1"/>
      <c r="I1001" t="s">
        <v>1</v>
      </c>
      <c r="J1001" t="s">
        <v>64</v>
      </c>
      <c r="K1001" t="s">
        <v>381</v>
      </c>
      <c r="L1001" t="s">
        <v>407</v>
      </c>
      <c r="M1001" s="3" t="s">
        <v>1124</v>
      </c>
      <c r="N1001" s="20"/>
      <c r="O1001"/>
      <c r="P1001"/>
    </row>
    <row r="1002" spans="1:16" ht="15.75" hidden="1" thickBot="1" x14ac:dyDescent="0.3">
      <c r="A1002" s="1" t="str">
        <f>VLOOKUP(Table2[[#This Row],[Prod Line ]],Lists!A:E,5,0)</f>
        <v>d</v>
      </c>
      <c r="B1002" s="21">
        <v>44305</v>
      </c>
      <c r="C1002" s="21">
        <v>44303</v>
      </c>
      <c r="D1002" s="21" t="s">
        <v>62</v>
      </c>
      <c r="E1002" s="25" t="s">
        <v>406</v>
      </c>
      <c r="F1002" s="21"/>
      <c r="G1002" s="25">
        <v>5</v>
      </c>
      <c r="H1002" s="21"/>
      <c r="I1002" s="22" t="s">
        <v>0</v>
      </c>
      <c r="J1002" s="22" t="s">
        <v>5</v>
      </c>
      <c r="K1002" s="22" t="s">
        <v>397</v>
      </c>
      <c r="L1002" s="22" t="s">
        <v>69</v>
      </c>
      <c r="M1002" s="26" t="s">
        <v>572</v>
      </c>
      <c r="N1002" s="27" t="s">
        <v>1141</v>
      </c>
      <c r="O1002" s="22"/>
      <c r="P1002" s="22"/>
    </row>
    <row r="1003" spans="1:16" hidden="1" x14ac:dyDescent="0.25">
      <c r="A1003" s="1" t="str">
        <f>VLOOKUP(Table2[[#This Row],[Prod Line ]],Lists!A:E,5,0)</f>
        <v>c</v>
      </c>
      <c r="B1003" s="1">
        <v>44306</v>
      </c>
      <c r="C1003" s="1">
        <v>44304</v>
      </c>
      <c r="D1003" s="1" t="s">
        <v>60</v>
      </c>
      <c r="E1003" s="2" t="s">
        <v>404</v>
      </c>
      <c r="F1003" s="1"/>
      <c r="G1003" s="2">
        <v>10</v>
      </c>
      <c r="H1003" s="1"/>
      <c r="I1003" t="s">
        <v>1</v>
      </c>
      <c r="J1003" t="s">
        <v>64</v>
      </c>
      <c r="K1003" t="s">
        <v>379</v>
      </c>
      <c r="L1003" t="s">
        <v>407</v>
      </c>
      <c r="M1003" s="3" t="s">
        <v>1000</v>
      </c>
    </row>
    <row r="1004" spans="1:16" hidden="1" x14ac:dyDescent="0.25">
      <c r="A1004" s="1" t="str">
        <f>VLOOKUP(Table2[[#This Row],[Prod Line ]],Lists!A:E,5,0)</f>
        <v>c</v>
      </c>
      <c r="B1004" s="1">
        <v>44306</v>
      </c>
      <c r="C1004" s="1">
        <v>44304</v>
      </c>
      <c r="D1004" s="1" t="s">
        <v>60</v>
      </c>
      <c r="E1004" s="2" t="s">
        <v>404</v>
      </c>
      <c r="F1004" s="1"/>
      <c r="G1004" s="2">
        <v>8</v>
      </c>
      <c r="H1004" s="1"/>
      <c r="I1004" t="s">
        <v>1</v>
      </c>
      <c r="J1004" t="s">
        <v>64</v>
      </c>
      <c r="K1004" t="s">
        <v>379</v>
      </c>
      <c r="L1004" t="s">
        <v>407</v>
      </c>
      <c r="M1004" s="3" t="s">
        <v>833</v>
      </c>
    </row>
    <row r="1005" spans="1:16" hidden="1" x14ac:dyDescent="0.25">
      <c r="A1005" s="1" t="str">
        <f>VLOOKUP(Table2[[#This Row],[Prod Line ]],Lists!A:E,5,0)</f>
        <v>d</v>
      </c>
      <c r="B1005" s="1">
        <v>44306</v>
      </c>
      <c r="C1005" s="1">
        <v>44304</v>
      </c>
      <c r="D1005" s="1" t="s">
        <v>62</v>
      </c>
      <c r="E1005" s="2" t="s">
        <v>406</v>
      </c>
      <c r="F1005" s="1"/>
      <c r="G1005" s="2">
        <v>22</v>
      </c>
      <c r="H1005" s="1"/>
      <c r="I1005" t="s">
        <v>1</v>
      </c>
      <c r="J1005" t="s">
        <v>5</v>
      </c>
      <c r="K1005" t="s">
        <v>397</v>
      </c>
      <c r="L1005" t="s">
        <v>407</v>
      </c>
      <c r="M1005" s="3" t="s">
        <v>1125</v>
      </c>
    </row>
    <row r="1006" spans="1:16" hidden="1" x14ac:dyDescent="0.25">
      <c r="A1006" s="1" t="str">
        <f>VLOOKUP(Table2[[#This Row],[Prod Line ]],Lists!A:E,5,0)</f>
        <v>d</v>
      </c>
      <c r="B1006" s="1">
        <v>44306</v>
      </c>
      <c r="C1006" s="1">
        <v>44304</v>
      </c>
      <c r="D1006" s="1" t="s">
        <v>62</v>
      </c>
      <c r="E1006" s="2" t="s">
        <v>406</v>
      </c>
      <c r="F1006" s="1"/>
      <c r="G1006" s="2">
        <v>10</v>
      </c>
      <c r="H1006" s="1"/>
      <c r="I1006" t="s">
        <v>1</v>
      </c>
      <c r="J1006" t="s">
        <v>5</v>
      </c>
      <c r="K1006" t="s">
        <v>397</v>
      </c>
      <c r="L1006" t="s">
        <v>407</v>
      </c>
      <c r="M1006" s="3" t="s">
        <v>1126</v>
      </c>
    </row>
    <row r="1007" spans="1:16" hidden="1" x14ac:dyDescent="0.25">
      <c r="A1007" s="1" t="str">
        <f>VLOOKUP(Table2[[#This Row],[Prod Line ]],Lists!A:E,5,0)</f>
        <v>d</v>
      </c>
      <c r="B1007" s="1">
        <v>44306</v>
      </c>
      <c r="C1007" s="1">
        <v>44304</v>
      </c>
      <c r="D1007" s="1" t="s">
        <v>62</v>
      </c>
      <c r="E1007" s="2" t="s">
        <v>405</v>
      </c>
      <c r="F1007" s="1"/>
      <c r="G1007" s="2">
        <v>5</v>
      </c>
      <c r="H1007" s="1"/>
      <c r="I1007" t="s">
        <v>1</v>
      </c>
      <c r="J1007" t="s">
        <v>2</v>
      </c>
      <c r="K1007" t="s">
        <v>19</v>
      </c>
      <c r="L1007" t="s">
        <v>349</v>
      </c>
      <c r="M1007" s="3" t="s">
        <v>1127</v>
      </c>
    </row>
    <row r="1008" spans="1:16" s="30" customFormat="1" hidden="1" x14ac:dyDescent="0.25">
      <c r="A1008" s="1" t="str">
        <f>VLOOKUP(Table2[[#This Row],[Prod Line ]],Lists!A:E,5,0)</f>
        <v>b</v>
      </c>
      <c r="B1008" s="1">
        <v>44306</v>
      </c>
      <c r="C1008" s="1">
        <v>44304</v>
      </c>
      <c r="D1008" s="1" t="s">
        <v>58</v>
      </c>
      <c r="E1008" s="2" t="s">
        <v>404</v>
      </c>
      <c r="F1008" s="1"/>
      <c r="G1008" s="2">
        <v>13</v>
      </c>
      <c r="H1008" s="1" t="s">
        <v>1</v>
      </c>
      <c r="I1008" t="s">
        <v>1</v>
      </c>
      <c r="J1008" t="s">
        <v>5</v>
      </c>
      <c r="K1008" t="s">
        <v>37</v>
      </c>
      <c r="L1008" t="s">
        <v>407</v>
      </c>
      <c r="M1008" s="3" t="s">
        <v>1129</v>
      </c>
      <c r="N1008" s="20"/>
      <c r="O1008"/>
      <c r="P1008"/>
    </row>
    <row r="1009" spans="1:16" s="22" customFormat="1" ht="15.75" hidden="1" thickBot="1" x14ac:dyDescent="0.3">
      <c r="A1009" s="1" t="str">
        <f>VLOOKUP(Table2[[#This Row],[Prod Line ]],Lists!A:E,5,0)</f>
        <v>b</v>
      </c>
      <c r="B1009" s="28">
        <v>44306</v>
      </c>
      <c r="C1009" s="28">
        <v>44305</v>
      </c>
      <c r="D1009" s="28" t="s">
        <v>58</v>
      </c>
      <c r="E1009" s="29" t="s">
        <v>404</v>
      </c>
      <c r="F1009" s="28"/>
      <c r="G1009" s="29">
        <v>16</v>
      </c>
      <c r="H1009" s="28" t="s">
        <v>1</v>
      </c>
      <c r="I1009" s="30" t="s">
        <v>1</v>
      </c>
      <c r="J1009" s="30" t="s">
        <v>5</v>
      </c>
      <c r="K1009" s="30" t="s">
        <v>38</v>
      </c>
      <c r="L1009" s="30" t="s">
        <v>407</v>
      </c>
      <c r="M1009" s="31" t="s">
        <v>1128</v>
      </c>
      <c r="N1009" s="32"/>
      <c r="O1009" s="30"/>
      <c r="P1009" s="30"/>
    </row>
    <row r="1010" spans="1:16" ht="15.75" hidden="1" thickBot="1" x14ac:dyDescent="0.3">
      <c r="A1010" s="1" t="str">
        <f>VLOOKUP(Table2[[#This Row],[Prod Line ]],Lists!A:E,5,0)</f>
        <v>c</v>
      </c>
      <c r="B1010" s="21">
        <v>44306</v>
      </c>
      <c r="C1010" s="21">
        <v>44305</v>
      </c>
      <c r="D1010" s="21" t="s">
        <v>60</v>
      </c>
      <c r="E1010" s="25" t="s">
        <v>404</v>
      </c>
      <c r="F1010" s="21"/>
      <c r="G1010" s="25">
        <v>7</v>
      </c>
      <c r="H1010" s="21"/>
      <c r="I1010" s="22" t="s">
        <v>1</v>
      </c>
      <c r="J1010" s="22" t="s">
        <v>2</v>
      </c>
      <c r="K1010" s="22" t="s">
        <v>378</v>
      </c>
      <c r="L1010" s="22" t="s">
        <v>349</v>
      </c>
      <c r="M1010" s="26" t="s">
        <v>575</v>
      </c>
      <c r="N1010" s="27"/>
      <c r="O1010" s="22"/>
      <c r="P1010" s="22"/>
    </row>
    <row r="1011" spans="1:16" hidden="1" x14ac:dyDescent="0.25">
      <c r="A1011" s="1" t="str">
        <f>VLOOKUP(Table2[[#This Row],[Prod Line ]],Lists!A:E,5,0)</f>
        <v>c</v>
      </c>
      <c r="B1011" s="1">
        <v>44308</v>
      </c>
      <c r="C1011" s="1">
        <v>44306</v>
      </c>
      <c r="D1011" s="1" t="s">
        <v>60</v>
      </c>
      <c r="E1011" s="2" t="s">
        <v>404</v>
      </c>
      <c r="F1011" s="1"/>
      <c r="G1011" s="2">
        <v>35</v>
      </c>
      <c r="H1011" s="1"/>
      <c r="I1011" t="s">
        <v>1</v>
      </c>
      <c r="J1011" t="s">
        <v>64</v>
      </c>
      <c r="K1011" t="s">
        <v>368</v>
      </c>
      <c r="L1011" t="s">
        <v>407</v>
      </c>
      <c r="M1011" s="3" t="s">
        <v>1130</v>
      </c>
    </row>
    <row r="1012" spans="1:16" hidden="1" x14ac:dyDescent="0.25">
      <c r="A1012" s="1" t="str">
        <f>VLOOKUP(Table2[[#This Row],[Prod Line ]],Lists!A:E,5,0)</f>
        <v>d</v>
      </c>
      <c r="B1012" s="1">
        <v>44308</v>
      </c>
      <c r="C1012" s="1">
        <v>44306</v>
      </c>
      <c r="D1012" s="1" t="s">
        <v>62</v>
      </c>
      <c r="E1012" s="2" t="s">
        <v>406</v>
      </c>
      <c r="F1012" s="1"/>
      <c r="G1012" s="2">
        <v>17</v>
      </c>
      <c r="H1012" s="1"/>
      <c r="I1012" t="s">
        <v>1</v>
      </c>
      <c r="J1012" t="s">
        <v>2</v>
      </c>
      <c r="K1012" t="s">
        <v>19</v>
      </c>
      <c r="L1012" t="s">
        <v>407</v>
      </c>
      <c r="M1012" s="3" t="s">
        <v>1131</v>
      </c>
    </row>
    <row r="1013" spans="1:16" hidden="1" x14ac:dyDescent="0.25">
      <c r="A1013" s="1" t="str">
        <f>VLOOKUP(Table2[[#This Row],[Prod Line ]],Lists!A:E,5,0)</f>
        <v>a</v>
      </c>
      <c r="B1013" s="1">
        <v>44308</v>
      </c>
      <c r="C1013" s="1">
        <v>44306</v>
      </c>
      <c r="D1013" s="1" t="s">
        <v>56</v>
      </c>
      <c r="E1013" s="2" t="s">
        <v>404</v>
      </c>
      <c r="F1013" s="1"/>
      <c r="G1013" s="2">
        <v>17</v>
      </c>
      <c r="H1013" s="1"/>
      <c r="I1013" t="s">
        <v>0</v>
      </c>
      <c r="J1013" t="s">
        <v>64</v>
      </c>
      <c r="K1013" t="s">
        <v>365</v>
      </c>
      <c r="L1013" t="s">
        <v>70</v>
      </c>
      <c r="M1013" s="3" t="s">
        <v>1132</v>
      </c>
    </row>
    <row r="1014" spans="1:16" hidden="1" x14ac:dyDescent="0.25">
      <c r="A1014" s="1" t="str">
        <f>VLOOKUP(Table2[[#This Row],[Prod Line ]],Lists!A:E,5,0)</f>
        <v>a</v>
      </c>
      <c r="B1014" s="1">
        <v>44308</v>
      </c>
      <c r="C1014" s="1">
        <v>44306</v>
      </c>
      <c r="D1014" s="1" t="s">
        <v>56</v>
      </c>
      <c r="E1014" s="2" t="s">
        <v>404</v>
      </c>
      <c r="F1014" s="1"/>
      <c r="G1014" s="2">
        <v>6</v>
      </c>
      <c r="H1014" s="1"/>
      <c r="I1014" t="s">
        <v>0</v>
      </c>
      <c r="J1014" t="s">
        <v>64</v>
      </c>
      <c r="K1014" t="s">
        <v>366</v>
      </c>
      <c r="L1014" t="s">
        <v>69</v>
      </c>
      <c r="M1014" s="3" t="s">
        <v>1133</v>
      </c>
    </row>
    <row r="1015" spans="1:16" hidden="1" x14ac:dyDescent="0.25">
      <c r="A1015" s="1" t="str">
        <f>VLOOKUP(Table2[[#This Row],[Prod Line ]],Lists!A:E,5,0)</f>
        <v>b</v>
      </c>
      <c r="B1015" s="1">
        <v>44308</v>
      </c>
      <c r="C1015" s="1">
        <v>44306</v>
      </c>
      <c r="D1015" s="1" t="s">
        <v>58</v>
      </c>
      <c r="E1015" s="2" t="s">
        <v>406</v>
      </c>
      <c r="F1015" s="1"/>
      <c r="G1015" s="2">
        <v>5</v>
      </c>
      <c r="H1015" s="1"/>
      <c r="I1015" t="s">
        <v>0</v>
      </c>
      <c r="J1015" t="s">
        <v>64</v>
      </c>
      <c r="K1015" t="s">
        <v>20</v>
      </c>
      <c r="L1015" t="s">
        <v>70</v>
      </c>
      <c r="M1015" s="3" t="s">
        <v>555</v>
      </c>
      <c r="N1015" s="20" t="s">
        <v>1167</v>
      </c>
    </row>
    <row r="1016" spans="1:16" s="22" customFormat="1" ht="15.75" hidden="1" thickBot="1" x14ac:dyDescent="0.3">
      <c r="A1016" s="1" t="str">
        <f>VLOOKUP(Table2[[#This Row],[Prod Line ]],Lists!A:E,5,0)</f>
        <v>b</v>
      </c>
      <c r="B1016" s="1">
        <v>44308</v>
      </c>
      <c r="C1016" s="1">
        <v>44306</v>
      </c>
      <c r="D1016" s="1" t="s">
        <v>58</v>
      </c>
      <c r="E1016" s="2" t="s">
        <v>406</v>
      </c>
      <c r="F1016" s="1"/>
      <c r="G1016" s="2">
        <v>6</v>
      </c>
      <c r="H1016" s="1"/>
      <c r="I1016" t="s">
        <v>1</v>
      </c>
      <c r="J1016" t="s">
        <v>5</v>
      </c>
      <c r="K1016" t="s">
        <v>37</v>
      </c>
      <c r="L1016" t="s">
        <v>407</v>
      </c>
      <c r="M1016" s="3" t="s">
        <v>790</v>
      </c>
      <c r="N1016" s="20"/>
      <c r="O1016"/>
      <c r="P1016"/>
    </row>
    <row r="1017" spans="1:16" ht="15.75" hidden="1" thickBot="1" x14ac:dyDescent="0.3">
      <c r="A1017" s="1" t="str">
        <f>VLOOKUP(Table2[[#This Row],[Prod Line ]],Lists!A:E,5,0)</f>
        <v>b</v>
      </c>
      <c r="B1017" s="21">
        <v>44308</v>
      </c>
      <c r="C1017" s="21">
        <v>44306</v>
      </c>
      <c r="D1017" s="21" t="s">
        <v>58</v>
      </c>
      <c r="E1017" s="25" t="s">
        <v>404</v>
      </c>
      <c r="F1017" s="21"/>
      <c r="G1017" s="25">
        <v>3</v>
      </c>
      <c r="H1017" s="21"/>
      <c r="I1017" s="22" t="s">
        <v>1</v>
      </c>
      <c r="J1017" s="22" t="s">
        <v>2</v>
      </c>
      <c r="K1017" s="22" t="s">
        <v>19</v>
      </c>
      <c r="L1017" s="22" t="s">
        <v>349</v>
      </c>
      <c r="M1017" s="26" t="s">
        <v>575</v>
      </c>
      <c r="N1017" s="27"/>
      <c r="O1017" s="22"/>
      <c r="P1017" s="22"/>
    </row>
    <row r="1018" spans="1:16" hidden="1" x14ac:dyDescent="0.25">
      <c r="A1018" s="1" t="str">
        <f>VLOOKUP(Table2[[#This Row],[Prod Line ]],Lists!A:E,5,0)</f>
        <v>d</v>
      </c>
      <c r="B1018" s="1">
        <v>44309</v>
      </c>
      <c r="C1018" s="1">
        <v>44307</v>
      </c>
      <c r="D1018" s="1" t="s">
        <v>62</v>
      </c>
      <c r="E1018" s="2" t="s">
        <v>404</v>
      </c>
      <c r="F1018" s="1"/>
      <c r="G1018" s="2">
        <v>5</v>
      </c>
      <c r="H1018" s="1"/>
      <c r="I1018" t="s">
        <v>1</v>
      </c>
      <c r="J1018" t="s">
        <v>2</v>
      </c>
      <c r="K1018" t="s">
        <v>19</v>
      </c>
      <c r="L1018" t="s">
        <v>349</v>
      </c>
      <c r="M1018" s="3" t="s">
        <v>575</v>
      </c>
    </row>
    <row r="1019" spans="1:16" hidden="1" x14ac:dyDescent="0.25">
      <c r="A1019" s="1" t="str">
        <f>VLOOKUP(Table2[[#This Row],[Prod Line ]],Lists!A:E,5,0)</f>
        <v>c</v>
      </c>
      <c r="B1019" s="1">
        <v>44309</v>
      </c>
      <c r="C1019" s="1">
        <v>44307</v>
      </c>
      <c r="D1019" s="1" t="s">
        <v>60</v>
      </c>
      <c r="E1019" s="2" t="s">
        <v>404</v>
      </c>
      <c r="F1019" s="1"/>
      <c r="G1019" s="2">
        <v>9</v>
      </c>
      <c r="H1019" s="1"/>
      <c r="I1019" t="s">
        <v>1</v>
      </c>
      <c r="J1019" t="s">
        <v>64</v>
      </c>
      <c r="K1019" t="s">
        <v>380</v>
      </c>
      <c r="L1019" t="s">
        <v>407</v>
      </c>
      <c r="M1019" s="3" t="s">
        <v>1142</v>
      </c>
    </row>
    <row r="1020" spans="1:16" hidden="1" x14ac:dyDescent="0.25">
      <c r="A1020" s="1" t="str">
        <f>VLOOKUP(Table2[[#This Row],[Prod Line ]],Lists!A:E,5,0)</f>
        <v>b</v>
      </c>
      <c r="B1020" s="1">
        <v>44309</v>
      </c>
      <c r="C1020" s="1">
        <v>44307</v>
      </c>
      <c r="D1020" s="1" t="s">
        <v>58</v>
      </c>
      <c r="E1020" s="2" t="s">
        <v>404</v>
      </c>
      <c r="F1020" s="1"/>
      <c r="G1020" s="2">
        <v>4</v>
      </c>
      <c r="H1020" s="1"/>
      <c r="I1020" t="s">
        <v>1</v>
      </c>
      <c r="J1020" t="s">
        <v>64</v>
      </c>
      <c r="K1020" t="s">
        <v>23</v>
      </c>
      <c r="L1020" t="s">
        <v>407</v>
      </c>
      <c r="M1020" s="3" t="s">
        <v>1143</v>
      </c>
    </row>
    <row r="1021" spans="1:16" hidden="1" x14ac:dyDescent="0.25">
      <c r="A1021" s="1" t="str">
        <f>VLOOKUP(Table2[[#This Row],[Prod Line ]],Lists!A:E,5,0)</f>
        <v>b</v>
      </c>
      <c r="B1021" s="1">
        <v>44309</v>
      </c>
      <c r="C1021" s="1">
        <v>44307</v>
      </c>
      <c r="D1021" s="1" t="s">
        <v>58</v>
      </c>
      <c r="E1021" s="2" t="s">
        <v>404</v>
      </c>
      <c r="F1021" s="1"/>
      <c r="G1021" s="2">
        <v>10</v>
      </c>
      <c r="H1021" s="1"/>
      <c r="I1021" t="s">
        <v>1</v>
      </c>
      <c r="J1021" t="s">
        <v>26</v>
      </c>
      <c r="K1021" t="s">
        <v>25</v>
      </c>
      <c r="L1021" t="s">
        <v>407</v>
      </c>
      <c r="M1021" s="3" t="s">
        <v>1144</v>
      </c>
    </row>
    <row r="1022" spans="1:16" hidden="1" x14ac:dyDescent="0.25">
      <c r="A1022" s="1" t="str">
        <f>VLOOKUP(Table2[[#This Row],[Prod Line ]],Lists!A:E,5,0)</f>
        <v>b</v>
      </c>
      <c r="B1022" s="1">
        <v>44309</v>
      </c>
      <c r="C1022" s="1">
        <v>44307</v>
      </c>
      <c r="D1022" s="1" t="s">
        <v>58</v>
      </c>
      <c r="E1022" s="2" t="s">
        <v>405</v>
      </c>
      <c r="F1022" s="1"/>
      <c r="G1022" s="2">
        <v>10</v>
      </c>
      <c r="H1022" s="1"/>
      <c r="I1022" t="s">
        <v>1</v>
      </c>
      <c r="J1022" t="s">
        <v>2</v>
      </c>
      <c r="K1022" t="s">
        <v>19</v>
      </c>
      <c r="L1022" t="s">
        <v>349</v>
      </c>
      <c r="M1022" s="3" t="s">
        <v>575</v>
      </c>
    </row>
    <row r="1023" spans="1:16" s="22" customFormat="1" ht="15.75" hidden="1" thickBot="1" x14ac:dyDescent="0.3">
      <c r="A1023" s="1" t="str">
        <f>VLOOKUP(Table2[[#This Row],[Prod Line ]],Lists!A:E,5,0)</f>
        <v>b</v>
      </c>
      <c r="B1023" s="1">
        <v>44309</v>
      </c>
      <c r="C1023" s="1">
        <v>44307</v>
      </c>
      <c r="D1023" s="1" t="s">
        <v>58</v>
      </c>
      <c r="E1023" s="2" t="s">
        <v>406</v>
      </c>
      <c r="F1023" s="1"/>
      <c r="G1023" s="2">
        <v>4</v>
      </c>
      <c r="H1023" s="1"/>
      <c r="I1023" t="s">
        <v>1</v>
      </c>
      <c r="J1023" t="s">
        <v>2</v>
      </c>
      <c r="K1023" t="s">
        <v>19</v>
      </c>
      <c r="L1023" t="s">
        <v>349</v>
      </c>
      <c r="M1023" s="3" t="s">
        <v>575</v>
      </c>
      <c r="N1023" s="20"/>
      <c r="O1023"/>
      <c r="P1023"/>
    </row>
    <row r="1024" spans="1:16" ht="15.75" hidden="1" thickBot="1" x14ac:dyDescent="0.3">
      <c r="A1024" s="1" t="str">
        <f>VLOOKUP(Table2[[#This Row],[Prod Line ]],Lists!A:E,5,0)</f>
        <v>b</v>
      </c>
      <c r="B1024" s="21">
        <v>44309</v>
      </c>
      <c r="C1024" s="21">
        <v>44307</v>
      </c>
      <c r="D1024" s="21" t="s">
        <v>58</v>
      </c>
      <c r="E1024" s="25" t="s">
        <v>406</v>
      </c>
      <c r="F1024" s="21"/>
      <c r="G1024" s="25">
        <v>6</v>
      </c>
      <c r="H1024" s="21"/>
      <c r="I1024" s="22" t="s">
        <v>1</v>
      </c>
      <c r="J1024" s="22" t="s">
        <v>67</v>
      </c>
      <c r="K1024" s="22" t="s">
        <v>67</v>
      </c>
      <c r="L1024" s="22" t="s">
        <v>344</v>
      </c>
      <c r="M1024" s="26" t="s">
        <v>1145</v>
      </c>
      <c r="N1024" s="27"/>
      <c r="O1024" s="22"/>
      <c r="P1024" s="22"/>
    </row>
    <row r="1025" spans="1:16" hidden="1" x14ac:dyDescent="0.25">
      <c r="A1025" s="1" t="str">
        <f>VLOOKUP(Table2[[#This Row],[Prod Line ]],Lists!A:E,5,0)</f>
        <v>c</v>
      </c>
      <c r="B1025" s="1">
        <v>44310</v>
      </c>
      <c r="C1025" s="1">
        <v>44308</v>
      </c>
      <c r="D1025" s="1" t="s">
        <v>60</v>
      </c>
      <c r="E1025" s="2" t="s">
        <v>405</v>
      </c>
      <c r="F1025" s="1"/>
      <c r="G1025" s="2">
        <v>5</v>
      </c>
      <c r="H1025" s="1"/>
      <c r="I1025" t="s">
        <v>1</v>
      </c>
      <c r="J1025" t="s">
        <v>64</v>
      </c>
      <c r="K1025" t="s">
        <v>381</v>
      </c>
      <c r="L1025" t="s">
        <v>407</v>
      </c>
      <c r="M1025" s="3" t="s">
        <v>1146</v>
      </c>
    </row>
    <row r="1026" spans="1:16" hidden="1" x14ac:dyDescent="0.25">
      <c r="A1026" s="1" t="str">
        <f>VLOOKUP(Table2[[#This Row],[Prod Line ]],Lists!A:E,5,0)</f>
        <v>b</v>
      </c>
      <c r="B1026" s="1">
        <v>44310</v>
      </c>
      <c r="C1026" s="1">
        <v>44308</v>
      </c>
      <c r="D1026" s="1" t="s">
        <v>58</v>
      </c>
      <c r="E1026" s="2" t="s">
        <v>404</v>
      </c>
      <c r="F1026" s="1"/>
      <c r="G1026" s="2">
        <v>10</v>
      </c>
      <c r="H1026" s="1"/>
      <c r="I1026" t="s">
        <v>0</v>
      </c>
      <c r="J1026" t="s">
        <v>64</v>
      </c>
      <c r="K1026" t="s">
        <v>20</v>
      </c>
      <c r="L1026" t="s">
        <v>69</v>
      </c>
      <c r="M1026" s="3" t="s">
        <v>1147</v>
      </c>
      <c r="N1026" s="20" t="s">
        <v>1168</v>
      </c>
    </row>
    <row r="1027" spans="1:16" hidden="1" x14ac:dyDescent="0.25">
      <c r="A1027" s="1" t="str">
        <f>VLOOKUP(Table2[[#This Row],[Prod Line ]],Lists!A:E,5,0)</f>
        <v>b</v>
      </c>
      <c r="B1027" s="1">
        <v>44310</v>
      </c>
      <c r="C1027" s="1">
        <v>44308</v>
      </c>
      <c r="D1027" s="1" t="s">
        <v>58</v>
      </c>
      <c r="E1027" s="2" t="s">
        <v>404</v>
      </c>
      <c r="F1027" s="1"/>
      <c r="G1027" s="2">
        <v>19</v>
      </c>
      <c r="H1027" s="1"/>
      <c r="I1027" t="s">
        <v>1</v>
      </c>
      <c r="J1027" t="s">
        <v>2</v>
      </c>
      <c r="K1027" t="s">
        <v>19</v>
      </c>
      <c r="L1027" t="s">
        <v>349</v>
      </c>
      <c r="M1027" s="3" t="s">
        <v>1148</v>
      </c>
    </row>
    <row r="1028" spans="1:16" hidden="1" x14ac:dyDescent="0.25">
      <c r="A1028" s="1" t="str">
        <f>VLOOKUP(Table2[[#This Row],[Prod Line ]],Lists!A:E,5,0)</f>
        <v>b</v>
      </c>
      <c r="B1028" s="1">
        <v>44310</v>
      </c>
      <c r="C1028" s="1">
        <v>44308</v>
      </c>
      <c r="D1028" s="1" t="s">
        <v>58</v>
      </c>
      <c r="E1028" s="2" t="s">
        <v>405</v>
      </c>
      <c r="F1028" s="1"/>
      <c r="G1028" s="2">
        <v>17</v>
      </c>
      <c r="H1028" s="1" t="s">
        <v>1</v>
      </c>
      <c r="I1028" t="s">
        <v>1</v>
      </c>
      <c r="J1028" t="s">
        <v>65</v>
      </c>
      <c r="K1028" t="s">
        <v>28</v>
      </c>
      <c r="L1028" t="s">
        <v>407</v>
      </c>
      <c r="M1028" s="3" t="s">
        <v>1149</v>
      </c>
    </row>
    <row r="1029" spans="1:16" s="22" customFormat="1" ht="15.75" hidden="1" thickBot="1" x14ac:dyDescent="0.3">
      <c r="A1029" s="1" t="str">
        <f>VLOOKUP(Table2[[#This Row],[Prod Line ]],Lists!A:E,5,0)</f>
        <v>b</v>
      </c>
      <c r="B1029" s="1">
        <v>44310</v>
      </c>
      <c r="C1029" s="1">
        <v>44308</v>
      </c>
      <c r="D1029" s="1" t="s">
        <v>58</v>
      </c>
      <c r="E1029" s="2" t="s">
        <v>406</v>
      </c>
      <c r="F1029" s="1"/>
      <c r="G1029" s="2">
        <v>6</v>
      </c>
      <c r="H1029" s="1"/>
      <c r="I1029" t="s">
        <v>1</v>
      </c>
      <c r="J1029" t="s">
        <v>26</v>
      </c>
      <c r="K1029" t="s">
        <v>25</v>
      </c>
      <c r="L1029" t="s">
        <v>441</v>
      </c>
      <c r="M1029" s="3" t="s">
        <v>671</v>
      </c>
      <c r="N1029" s="20"/>
      <c r="O1029"/>
      <c r="P1029"/>
    </row>
    <row r="1030" spans="1:16" ht="15.75" hidden="1" thickBot="1" x14ac:dyDescent="0.3">
      <c r="A1030" s="1" t="str">
        <f>VLOOKUP(Table2[[#This Row],[Prod Line ]],Lists!A:E,5,0)</f>
        <v>a</v>
      </c>
      <c r="B1030" s="21">
        <v>44310</v>
      </c>
      <c r="C1030" s="21">
        <v>44309</v>
      </c>
      <c r="D1030" s="21" t="s">
        <v>56</v>
      </c>
      <c r="E1030" s="25" t="s">
        <v>404</v>
      </c>
      <c r="F1030" s="21"/>
      <c r="G1030" s="25">
        <v>7</v>
      </c>
      <c r="H1030" s="21"/>
      <c r="I1030" s="22" t="s">
        <v>0</v>
      </c>
      <c r="J1030" s="22" t="s">
        <v>65</v>
      </c>
      <c r="K1030" s="22" t="s">
        <v>67</v>
      </c>
      <c r="L1030" s="22" t="s">
        <v>70</v>
      </c>
      <c r="M1030" s="26" t="s">
        <v>502</v>
      </c>
      <c r="N1030" s="27"/>
      <c r="O1030" s="22"/>
      <c r="P1030" s="22"/>
    </row>
    <row r="1031" spans="1:16" hidden="1" x14ac:dyDescent="0.25">
      <c r="A1031" s="1" t="str">
        <f>VLOOKUP(Table2[[#This Row],[Prod Line ]],Lists!A:E,5,0)</f>
        <v>b</v>
      </c>
      <c r="B1031" s="1">
        <v>44312</v>
      </c>
      <c r="C1031" s="1">
        <v>44310</v>
      </c>
      <c r="D1031" s="1" t="s">
        <v>58</v>
      </c>
      <c r="E1031" s="2" t="s">
        <v>406</v>
      </c>
      <c r="F1031" s="1"/>
      <c r="G1031" s="2">
        <v>7</v>
      </c>
      <c r="H1031" s="1"/>
      <c r="I1031" t="s">
        <v>0</v>
      </c>
      <c r="J1031" t="s">
        <v>64</v>
      </c>
      <c r="K1031" t="s">
        <v>20</v>
      </c>
      <c r="L1031" t="s">
        <v>70</v>
      </c>
      <c r="M1031" s="3" t="s">
        <v>1150</v>
      </c>
      <c r="N1031" s="20" t="s">
        <v>1169</v>
      </c>
    </row>
    <row r="1032" spans="1:16" hidden="1" x14ac:dyDescent="0.25">
      <c r="A1032" s="1" t="str">
        <f>VLOOKUP(Table2[[#This Row],[Prod Line ]],Lists!A:E,5,0)</f>
        <v>b</v>
      </c>
      <c r="B1032" s="1">
        <v>44312</v>
      </c>
      <c r="C1032" s="1">
        <v>44310</v>
      </c>
      <c r="D1032" s="1" t="s">
        <v>58</v>
      </c>
      <c r="E1032" s="2" t="s">
        <v>406</v>
      </c>
      <c r="F1032" s="1"/>
      <c r="G1032" s="2">
        <v>15</v>
      </c>
      <c r="H1032" s="1"/>
      <c r="I1032" t="s">
        <v>1</v>
      </c>
      <c r="J1032" t="s">
        <v>2</v>
      </c>
      <c r="K1032" t="s">
        <v>19</v>
      </c>
      <c r="L1032" t="s">
        <v>349</v>
      </c>
      <c r="M1032" s="3" t="s">
        <v>642</v>
      </c>
    </row>
    <row r="1033" spans="1:16" hidden="1" x14ac:dyDescent="0.25">
      <c r="A1033" s="1" t="str">
        <f>VLOOKUP(Table2[[#This Row],[Prod Line ]],Lists!A:E,5,0)</f>
        <v>b</v>
      </c>
      <c r="B1033" s="1">
        <v>44312</v>
      </c>
      <c r="C1033" s="1">
        <v>44310</v>
      </c>
      <c r="D1033" s="1" t="s">
        <v>58</v>
      </c>
      <c r="E1033" s="2" t="s">
        <v>406</v>
      </c>
      <c r="F1033" s="1"/>
      <c r="G1033" s="2">
        <v>5</v>
      </c>
      <c r="H1033" s="1"/>
      <c r="I1033" t="s">
        <v>1</v>
      </c>
      <c r="J1033" t="s">
        <v>64</v>
      </c>
      <c r="K1033" t="s">
        <v>21</v>
      </c>
      <c r="L1033" t="s">
        <v>72</v>
      </c>
      <c r="M1033" s="3" t="s">
        <v>1151</v>
      </c>
    </row>
    <row r="1034" spans="1:16" s="22" customFormat="1" ht="30.75" hidden="1" thickBot="1" x14ac:dyDescent="0.3">
      <c r="A1034" s="1" t="str">
        <f>VLOOKUP(Table2[[#This Row],[Prod Line ]],Lists!A:E,5,0)</f>
        <v>a</v>
      </c>
      <c r="B1034" s="1">
        <v>44312</v>
      </c>
      <c r="C1034" s="1">
        <v>44310</v>
      </c>
      <c r="D1034" s="1" t="s">
        <v>56</v>
      </c>
      <c r="E1034" s="2" t="s">
        <v>404</v>
      </c>
      <c r="F1034" s="1"/>
      <c r="G1034" s="2">
        <v>11</v>
      </c>
      <c r="H1034" s="1"/>
      <c r="I1034" t="s">
        <v>0</v>
      </c>
      <c r="J1034" t="s">
        <v>64</v>
      </c>
      <c r="K1034" t="s">
        <v>363</v>
      </c>
      <c r="L1034" t="s">
        <v>70</v>
      </c>
      <c r="M1034" s="3" t="s">
        <v>1159</v>
      </c>
      <c r="N1034" s="20" t="s">
        <v>1170</v>
      </c>
      <c r="O1034"/>
      <c r="P1034"/>
    </row>
    <row r="1035" spans="1:16" ht="15.75" hidden="1" thickBot="1" x14ac:dyDescent="0.3">
      <c r="A1035" s="1" t="str">
        <f>VLOOKUP(Table2[[#This Row],[Prod Line ]],Lists!A:E,5,0)</f>
        <v>a</v>
      </c>
      <c r="B1035" s="21">
        <v>44312</v>
      </c>
      <c r="C1035" s="21">
        <v>44310</v>
      </c>
      <c r="D1035" s="21" t="s">
        <v>56</v>
      </c>
      <c r="E1035" s="25" t="s">
        <v>404</v>
      </c>
      <c r="F1035" s="21"/>
      <c r="G1035" s="25">
        <v>18</v>
      </c>
      <c r="H1035" s="21"/>
      <c r="I1035" s="22" t="s">
        <v>1</v>
      </c>
      <c r="J1035" s="22" t="s">
        <v>64</v>
      </c>
      <c r="K1035" s="22" t="s">
        <v>363</v>
      </c>
      <c r="L1035" s="22" t="s">
        <v>350</v>
      </c>
      <c r="M1035" s="26" t="s">
        <v>1160</v>
      </c>
      <c r="N1035" s="27"/>
      <c r="O1035" s="22"/>
      <c r="P1035" s="22"/>
    </row>
    <row r="1036" spans="1:16" hidden="1" x14ac:dyDescent="0.25">
      <c r="A1036" s="1" t="str">
        <f>VLOOKUP(Table2[[#This Row],[Prod Line ]],Lists!A:E,5,0)</f>
        <v>a</v>
      </c>
      <c r="B1036" s="1">
        <v>44313</v>
      </c>
      <c r="C1036" s="1">
        <v>44311</v>
      </c>
      <c r="D1036" s="1" t="s">
        <v>56</v>
      </c>
      <c r="E1036" s="2" t="s">
        <v>404</v>
      </c>
      <c r="F1036" s="1"/>
      <c r="G1036" s="2">
        <v>14</v>
      </c>
      <c r="H1036" s="1"/>
      <c r="I1036" t="s">
        <v>1</v>
      </c>
      <c r="J1036" t="s">
        <v>64</v>
      </c>
      <c r="K1036" t="s">
        <v>370</v>
      </c>
      <c r="L1036" t="s">
        <v>407</v>
      </c>
      <c r="M1036" s="3" t="s">
        <v>1162</v>
      </c>
    </row>
    <row r="1037" spans="1:16" hidden="1" x14ac:dyDescent="0.25">
      <c r="A1037" s="1" t="str">
        <f>VLOOKUP(Table2[[#This Row],[Prod Line ]],Lists!A:E,5,0)</f>
        <v>a</v>
      </c>
      <c r="B1037" s="1">
        <v>44313</v>
      </c>
      <c r="C1037" s="1">
        <v>44311</v>
      </c>
      <c r="D1037" s="1" t="s">
        <v>56</v>
      </c>
      <c r="E1037" s="2" t="s">
        <v>404</v>
      </c>
      <c r="F1037" s="1"/>
      <c r="G1037" s="2">
        <v>3</v>
      </c>
      <c r="H1037" s="1"/>
      <c r="I1037" t="s">
        <v>1</v>
      </c>
      <c r="J1037" t="s">
        <v>64</v>
      </c>
      <c r="K1037" t="s">
        <v>367</v>
      </c>
      <c r="L1037" t="s">
        <v>350</v>
      </c>
      <c r="M1037" s="3" t="s">
        <v>1058</v>
      </c>
    </row>
    <row r="1038" spans="1:16" hidden="1" x14ac:dyDescent="0.25">
      <c r="A1038" s="1" t="str">
        <f>VLOOKUP(Table2[[#This Row],[Prod Line ]],Lists!A:E,5,0)</f>
        <v>a</v>
      </c>
      <c r="B1038" s="1">
        <v>44313</v>
      </c>
      <c r="C1038" s="1">
        <v>44311</v>
      </c>
      <c r="D1038" s="1" t="s">
        <v>56</v>
      </c>
      <c r="E1038" s="2" t="s">
        <v>405</v>
      </c>
      <c r="F1038" s="1"/>
      <c r="G1038" s="2">
        <v>10</v>
      </c>
      <c r="H1038" s="1"/>
      <c r="I1038" t="s">
        <v>1</v>
      </c>
      <c r="J1038" t="s">
        <v>64</v>
      </c>
      <c r="K1038" t="s">
        <v>370</v>
      </c>
      <c r="L1038" t="s">
        <v>407</v>
      </c>
      <c r="M1038" s="3" t="s">
        <v>967</v>
      </c>
    </row>
    <row r="1039" spans="1:16" hidden="1" x14ac:dyDescent="0.25">
      <c r="A1039" s="1" t="str">
        <f>VLOOKUP(Table2[[#This Row],[Prod Line ]],Lists!A:E,5,0)</f>
        <v>d</v>
      </c>
      <c r="B1039" s="1">
        <v>44313</v>
      </c>
      <c r="C1039" s="1">
        <v>44311</v>
      </c>
      <c r="D1039" s="1" t="s">
        <v>62</v>
      </c>
      <c r="E1039" s="2" t="s">
        <v>406</v>
      </c>
      <c r="F1039" s="1"/>
      <c r="G1039" s="2">
        <v>18</v>
      </c>
      <c r="H1039" s="1"/>
      <c r="I1039" t="s">
        <v>1</v>
      </c>
      <c r="J1039" t="s">
        <v>2</v>
      </c>
      <c r="K1039" t="s">
        <v>19</v>
      </c>
      <c r="L1039" t="s">
        <v>407</v>
      </c>
      <c r="M1039" s="3" t="s">
        <v>1161</v>
      </c>
    </row>
    <row r="1040" spans="1:16" hidden="1" x14ac:dyDescent="0.25">
      <c r="A1040" s="1" t="str">
        <f>VLOOKUP(Table2[[#This Row],[Prod Line ]],Lists!A:E,5,0)</f>
        <v>b</v>
      </c>
      <c r="B1040" s="1">
        <v>44313</v>
      </c>
      <c r="C1040" s="1">
        <v>44311</v>
      </c>
      <c r="D1040" s="1" t="s">
        <v>58</v>
      </c>
      <c r="E1040" s="2" t="s">
        <v>406</v>
      </c>
      <c r="F1040" s="1"/>
      <c r="G1040" s="2">
        <v>10</v>
      </c>
      <c r="H1040" s="1"/>
      <c r="I1040" t="s">
        <v>1</v>
      </c>
      <c r="J1040" t="s">
        <v>2</v>
      </c>
      <c r="K1040" t="s">
        <v>19</v>
      </c>
      <c r="L1040" t="s">
        <v>349</v>
      </c>
      <c r="M1040" s="3" t="s">
        <v>1152</v>
      </c>
    </row>
    <row r="1041" spans="1:16" hidden="1" x14ac:dyDescent="0.25">
      <c r="A1041" s="1" t="str">
        <f>VLOOKUP(Table2[[#This Row],[Prod Line ]],Lists!A:E,5,0)</f>
        <v>b</v>
      </c>
      <c r="B1041" s="1">
        <v>44313</v>
      </c>
      <c r="C1041" s="1">
        <v>44311</v>
      </c>
      <c r="D1041" s="1" t="s">
        <v>58</v>
      </c>
      <c r="E1041" s="2" t="s">
        <v>406</v>
      </c>
      <c r="F1041" s="1"/>
      <c r="G1041" s="2">
        <v>3</v>
      </c>
      <c r="H1041" s="1"/>
      <c r="I1041" t="s">
        <v>1</v>
      </c>
      <c r="J1041" t="s">
        <v>2</v>
      </c>
      <c r="K1041" t="s">
        <v>19</v>
      </c>
      <c r="L1041" t="s">
        <v>407</v>
      </c>
      <c r="M1041" s="3" t="s">
        <v>1153</v>
      </c>
    </row>
    <row r="1042" spans="1:16" hidden="1" x14ac:dyDescent="0.25">
      <c r="A1042" s="1" t="str">
        <f>VLOOKUP(Table2[[#This Row],[Prod Line ]],Lists!A:E,5,0)</f>
        <v>b</v>
      </c>
      <c r="B1042" s="1">
        <v>44313</v>
      </c>
      <c r="C1042" s="1">
        <v>44311</v>
      </c>
      <c r="D1042" s="1" t="s">
        <v>58</v>
      </c>
      <c r="E1042" s="2" t="s">
        <v>406</v>
      </c>
      <c r="F1042" s="1"/>
      <c r="G1042" s="2">
        <v>5</v>
      </c>
      <c r="H1042" s="1"/>
      <c r="I1042" t="s">
        <v>1</v>
      </c>
      <c r="J1042" t="s">
        <v>64</v>
      </c>
      <c r="K1042" t="s">
        <v>22</v>
      </c>
      <c r="L1042" t="s">
        <v>407</v>
      </c>
      <c r="M1042" s="3" t="s">
        <v>1154</v>
      </c>
    </row>
    <row r="1043" spans="1:16" hidden="1" x14ac:dyDescent="0.25">
      <c r="A1043" s="1" t="str">
        <f>VLOOKUP(Table2[[#This Row],[Prod Line ]],Lists!A:E,5,0)</f>
        <v>b</v>
      </c>
      <c r="B1043" s="1">
        <v>44313</v>
      </c>
      <c r="C1043" s="1">
        <v>44311</v>
      </c>
      <c r="D1043" s="1" t="s">
        <v>58</v>
      </c>
      <c r="E1043" s="2" t="s">
        <v>406</v>
      </c>
      <c r="F1043" s="1"/>
      <c r="G1043" s="2">
        <v>5</v>
      </c>
      <c r="H1043" s="1"/>
      <c r="I1043" t="s">
        <v>1</v>
      </c>
      <c r="J1043" t="s">
        <v>26</v>
      </c>
      <c r="K1043" t="s">
        <v>25</v>
      </c>
      <c r="L1043" t="s">
        <v>407</v>
      </c>
      <c r="M1043" s="3" t="s">
        <v>1155</v>
      </c>
    </row>
    <row r="1044" spans="1:16" hidden="1" x14ac:dyDescent="0.25">
      <c r="A1044" s="1" t="str">
        <f>VLOOKUP(Table2[[#This Row],[Prod Line ]],Lists!A:E,5,0)</f>
        <v>b</v>
      </c>
      <c r="B1044" s="1">
        <v>44313</v>
      </c>
      <c r="C1044" s="1">
        <v>44311</v>
      </c>
      <c r="D1044" s="1" t="s">
        <v>58</v>
      </c>
      <c r="E1044" s="2" t="s">
        <v>404</v>
      </c>
      <c r="F1044" s="1"/>
      <c r="G1044" s="2">
        <v>6</v>
      </c>
      <c r="H1044" s="1"/>
      <c r="I1044" t="s">
        <v>1</v>
      </c>
      <c r="J1044" t="s">
        <v>2</v>
      </c>
      <c r="K1044" t="s">
        <v>19</v>
      </c>
      <c r="L1044" t="s">
        <v>349</v>
      </c>
      <c r="M1044" s="3" t="s">
        <v>642</v>
      </c>
    </row>
    <row r="1045" spans="1:16" hidden="1" x14ac:dyDescent="0.25">
      <c r="A1045" s="1" t="str">
        <f>VLOOKUP(Table2[[#This Row],[Prod Line ]],Lists!A:E,5,0)</f>
        <v>b</v>
      </c>
      <c r="B1045" s="1">
        <v>44313</v>
      </c>
      <c r="C1045" s="1">
        <v>44311</v>
      </c>
      <c r="D1045" s="1" t="s">
        <v>58</v>
      </c>
      <c r="E1045" s="2" t="s">
        <v>404</v>
      </c>
      <c r="F1045" s="1"/>
      <c r="G1045" s="2">
        <v>22</v>
      </c>
      <c r="H1045" s="1"/>
      <c r="I1045" t="s">
        <v>1</v>
      </c>
      <c r="J1045" t="s">
        <v>2</v>
      </c>
      <c r="K1045" t="s">
        <v>19</v>
      </c>
      <c r="L1045" t="s">
        <v>349</v>
      </c>
      <c r="M1045" s="3" t="s">
        <v>1148</v>
      </c>
    </row>
    <row r="1046" spans="1:16" hidden="1" x14ac:dyDescent="0.25">
      <c r="A1046" s="1" t="str">
        <f>VLOOKUP(Table2[[#This Row],[Prod Line ]],Lists!A:E,5,0)</f>
        <v>c</v>
      </c>
      <c r="B1046" s="1">
        <v>44313</v>
      </c>
      <c r="C1046" s="1">
        <v>44311</v>
      </c>
      <c r="D1046" s="1" t="s">
        <v>60</v>
      </c>
      <c r="E1046" s="2" t="s">
        <v>404</v>
      </c>
      <c r="F1046" s="1"/>
      <c r="G1046" s="2">
        <v>46</v>
      </c>
      <c r="H1046" s="1"/>
      <c r="I1046" t="s">
        <v>1</v>
      </c>
      <c r="J1046" t="s">
        <v>2</v>
      </c>
      <c r="K1046" t="s">
        <v>378</v>
      </c>
      <c r="L1046" t="s">
        <v>407</v>
      </c>
      <c r="M1046" s="3" t="s">
        <v>1156</v>
      </c>
    </row>
    <row r="1047" spans="1:16" s="22" customFormat="1" ht="15.75" hidden="1" thickBot="1" x14ac:dyDescent="0.3">
      <c r="A1047" s="1" t="str">
        <f>VLOOKUP(Table2[[#This Row],[Prod Line ]],Lists!A:E,5,0)</f>
        <v>c</v>
      </c>
      <c r="B1047" s="1">
        <v>44313</v>
      </c>
      <c r="C1047" s="1">
        <v>44311</v>
      </c>
      <c r="D1047" s="1" t="s">
        <v>60</v>
      </c>
      <c r="E1047" s="2" t="s">
        <v>405</v>
      </c>
      <c r="F1047" s="1"/>
      <c r="G1047" s="2">
        <v>30</v>
      </c>
      <c r="H1047" s="1" t="s">
        <v>1</v>
      </c>
      <c r="I1047" t="s">
        <v>1</v>
      </c>
      <c r="J1047" t="s">
        <v>65</v>
      </c>
      <c r="K1047" t="s">
        <v>3</v>
      </c>
      <c r="L1047" t="s">
        <v>407</v>
      </c>
      <c r="M1047" s="3" t="s">
        <v>1157</v>
      </c>
      <c r="N1047" s="20"/>
      <c r="O1047"/>
      <c r="P1047"/>
    </row>
    <row r="1048" spans="1:16" ht="15.75" hidden="1" thickBot="1" x14ac:dyDescent="0.3">
      <c r="A1048" s="1" t="str">
        <f>VLOOKUP(Table2[[#This Row],[Prod Line ]],Lists!A:E,5,0)</f>
        <v>c</v>
      </c>
      <c r="B1048" s="21">
        <v>44313</v>
      </c>
      <c r="C1048" s="21">
        <v>44311</v>
      </c>
      <c r="D1048" s="21" t="s">
        <v>60</v>
      </c>
      <c r="E1048" s="25" t="s">
        <v>405</v>
      </c>
      <c r="F1048" s="21"/>
      <c r="G1048" s="25">
        <v>10</v>
      </c>
      <c r="H1048" s="21"/>
      <c r="I1048" s="22" t="s">
        <v>1</v>
      </c>
      <c r="J1048" s="22" t="s">
        <v>65</v>
      </c>
      <c r="K1048" s="22" t="s">
        <v>3</v>
      </c>
      <c r="L1048" s="22" t="s">
        <v>407</v>
      </c>
      <c r="M1048" s="26" t="s">
        <v>1158</v>
      </c>
      <c r="N1048" s="27"/>
      <c r="O1048" s="22"/>
      <c r="P1048" s="22"/>
    </row>
    <row r="1049" spans="1:16" hidden="1" x14ac:dyDescent="0.25">
      <c r="A1049" s="1" t="str">
        <f>VLOOKUP(Table2[[#This Row],[Prod Line ]],Lists!A:E,5,0)</f>
        <v>a</v>
      </c>
      <c r="B1049" s="1">
        <v>44315</v>
      </c>
      <c r="C1049" s="1">
        <v>44313</v>
      </c>
      <c r="D1049" s="1" t="s">
        <v>56</v>
      </c>
      <c r="E1049" s="2" t="s">
        <v>404</v>
      </c>
      <c r="F1049" s="1"/>
      <c r="G1049" s="2">
        <v>13</v>
      </c>
      <c r="H1049" s="1"/>
      <c r="I1049" t="s">
        <v>1</v>
      </c>
      <c r="J1049" t="s">
        <v>64</v>
      </c>
      <c r="K1049" t="s">
        <v>365</v>
      </c>
      <c r="L1049" t="s">
        <v>407</v>
      </c>
      <c r="M1049" s="3" t="s">
        <v>1163</v>
      </c>
    </row>
    <row r="1050" spans="1:16" hidden="1" x14ac:dyDescent="0.25">
      <c r="A1050" s="1" t="str">
        <f>VLOOKUP(Table2[[#This Row],[Prod Line ]],Lists!A:E,5,0)</f>
        <v>a</v>
      </c>
      <c r="B1050" s="1">
        <v>44315</v>
      </c>
      <c r="C1050" s="1">
        <v>44313</v>
      </c>
      <c r="D1050" s="1" t="s">
        <v>56</v>
      </c>
      <c r="E1050" s="2" t="s">
        <v>405</v>
      </c>
      <c r="F1050" s="1"/>
      <c r="G1050" s="2">
        <v>11</v>
      </c>
      <c r="H1050" s="1"/>
      <c r="I1050" t="s">
        <v>1</v>
      </c>
      <c r="J1050" t="s">
        <v>64</v>
      </c>
      <c r="K1050" t="s">
        <v>370</v>
      </c>
      <c r="L1050" t="s">
        <v>407</v>
      </c>
      <c r="M1050" s="3" t="s">
        <v>1164</v>
      </c>
    </row>
    <row r="1051" spans="1:16" hidden="1" x14ac:dyDescent="0.25">
      <c r="A1051" s="1" t="str">
        <f>VLOOKUP(Table2[[#This Row],[Prod Line ]],Lists!A:E,5,0)</f>
        <v>d</v>
      </c>
      <c r="B1051" s="1">
        <v>44315</v>
      </c>
      <c r="C1051" s="1">
        <v>44313</v>
      </c>
      <c r="D1051" s="1" t="s">
        <v>62</v>
      </c>
      <c r="E1051" s="2" t="s">
        <v>404</v>
      </c>
      <c r="F1051" s="1"/>
      <c r="G1051" s="2">
        <v>9</v>
      </c>
      <c r="H1051" s="1"/>
      <c r="I1051" t="s">
        <v>1</v>
      </c>
      <c r="J1051" t="s">
        <v>64</v>
      </c>
      <c r="K1051" t="s">
        <v>379</v>
      </c>
      <c r="L1051" t="s">
        <v>407</v>
      </c>
      <c r="M1051" s="3" t="s">
        <v>1165</v>
      </c>
    </row>
    <row r="1052" spans="1:16" hidden="1" x14ac:dyDescent="0.25">
      <c r="A1052" s="1" t="str">
        <f>VLOOKUP(Table2[[#This Row],[Prod Line ]],Lists!A:E,5,0)</f>
        <v>d</v>
      </c>
      <c r="B1052" s="1">
        <v>44315</v>
      </c>
      <c r="C1052" s="1">
        <v>44313</v>
      </c>
      <c r="D1052" s="1" t="s">
        <v>62</v>
      </c>
      <c r="E1052" s="2" t="s">
        <v>406</v>
      </c>
      <c r="F1052" s="1"/>
      <c r="G1052" s="2">
        <v>15</v>
      </c>
      <c r="H1052" s="1"/>
      <c r="I1052" t="s">
        <v>1</v>
      </c>
      <c r="J1052" t="s">
        <v>64</v>
      </c>
      <c r="K1052" t="s">
        <v>379</v>
      </c>
      <c r="L1052" t="s">
        <v>407</v>
      </c>
      <c r="M1052" s="3" t="s">
        <v>1166</v>
      </c>
    </row>
    <row r="1053" spans="1:16" hidden="1" x14ac:dyDescent="0.25">
      <c r="A1053" s="1" t="str">
        <f>VLOOKUP(Table2[[#This Row],[Prod Line ]],Lists!A:E,5,0)</f>
        <v>b</v>
      </c>
      <c r="B1053" s="1">
        <v>44315</v>
      </c>
      <c r="C1053" s="1">
        <v>44313</v>
      </c>
      <c r="D1053" s="1" t="s">
        <v>58</v>
      </c>
      <c r="E1053" s="2" t="s">
        <v>405</v>
      </c>
      <c r="F1053" s="1"/>
      <c r="G1053" s="2">
        <v>65</v>
      </c>
      <c r="H1053" s="1"/>
      <c r="I1053" t="s">
        <v>1</v>
      </c>
      <c r="J1053" t="s">
        <v>64</v>
      </c>
      <c r="K1053" t="s">
        <v>22</v>
      </c>
      <c r="L1053" t="s">
        <v>407</v>
      </c>
      <c r="M1053" s="3" t="s">
        <v>1171</v>
      </c>
    </row>
    <row r="1054" spans="1:16" hidden="1" x14ac:dyDescent="0.25">
      <c r="A1054" s="1" t="str">
        <f>VLOOKUP(Table2[[#This Row],[Prod Line ]],Lists!A:E,5,0)</f>
        <v>b</v>
      </c>
      <c r="B1054" s="1">
        <v>44315</v>
      </c>
      <c r="C1054" s="1">
        <v>44313</v>
      </c>
      <c r="D1054" s="1" t="s">
        <v>58</v>
      </c>
      <c r="E1054" s="2" t="s">
        <v>405</v>
      </c>
      <c r="F1054" s="1"/>
      <c r="G1054" s="2">
        <v>20</v>
      </c>
      <c r="H1054" s="1"/>
      <c r="I1054" t="s">
        <v>1</v>
      </c>
      <c r="J1054" t="s">
        <v>2</v>
      </c>
      <c r="K1054" t="s">
        <v>19</v>
      </c>
      <c r="L1054" t="s">
        <v>349</v>
      </c>
      <c r="M1054" s="3" t="s">
        <v>1173</v>
      </c>
    </row>
    <row r="1055" spans="1:16" s="22" customFormat="1" ht="15.75" hidden="1" thickBot="1" x14ac:dyDescent="0.3">
      <c r="A1055" s="1" t="str">
        <f>VLOOKUP(Table2[[#This Row],[Prod Line ]],Lists!A:E,5,0)</f>
        <v>b</v>
      </c>
      <c r="B1055" s="1">
        <v>44315</v>
      </c>
      <c r="C1055" s="1">
        <v>44313</v>
      </c>
      <c r="D1055" s="1" t="s">
        <v>58</v>
      </c>
      <c r="E1055" s="2" t="s">
        <v>406</v>
      </c>
      <c r="F1055" s="1"/>
      <c r="G1055" s="2">
        <v>16</v>
      </c>
      <c r="H1055" s="1"/>
      <c r="I1055" t="s">
        <v>1</v>
      </c>
      <c r="J1055" t="s">
        <v>26</v>
      </c>
      <c r="K1055" t="s">
        <v>25</v>
      </c>
      <c r="L1055" t="s">
        <v>407</v>
      </c>
      <c r="M1055" s="3" t="s">
        <v>829</v>
      </c>
      <c r="N1055" s="20"/>
      <c r="O1055"/>
      <c r="P1055"/>
    </row>
    <row r="1056" spans="1:16" ht="15.75" hidden="1" thickBot="1" x14ac:dyDescent="0.3">
      <c r="A1056" s="1" t="str">
        <f>VLOOKUP(Table2[[#This Row],[Prod Line ]],Lists!A:E,5,0)</f>
        <v>b</v>
      </c>
      <c r="B1056" s="21">
        <v>44315</v>
      </c>
      <c r="C1056" s="21">
        <v>44313</v>
      </c>
      <c r="D1056" s="21" t="s">
        <v>58</v>
      </c>
      <c r="E1056" s="25" t="s">
        <v>406</v>
      </c>
      <c r="F1056" s="21"/>
      <c r="G1056" s="25">
        <v>13</v>
      </c>
      <c r="H1056" s="21"/>
      <c r="I1056" s="22" t="s">
        <v>1</v>
      </c>
      <c r="J1056" s="22" t="s">
        <v>64</v>
      </c>
      <c r="K1056" s="22" t="s">
        <v>21</v>
      </c>
      <c r="L1056" s="22" t="s">
        <v>72</v>
      </c>
      <c r="M1056" s="26" t="s">
        <v>1172</v>
      </c>
      <c r="N1056" s="27"/>
      <c r="O1056" s="22"/>
      <c r="P1056" s="22"/>
    </row>
    <row r="1057" spans="1:16" hidden="1" x14ac:dyDescent="0.25">
      <c r="A1057" s="1" t="str">
        <f>VLOOKUP(Table2[[#This Row],[Prod Line ]],Lists!A:E,5,0)</f>
        <v>b</v>
      </c>
      <c r="B1057" s="1">
        <v>44316</v>
      </c>
      <c r="C1057" s="1">
        <v>44314</v>
      </c>
      <c r="D1057" s="1" t="s">
        <v>58</v>
      </c>
      <c r="E1057" s="2" t="s">
        <v>404</v>
      </c>
      <c r="F1057" s="1"/>
      <c r="G1057" s="2">
        <v>4</v>
      </c>
      <c r="H1057" s="1"/>
      <c r="I1057" t="s">
        <v>1</v>
      </c>
      <c r="J1057" t="s">
        <v>64</v>
      </c>
      <c r="K1057" t="s">
        <v>21</v>
      </c>
      <c r="L1057" t="s">
        <v>349</v>
      </c>
      <c r="M1057" s="3" t="s">
        <v>429</v>
      </c>
    </row>
    <row r="1058" spans="1:16" hidden="1" x14ac:dyDescent="0.25">
      <c r="A1058" s="1" t="str">
        <f>VLOOKUP(Table2[[#This Row],[Prod Line ]],Lists!A:E,5,0)</f>
        <v>d</v>
      </c>
      <c r="B1058" s="1">
        <v>44316</v>
      </c>
      <c r="C1058" s="1">
        <v>44314</v>
      </c>
      <c r="D1058" s="1" t="s">
        <v>62</v>
      </c>
      <c r="E1058" s="2" t="s">
        <v>406</v>
      </c>
      <c r="F1058" s="1"/>
      <c r="G1058" s="2">
        <v>11</v>
      </c>
      <c r="H1058" s="1"/>
      <c r="I1058" t="s">
        <v>1</v>
      </c>
      <c r="J1058" t="s">
        <v>64</v>
      </c>
      <c r="K1058" t="s">
        <v>379</v>
      </c>
      <c r="L1058" t="s">
        <v>407</v>
      </c>
      <c r="M1058" s="3" t="s">
        <v>1174</v>
      </c>
    </row>
    <row r="1059" spans="1:16" s="22" customFormat="1" ht="15.75" hidden="1" thickBot="1" x14ac:dyDescent="0.3">
      <c r="A1059" s="1" t="str">
        <f>VLOOKUP(Table2[[#This Row],[Prod Line ]],Lists!A:E,5,0)</f>
        <v>d</v>
      </c>
      <c r="B1059" s="1">
        <v>44316</v>
      </c>
      <c r="C1059" s="1">
        <v>44314</v>
      </c>
      <c r="D1059" s="1" t="s">
        <v>62</v>
      </c>
      <c r="E1059" s="2" t="s">
        <v>404</v>
      </c>
      <c r="F1059" s="1"/>
      <c r="G1059" s="2">
        <v>5</v>
      </c>
      <c r="H1059" s="1"/>
      <c r="I1059" t="s">
        <v>1</v>
      </c>
      <c r="J1059" t="s">
        <v>2</v>
      </c>
      <c r="K1059" t="s">
        <v>19</v>
      </c>
      <c r="L1059" t="s">
        <v>349</v>
      </c>
      <c r="M1059" s="3" t="s">
        <v>575</v>
      </c>
      <c r="N1059" s="20"/>
      <c r="O1059"/>
      <c r="P1059"/>
    </row>
    <row r="1060" spans="1:16" ht="15.75" hidden="1" thickBot="1" x14ac:dyDescent="0.3">
      <c r="A1060" s="1" t="str">
        <f>VLOOKUP(Table2[[#This Row],[Prod Line ]],Lists!A:E,5,0)</f>
        <v>d</v>
      </c>
      <c r="B1060" s="21">
        <v>44316</v>
      </c>
      <c r="C1060" s="21">
        <v>44314</v>
      </c>
      <c r="D1060" s="21" t="s">
        <v>62</v>
      </c>
      <c r="E1060" s="25" t="s">
        <v>404</v>
      </c>
      <c r="F1060" s="21"/>
      <c r="G1060" s="25">
        <v>3</v>
      </c>
      <c r="H1060" s="21"/>
      <c r="I1060" s="22" t="s">
        <v>1</v>
      </c>
      <c r="J1060" s="22" t="s">
        <v>64</v>
      </c>
      <c r="K1060" s="22" t="s">
        <v>379</v>
      </c>
      <c r="L1060" s="22" t="s">
        <v>407</v>
      </c>
      <c r="M1060" s="26" t="s">
        <v>678</v>
      </c>
      <c r="N1060" s="27"/>
      <c r="O1060" s="22"/>
      <c r="P1060" s="22"/>
    </row>
    <row r="1061" spans="1:16" hidden="1" x14ac:dyDescent="0.25">
      <c r="A1061" s="1" t="str">
        <f>VLOOKUP(Table2[[#This Row],[Prod Line ]],Lists!A:E,5,0)</f>
        <v>d</v>
      </c>
      <c r="B1061" s="1">
        <v>44317</v>
      </c>
      <c r="C1061" s="1">
        <v>44315</v>
      </c>
      <c r="D1061" s="1" t="s">
        <v>62</v>
      </c>
      <c r="E1061" s="2" t="s">
        <v>406</v>
      </c>
      <c r="F1061" s="1"/>
      <c r="G1061" s="2">
        <v>10</v>
      </c>
      <c r="H1061" s="1"/>
      <c r="I1061" t="s">
        <v>1</v>
      </c>
      <c r="J1061" t="s">
        <v>5</v>
      </c>
      <c r="K1061" t="s">
        <v>397</v>
      </c>
      <c r="L1061" t="s">
        <v>407</v>
      </c>
      <c r="M1061" s="3" t="s">
        <v>1176</v>
      </c>
    </row>
    <row r="1062" spans="1:16" hidden="1" x14ac:dyDescent="0.25">
      <c r="A1062" s="1" t="str">
        <f>VLOOKUP(Table2[[#This Row],[Prod Line ]],Lists!A:E,5,0)</f>
        <v>d</v>
      </c>
      <c r="B1062" s="1">
        <v>44317</v>
      </c>
      <c r="C1062" s="1">
        <v>44315</v>
      </c>
      <c r="D1062" s="1" t="s">
        <v>62</v>
      </c>
      <c r="E1062" s="2" t="s">
        <v>406</v>
      </c>
      <c r="F1062" s="1"/>
      <c r="G1062" s="2">
        <v>10</v>
      </c>
      <c r="H1062" s="1"/>
      <c r="I1062" t="s">
        <v>1</v>
      </c>
      <c r="J1062" t="s">
        <v>64</v>
      </c>
      <c r="K1062" t="s">
        <v>379</v>
      </c>
      <c r="L1062" t="s">
        <v>407</v>
      </c>
      <c r="M1062" s="3" t="s">
        <v>1174</v>
      </c>
    </row>
    <row r="1063" spans="1:16" hidden="1" x14ac:dyDescent="0.25">
      <c r="A1063" s="1" t="str">
        <f>VLOOKUP(Table2[[#This Row],[Prod Line ]],Lists!A:E,5,0)</f>
        <v>d</v>
      </c>
      <c r="B1063" s="1">
        <v>44317</v>
      </c>
      <c r="C1063" s="1">
        <v>44315</v>
      </c>
      <c r="D1063" s="1" t="s">
        <v>62</v>
      </c>
      <c r="E1063" s="2" t="s">
        <v>406</v>
      </c>
      <c r="F1063" s="1"/>
      <c r="G1063" s="2">
        <v>22</v>
      </c>
      <c r="H1063" s="1" t="s">
        <v>1</v>
      </c>
      <c r="I1063" t="s">
        <v>1</v>
      </c>
      <c r="J1063" t="s">
        <v>5</v>
      </c>
      <c r="K1063" t="s">
        <v>397</v>
      </c>
      <c r="L1063" t="s">
        <v>407</v>
      </c>
      <c r="M1063" s="3" t="s">
        <v>1175</v>
      </c>
    </row>
    <row r="1064" spans="1:16" hidden="1" x14ac:dyDescent="0.25">
      <c r="A1064" s="1" t="str">
        <f>VLOOKUP(Table2[[#This Row],[Prod Line ]],Lists!A:E,5,0)</f>
        <v>a</v>
      </c>
      <c r="B1064" s="1">
        <v>44317</v>
      </c>
      <c r="C1064" s="1">
        <v>44315</v>
      </c>
      <c r="D1064" s="1" t="s">
        <v>56</v>
      </c>
      <c r="E1064" s="2" t="s">
        <v>404</v>
      </c>
      <c r="F1064" s="1"/>
      <c r="G1064" s="2">
        <v>31</v>
      </c>
      <c r="H1064" s="1"/>
      <c r="I1064" t="s">
        <v>0</v>
      </c>
      <c r="J1064" t="s">
        <v>64</v>
      </c>
      <c r="K1064" t="s">
        <v>363</v>
      </c>
      <c r="L1064" t="s">
        <v>70</v>
      </c>
      <c r="M1064" s="3" t="s">
        <v>1177</v>
      </c>
      <c r="N1064" s="20" t="s">
        <v>1235</v>
      </c>
    </row>
    <row r="1065" spans="1:16" hidden="1" x14ac:dyDescent="0.25">
      <c r="A1065" s="1" t="str">
        <f>VLOOKUP(Table2[[#This Row],[Prod Line ]],Lists!A:E,5,0)</f>
        <v>a</v>
      </c>
      <c r="B1065" s="1">
        <v>44317</v>
      </c>
      <c r="C1065" s="1">
        <v>44315</v>
      </c>
      <c r="D1065" s="1" t="s">
        <v>56</v>
      </c>
      <c r="E1065" s="2" t="s">
        <v>405</v>
      </c>
      <c r="F1065" s="1"/>
      <c r="G1065" s="2">
        <v>10</v>
      </c>
      <c r="H1065" s="1"/>
      <c r="I1065" t="s">
        <v>1</v>
      </c>
      <c r="J1065" t="s">
        <v>64</v>
      </c>
      <c r="K1065" t="s">
        <v>370</v>
      </c>
      <c r="L1065" t="s">
        <v>407</v>
      </c>
      <c r="M1065" s="3" t="s">
        <v>967</v>
      </c>
    </row>
    <row r="1066" spans="1:16" hidden="1" x14ac:dyDescent="0.25">
      <c r="A1066" s="1" t="str">
        <f>VLOOKUP(Table2[[#This Row],[Prod Line ]],Lists!A:E,5,0)</f>
        <v>a</v>
      </c>
      <c r="B1066" s="1">
        <v>44317</v>
      </c>
      <c r="C1066" s="1">
        <v>44315</v>
      </c>
      <c r="D1066" s="1" t="s">
        <v>56</v>
      </c>
      <c r="E1066" s="2" t="s">
        <v>405</v>
      </c>
      <c r="F1066" s="1"/>
      <c r="G1066" s="2">
        <v>9</v>
      </c>
      <c r="H1066" s="1"/>
      <c r="I1066" t="s">
        <v>1</v>
      </c>
      <c r="J1066" t="s">
        <v>64</v>
      </c>
      <c r="K1066" t="s">
        <v>367</v>
      </c>
      <c r="L1066" t="s">
        <v>407</v>
      </c>
      <c r="M1066" s="3" t="s">
        <v>1178</v>
      </c>
    </row>
    <row r="1067" spans="1:16" hidden="1" x14ac:dyDescent="0.25">
      <c r="A1067" s="1" t="str">
        <f>VLOOKUP(Table2[[#This Row],[Prod Line ]],Lists!A:E,5,0)</f>
        <v>b</v>
      </c>
      <c r="B1067" s="1">
        <v>44317</v>
      </c>
      <c r="C1067" s="1">
        <v>44315</v>
      </c>
      <c r="D1067" s="1" t="s">
        <v>58</v>
      </c>
      <c r="E1067" s="2" t="s">
        <v>405</v>
      </c>
      <c r="F1067" s="1"/>
      <c r="G1067" s="2">
        <v>20</v>
      </c>
      <c r="H1067" s="1" t="s">
        <v>1</v>
      </c>
      <c r="I1067" t="s">
        <v>1</v>
      </c>
      <c r="J1067" t="s">
        <v>65</v>
      </c>
      <c r="K1067" t="s">
        <v>28</v>
      </c>
      <c r="L1067" t="s">
        <v>407</v>
      </c>
      <c r="M1067" s="3" t="s">
        <v>1179</v>
      </c>
    </row>
    <row r="1068" spans="1:16" s="22" customFormat="1" ht="15.75" hidden="1" thickBot="1" x14ac:dyDescent="0.3">
      <c r="A1068" s="1" t="str">
        <f>VLOOKUP(Table2[[#This Row],[Prod Line ]],Lists!A:E,5,0)</f>
        <v>b</v>
      </c>
      <c r="B1068" s="1">
        <v>44317</v>
      </c>
      <c r="C1068" s="1">
        <v>44315</v>
      </c>
      <c r="D1068" s="1" t="s">
        <v>58</v>
      </c>
      <c r="E1068" s="2" t="s">
        <v>406</v>
      </c>
      <c r="F1068" s="1"/>
      <c r="G1068" s="2">
        <v>7</v>
      </c>
      <c r="H1068" s="1"/>
      <c r="I1068" t="s">
        <v>1</v>
      </c>
      <c r="J1068" t="s">
        <v>64</v>
      </c>
      <c r="K1068" t="s">
        <v>22</v>
      </c>
      <c r="L1068" t="s">
        <v>407</v>
      </c>
      <c r="M1068" s="3" t="s">
        <v>1180</v>
      </c>
      <c r="N1068" s="20"/>
      <c r="O1068"/>
      <c r="P1068"/>
    </row>
    <row r="1069" spans="1:16" ht="15.75" hidden="1" thickBot="1" x14ac:dyDescent="0.3">
      <c r="A1069" s="1" t="str">
        <f>VLOOKUP(Table2[[#This Row],[Prod Line ]],Lists!A:E,5,0)</f>
        <v>b</v>
      </c>
      <c r="B1069" s="21">
        <v>44317</v>
      </c>
      <c r="C1069" s="21">
        <v>44315</v>
      </c>
      <c r="D1069" s="21" t="s">
        <v>58</v>
      </c>
      <c r="E1069" s="25" t="s">
        <v>406</v>
      </c>
      <c r="F1069" s="21"/>
      <c r="G1069" s="25">
        <v>4</v>
      </c>
      <c r="H1069" s="21"/>
      <c r="I1069" s="22" t="s">
        <v>1</v>
      </c>
      <c r="J1069" s="22" t="s">
        <v>2</v>
      </c>
      <c r="K1069" s="22" t="s">
        <v>19</v>
      </c>
      <c r="L1069" s="22" t="s">
        <v>349</v>
      </c>
      <c r="M1069" s="26" t="s">
        <v>1181</v>
      </c>
      <c r="N1069" s="27"/>
      <c r="O1069" s="22"/>
      <c r="P1069" s="22"/>
    </row>
    <row r="1070" spans="1:16" hidden="1" x14ac:dyDescent="0.25">
      <c r="A1070" s="1" t="str">
        <f>VLOOKUP(Table2[[#This Row],[Prod Line ]],Lists!A:E,5,0)</f>
        <v>a</v>
      </c>
      <c r="B1070" s="1">
        <v>44317</v>
      </c>
      <c r="C1070" s="1">
        <v>44316</v>
      </c>
      <c r="D1070" s="1" t="s">
        <v>56</v>
      </c>
      <c r="E1070" s="2" t="s">
        <v>404</v>
      </c>
      <c r="F1070" s="1"/>
      <c r="G1070" s="2">
        <v>9</v>
      </c>
      <c r="H1070" s="1"/>
      <c r="I1070" t="s">
        <v>1</v>
      </c>
      <c r="J1070" t="s">
        <v>2</v>
      </c>
      <c r="K1070" t="s">
        <v>19</v>
      </c>
      <c r="L1070" t="s">
        <v>349</v>
      </c>
      <c r="M1070" s="3" t="s">
        <v>1182</v>
      </c>
    </row>
    <row r="1071" spans="1:16" hidden="1" x14ac:dyDescent="0.25">
      <c r="A1071" s="1" t="str">
        <f>VLOOKUP(Table2[[#This Row],[Prod Line ]],Lists!A:E,5,0)</f>
        <v>a</v>
      </c>
      <c r="B1071" s="1">
        <v>44317</v>
      </c>
      <c r="C1071" s="1">
        <v>44316</v>
      </c>
      <c r="D1071" s="1" t="s">
        <v>56</v>
      </c>
      <c r="E1071" s="2" t="s">
        <v>405</v>
      </c>
      <c r="F1071" s="1"/>
      <c r="G1071" s="2">
        <v>20</v>
      </c>
      <c r="H1071" s="1"/>
      <c r="I1071" t="s">
        <v>1</v>
      </c>
      <c r="J1071" t="s">
        <v>64</v>
      </c>
      <c r="K1071" t="s">
        <v>370</v>
      </c>
      <c r="L1071" t="s">
        <v>407</v>
      </c>
      <c r="M1071" s="3" t="s">
        <v>1183</v>
      </c>
    </row>
    <row r="1072" spans="1:16" hidden="1" x14ac:dyDescent="0.25">
      <c r="A1072" s="1" t="str">
        <f>VLOOKUP(Table2[[#This Row],[Prod Line ]],Lists!A:E,5,0)</f>
        <v>b</v>
      </c>
      <c r="B1072" s="1">
        <v>44317</v>
      </c>
      <c r="C1072" s="1">
        <v>44316</v>
      </c>
      <c r="D1072" s="1" t="s">
        <v>58</v>
      </c>
      <c r="E1072" s="2" t="s">
        <v>406</v>
      </c>
      <c r="F1072" s="1"/>
      <c r="G1072" s="2">
        <v>3</v>
      </c>
      <c r="H1072" s="1"/>
      <c r="I1072" t="s">
        <v>1</v>
      </c>
      <c r="J1072" t="s">
        <v>64</v>
      </c>
      <c r="K1072" t="s">
        <v>21</v>
      </c>
      <c r="L1072" t="s">
        <v>407</v>
      </c>
      <c r="M1072" s="3" t="s">
        <v>598</v>
      </c>
    </row>
    <row r="1073" spans="1:16" hidden="1" x14ac:dyDescent="0.25">
      <c r="A1073" s="1" t="str">
        <f>VLOOKUP(Table2[[#This Row],[Prod Line ]],Lists!A:E,5,0)</f>
        <v>b</v>
      </c>
      <c r="B1073" s="1">
        <v>44317</v>
      </c>
      <c r="C1073" s="1">
        <v>44316</v>
      </c>
      <c r="D1073" s="1" t="s">
        <v>58</v>
      </c>
      <c r="E1073" s="2" t="s">
        <v>406</v>
      </c>
      <c r="F1073" s="1"/>
      <c r="G1073" s="2">
        <v>3</v>
      </c>
      <c r="H1073" s="1"/>
      <c r="I1073" t="s">
        <v>1</v>
      </c>
      <c r="J1073" t="s">
        <v>2</v>
      </c>
      <c r="K1073" t="s">
        <v>19</v>
      </c>
      <c r="L1073" t="s">
        <v>407</v>
      </c>
      <c r="M1073" s="3" t="s">
        <v>575</v>
      </c>
    </row>
    <row r="1074" spans="1:16" hidden="1" x14ac:dyDescent="0.25">
      <c r="A1074" s="1" t="str">
        <f>VLOOKUP(Table2[[#This Row],[Prod Line ]],Lists!A:E,5,0)</f>
        <v>b</v>
      </c>
      <c r="B1074" s="1">
        <v>44317</v>
      </c>
      <c r="C1074" s="1">
        <v>44316</v>
      </c>
      <c r="D1074" s="1" t="s">
        <v>58</v>
      </c>
      <c r="E1074" s="2" t="s">
        <v>404</v>
      </c>
      <c r="F1074" s="1"/>
      <c r="G1074" s="2">
        <v>14</v>
      </c>
      <c r="H1074" s="1" t="s">
        <v>1</v>
      </c>
      <c r="I1074" t="s">
        <v>1</v>
      </c>
      <c r="J1074" t="s">
        <v>5</v>
      </c>
      <c r="K1074" t="s">
        <v>36</v>
      </c>
      <c r="L1074" t="s">
        <v>407</v>
      </c>
      <c r="M1074" s="3" t="s">
        <v>1185</v>
      </c>
    </row>
    <row r="1075" spans="1:16" s="22" customFormat="1" ht="15.75" hidden="1" thickBot="1" x14ac:dyDescent="0.3">
      <c r="A1075" s="1" t="str">
        <f>VLOOKUP(Table2[[#This Row],[Prod Line ]],Lists!A:E,5,0)</f>
        <v>b</v>
      </c>
      <c r="B1075" s="1">
        <v>44317</v>
      </c>
      <c r="C1075" s="1">
        <v>44316</v>
      </c>
      <c r="D1075" s="1" t="s">
        <v>58</v>
      </c>
      <c r="E1075" s="2" t="s">
        <v>404</v>
      </c>
      <c r="F1075" s="1"/>
      <c r="G1075" s="2">
        <v>31</v>
      </c>
      <c r="H1075" s="1" t="s">
        <v>1</v>
      </c>
      <c r="I1075" t="s">
        <v>1</v>
      </c>
      <c r="J1075" t="s">
        <v>5</v>
      </c>
      <c r="K1075" t="s">
        <v>37</v>
      </c>
      <c r="L1075" t="s">
        <v>407</v>
      </c>
      <c r="M1075" s="3" t="s">
        <v>1186</v>
      </c>
      <c r="N1075" s="20"/>
      <c r="O1075"/>
      <c r="P1075"/>
    </row>
    <row r="1076" spans="1:16" ht="15.75" hidden="1" thickBot="1" x14ac:dyDescent="0.3">
      <c r="A1076" s="1" t="str">
        <f>VLOOKUP(Table2[[#This Row],[Prod Line ]],Lists!A:E,5,0)</f>
        <v>b</v>
      </c>
      <c r="B1076" s="21">
        <v>44317</v>
      </c>
      <c r="C1076" s="21">
        <v>44316</v>
      </c>
      <c r="D1076" s="21" t="s">
        <v>58</v>
      </c>
      <c r="E1076" s="25" t="s">
        <v>404</v>
      </c>
      <c r="F1076" s="21"/>
      <c r="G1076" s="25">
        <v>7</v>
      </c>
      <c r="H1076" s="21"/>
      <c r="I1076" s="22" t="s">
        <v>0</v>
      </c>
      <c r="J1076" s="22" t="s">
        <v>64</v>
      </c>
      <c r="K1076" s="22" t="s">
        <v>20</v>
      </c>
      <c r="L1076" s="22" t="s">
        <v>70</v>
      </c>
      <c r="M1076" s="26" t="s">
        <v>1184</v>
      </c>
      <c r="N1076" s="27"/>
      <c r="O1076" s="22"/>
      <c r="P1076" s="22"/>
    </row>
    <row r="1077" spans="1:16" hidden="1" x14ac:dyDescent="0.25">
      <c r="A1077" s="1" t="str">
        <f>VLOOKUP(Table2[[#This Row],[Prod Line ]],Lists!A:E,5,0)</f>
        <v>a</v>
      </c>
      <c r="B1077" s="1">
        <v>44319</v>
      </c>
      <c r="C1077" s="1">
        <v>44317</v>
      </c>
      <c r="D1077" s="1" t="s">
        <v>56</v>
      </c>
      <c r="E1077" s="2" t="s">
        <v>404</v>
      </c>
      <c r="F1077" s="1"/>
      <c r="G1077" s="2">
        <v>63</v>
      </c>
      <c r="H1077" s="1"/>
      <c r="I1077" t="s">
        <v>0</v>
      </c>
      <c r="J1077" t="s">
        <v>64</v>
      </c>
      <c r="K1077" t="s">
        <v>363</v>
      </c>
      <c r="L1077" t="s">
        <v>70</v>
      </c>
      <c r="M1077" s="3" t="s">
        <v>1187</v>
      </c>
      <c r="N1077" s="20" t="s">
        <v>1235</v>
      </c>
    </row>
    <row r="1078" spans="1:16" hidden="1" x14ac:dyDescent="0.25">
      <c r="A1078" s="1" t="str">
        <f>VLOOKUP(Table2[[#This Row],[Prod Line ]],Lists!A:E,5,0)</f>
        <v>a</v>
      </c>
      <c r="B1078" s="1">
        <v>44319</v>
      </c>
      <c r="C1078" s="1">
        <v>44317</v>
      </c>
      <c r="D1078" s="1" t="s">
        <v>56</v>
      </c>
      <c r="E1078" s="2" t="s">
        <v>404</v>
      </c>
      <c r="F1078" s="1"/>
      <c r="G1078" s="2">
        <v>5</v>
      </c>
      <c r="H1078" s="1"/>
      <c r="I1078" t="s">
        <v>1</v>
      </c>
      <c r="J1078" t="s">
        <v>65</v>
      </c>
      <c r="K1078" t="s">
        <v>27</v>
      </c>
      <c r="L1078" t="s">
        <v>350</v>
      </c>
      <c r="M1078" s="3" t="s">
        <v>884</v>
      </c>
    </row>
    <row r="1079" spans="1:16" hidden="1" x14ac:dyDescent="0.25">
      <c r="A1079" s="1" t="str">
        <f>VLOOKUP(Table2[[#This Row],[Prod Line ]],Lists!A:E,5,0)</f>
        <v>a</v>
      </c>
      <c r="B1079" s="1">
        <v>44319</v>
      </c>
      <c r="C1079" s="1">
        <v>44317</v>
      </c>
      <c r="D1079" s="1" t="s">
        <v>56</v>
      </c>
      <c r="E1079" s="2" t="s">
        <v>404</v>
      </c>
      <c r="F1079" s="1"/>
      <c r="G1079" s="2">
        <v>7</v>
      </c>
      <c r="H1079" s="1"/>
      <c r="I1079" t="s">
        <v>1</v>
      </c>
      <c r="J1079" t="s">
        <v>64</v>
      </c>
      <c r="K1079" t="s">
        <v>365</v>
      </c>
      <c r="L1079" t="s">
        <v>407</v>
      </c>
      <c r="M1079" s="3" t="s">
        <v>750</v>
      </c>
    </row>
    <row r="1080" spans="1:16" hidden="1" x14ac:dyDescent="0.25">
      <c r="A1080" s="1" t="str">
        <f>VLOOKUP(Table2[[#This Row],[Prod Line ]],Lists!A:E,5,0)</f>
        <v>a</v>
      </c>
      <c r="B1080" s="1">
        <v>44319</v>
      </c>
      <c r="C1080" s="1">
        <v>44317</v>
      </c>
      <c r="D1080" s="1" t="s">
        <v>56</v>
      </c>
      <c r="E1080" s="2" t="s">
        <v>405</v>
      </c>
      <c r="F1080" s="1"/>
      <c r="G1080" s="2">
        <v>17</v>
      </c>
      <c r="H1080" s="1"/>
      <c r="I1080" t="s">
        <v>1</v>
      </c>
      <c r="J1080" t="s">
        <v>65</v>
      </c>
      <c r="K1080" t="s">
        <v>27</v>
      </c>
      <c r="L1080" t="s">
        <v>441</v>
      </c>
      <c r="M1080" s="3" t="s">
        <v>599</v>
      </c>
    </row>
    <row r="1081" spans="1:16" hidden="1" x14ac:dyDescent="0.25">
      <c r="A1081" s="1" t="str">
        <f>VLOOKUP(Table2[[#This Row],[Prod Line ]],Lists!A:E,5,0)</f>
        <v>b</v>
      </c>
      <c r="B1081" s="1">
        <v>44319</v>
      </c>
      <c r="C1081" s="1">
        <v>44317</v>
      </c>
      <c r="D1081" s="1" t="s">
        <v>58</v>
      </c>
      <c r="E1081" s="2" t="s">
        <v>406</v>
      </c>
      <c r="F1081" s="1"/>
      <c r="G1081" s="2">
        <v>25</v>
      </c>
      <c r="H1081" s="1"/>
      <c r="I1081" t="s">
        <v>1</v>
      </c>
      <c r="J1081" t="s">
        <v>64</v>
      </c>
      <c r="K1081" t="s">
        <v>22</v>
      </c>
      <c r="L1081" t="s">
        <v>407</v>
      </c>
      <c r="M1081" s="3" t="s">
        <v>1188</v>
      </c>
    </row>
    <row r="1082" spans="1:16" hidden="1" x14ac:dyDescent="0.25">
      <c r="A1082" s="1" t="str">
        <f>VLOOKUP(Table2[[#This Row],[Prod Line ]],Lists!A:E,5,0)</f>
        <v>d</v>
      </c>
      <c r="B1082" s="1">
        <v>44319</v>
      </c>
      <c r="C1082" s="1">
        <v>44317</v>
      </c>
      <c r="D1082" s="1" t="s">
        <v>62</v>
      </c>
      <c r="E1082" s="2" t="s">
        <v>404</v>
      </c>
      <c r="F1082" s="1"/>
      <c r="G1082" s="2">
        <v>13</v>
      </c>
      <c r="H1082" s="1"/>
      <c r="I1082" t="s">
        <v>1</v>
      </c>
      <c r="J1082" t="s">
        <v>5</v>
      </c>
      <c r="K1082" t="s">
        <v>397</v>
      </c>
      <c r="L1082" t="s">
        <v>407</v>
      </c>
      <c r="M1082" s="3" t="s">
        <v>1189</v>
      </c>
    </row>
    <row r="1083" spans="1:16" s="22" customFormat="1" ht="15.75" hidden="1" thickBot="1" x14ac:dyDescent="0.3">
      <c r="A1083" s="1" t="str">
        <f>VLOOKUP(Table2[[#This Row],[Prod Line ]],Lists!A:E,5,0)</f>
        <v>d</v>
      </c>
      <c r="B1083" s="1">
        <v>44319</v>
      </c>
      <c r="C1083" s="1">
        <v>44317</v>
      </c>
      <c r="D1083" s="1" t="s">
        <v>62</v>
      </c>
      <c r="E1083" s="2" t="s">
        <v>405</v>
      </c>
      <c r="F1083" s="1"/>
      <c r="G1083" s="2">
        <v>5</v>
      </c>
      <c r="H1083" s="1"/>
      <c r="I1083" t="s">
        <v>1</v>
      </c>
      <c r="J1083" t="s">
        <v>2</v>
      </c>
      <c r="K1083" t="s">
        <v>19</v>
      </c>
      <c r="L1083" t="s">
        <v>349</v>
      </c>
      <c r="M1083" s="3" t="s">
        <v>575</v>
      </c>
      <c r="N1083" s="20"/>
      <c r="O1083"/>
      <c r="P1083"/>
    </row>
    <row r="1084" spans="1:16" ht="15.75" hidden="1" thickBot="1" x14ac:dyDescent="0.3">
      <c r="A1084" s="1" t="str">
        <f>VLOOKUP(Table2[[#This Row],[Prod Line ]],Lists!A:E,5,0)</f>
        <v>d</v>
      </c>
      <c r="B1084" s="21">
        <v>44319</v>
      </c>
      <c r="C1084" s="21">
        <v>44317</v>
      </c>
      <c r="D1084" s="21" t="s">
        <v>62</v>
      </c>
      <c r="E1084" s="25" t="s">
        <v>405</v>
      </c>
      <c r="F1084" s="21"/>
      <c r="G1084" s="25">
        <v>5</v>
      </c>
      <c r="H1084" s="21"/>
      <c r="I1084" s="22" t="s">
        <v>1</v>
      </c>
      <c r="J1084" s="22" t="s">
        <v>66</v>
      </c>
      <c r="K1084" s="22" t="s">
        <v>34</v>
      </c>
      <c r="L1084" s="22" t="s">
        <v>407</v>
      </c>
      <c r="M1084" s="26" t="s">
        <v>1190</v>
      </c>
      <c r="N1084" s="27"/>
      <c r="O1084" s="22"/>
      <c r="P1084" s="22"/>
    </row>
    <row r="1085" spans="1:16" hidden="1" x14ac:dyDescent="0.25">
      <c r="A1085" s="1" t="str">
        <f>VLOOKUP(Table2[[#This Row],[Prod Line ]],Lists!A:E,5,0)</f>
        <v>b</v>
      </c>
      <c r="B1085" s="1">
        <v>44320</v>
      </c>
      <c r="C1085" s="1">
        <v>44318</v>
      </c>
      <c r="D1085" s="1" t="s">
        <v>58</v>
      </c>
      <c r="E1085" s="2" t="s">
        <v>404</v>
      </c>
      <c r="F1085" s="1"/>
      <c r="G1085" s="2">
        <v>15</v>
      </c>
      <c r="H1085" s="1"/>
      <c r="I1085" t="s">
        <v>1</v>
      </c>
      <c r="J1085" t="s">
        <v>64</v>
      </c>
      <c r="K1085" t="s">
        <v>22</v>
      </c>
      <c r="L1085" t="s">
        <v>407</v>
      </c>
      <c r="M1085" s="3" t="s">
        <v>835</v>
      </c>
    </row>
    <row r="1086" spans="1:16" hidden="1" x14ac:dyDescent="0.25">
      <c r="A1086" s="1" t="str">
        <f>VLOOKUP(Table2[[#This Row],[Prod Line ]],Lists!A:E,5,0)</f>
        <v>b</v>
      </c>
      <c r="B1086" s="1">
        <v>44320</v>
      </c>
      <c r="C1086" s="1">
        <v>44318</v>
      </c>
      <c r="D1086" s="1" t="s">
        <v>58</v>
      </c>
      <c r="E1086" s="2" t="s">
        <v>406</v>
      </c>
      <c r="F1086" s="1"/>
      <c r="G1086" s="2">
        <v>14</v>
      </c>
      <c r="H1086" s="1" t="s">
        <v>1</v>
      </c>
      <c r="I1086" t="s">
        <v>1</v>
      </c>
      <c r="J1086" t="s">
        <v>5</v>
      </c>
      <c r="K1086" t="s">
        <v>38</v>
      </c>
      <c r="L1086" t="s">
        <v>407</v>
      </c>
      <c r="M1086" s="3" t="s">
        <v>1195</v>
      </c>
    </row>
    <row r="1087" spans="1:16" hidden="1" x14ac:dyDescent="0.25">
      <c r="A1087" s="1" t="str">
        <f>VLOOKUP(Table2[[#This Row],[Prod Line ]],Lists!A:E,5,0)</f>
        <v>c</v>
      </c>
      <c r="B1087" s="1">
        <v>44320</v>
      </c>
      <c r="C1087" s="1">
        <v>44318</v>
      </c>
      <c r="D1087" s="1" t="s">
        <v>60</v>
      </c>
      <c r="E1087" s="2" t="s">
        <v>404</v>
      </c>
      <c r="F1087" s="1"/>
      <c r="G1087" s="2">
        <v>8</v>
      </c>
      <c r="H1087" s="1"/>
      <c r="I1087" t="s">
        <v>1</v>
      </c>
      <c r="J1087" t="s">
        <v>2</v>
      </c>
      <c r="K1087" t="s">
        <v>378</v>
      </c>
      <c r="L1087" t="s">
        <v>349</v>
      </c>
      <c r="M1087" s="3" t="s">
        <v>575</v>
      </c>
    </row>
    <row r="1088" spans="1:16" hidden="1" x14ac:dyDescent="0.25">
      <c r="A1088" s="1" t="str">
        <f>VLOOKUP(Table2[[#This Row],[Prod Line ]],Lists!A:E,5,0)</f>
        <v>c</v>
      </c>
      <c r="B1088" s="1">
        <v>44320</v>
      </c>
      <c r="C1088" s="1">
        <v>44318</v>
      </c>
      <c r="D1088" s="1" t="s">
        <v>60</v>
      </c>
      <c r="E1088" s="2" t="s">
        <v>405</v>
      </c>
      <c r="F1088" s="1"/>
      <c r="G1088" s="2">
        <v>15</v>
      </c>
      <c r="H1088" s="1"/>
      <c r="I1088" t="s">
        <v>1</v>
      </c>
      <c r="J1088" t="s">
        <v>64</v>
      </c>
      <c r="K1088" t="s">
        <v>379</v>
      </c>
      <c r="L1088" t="s">
        <v>344</v>
      </c>
      <c r="M1088" s="3" t="s">
        <v>1191</v>
      </c>
    </row>
    <row r="1089" spans="1:16" hidden="1" x14ac:dyDescent="0.25">
      <c r="A1089" s="1" t="str">
        <f>VLOOKUP(Table2[[#This Row],[Prod Line ]],Lists!A:E,5,0)</f>
        <v>c</v>
      </c>
      <c r="B1089" s="1">
        <v>44320</v>
      </c>
      <c r="C1089" s="1">
        <v>44318</v>
      </c>
      <c r="D1089" s="1" t="s">
        <v>60</v>
      </c>
      <c r="E1089" s="2" t="s">
        <v>405</v>
      </c>
      <c r="F1089" s="1"/>
      <c r="G1089" s="2">
        <v>10</v>
      </c>
      <c r="H1089" s="1"/>
      <c r="I1089" t="s">
        <v>1</v>
      </c>
      <c r="J1089" t="s">
        <v>26</v>
      </c>
      <c r="K1089" t="s">
        <v>26</v>
      </c>
      <c r="L1089" t="s">
        <v>430</v>
      </c>
      <c r="M1089" s="3" t="s">
        <v>1192</v>
      </c>
    </row>
    <row r="1090" spans="1:16" hidden="1" x14ac:dyDescent="0.25">
      <c r="A1090" s="1" t="str">
        <f>VLOOKUP(Table2[[#This Row],[Prod Line ]],Lists!A:E,5,0)</f>
        <v>d</v>
      </c>
      <c r="B1090" s="1">
        <v>44320</v>
      </c>
      <c r="C1090" s="1">
        <v>44318</v>
      </c>
      <c r="D1090" s="1" t="s">
        <v>62</v>
      </c>
      <c r="E1090" s="2" t="s">
        <v>404</v>
      </c>
      <c r="F1090" s="1"/>
      <c r="G1090" s="2">
        <v>5</v>
      </c>
      <c r="H1090" s="1"/>
      <c r="I1090" t="s">
        <v>1</v>
      </c>
      <c r="J1090" t="s">
        <v>64</v>
      </c>
      <c r="K1090" t="s">
        <v>379</v>
      </c>
      <c r="L1090" t="s">
        <v>407</v>
      </c>
      <c r="M1090" s="3" t="s">
        <v>1193</v>
      </c>
    </row>
    <row r="1091" spans="1:16" ht="15.75" hidden="1" thickBot="1" x14ac:dyDescent="0.3">
      <c r="A1091" s="1" t="str">
        <f>VLOOKUP(Table2[[#This Row],[Prod Line ]],Lists!A:E,5,0)</f>
        <v>d</v>
      </c>
      <c r="B1091" s="21">
        <v>44320</v>
      </c>
      <c r="C1091" s="21">
        <v>44318</v>
      </c>
      <c r="D1091" s="21" t="s">
        <v>62</v>
      </c>
      <c r="E1091" s="25" t="s">
        <v>404</v>
      </c>
      <c r="F1091" s="21"/>
      <c r="G1091" s="25">
        <v>17</v>
      </c>
      <c r="H1091" s="21"/>
      <c r="I1091" s="22" t="s">
        <v>1</v>
      </c>
      <c r="J1091" s="22" t="s">
        <v>2</v>
      </c>
      <c r="K1091" s="22" t="s">
        <v>19</v>
      </c>
      <c r="L1091" s="22" t="s">
        <v>407</v>
      </c>
      <c r="M1091" s="26" t="s">
        <v>1194</v>
      </c>
      <c r="N1091" s="27"/>
      <c r="O1091" s="22"/>
      <c r="P1091" s="22"/>
    </row>
    <row r="1092" spans="1:16" hidden="1" x14ac:dyDescent="0.25">
      <c r="A1092" s="1" t="str">
        <f>VLOOKUP(Table2[[#This Row],[Prod Line ]],Lists!A:E,5,0)</f>
        <v>b</v>
      </c>
      <c r="B1092" s="1">
        <v>44322</v>
      </c>
      <c r="C1092" s="1">
        <v>44320</v>
      </c>
      <c r="D1092" s="1" t="s">
        <v>58</v>
      </c>
      <c r="E1092" s="2" t="s">
        <v>404</v>
      </c>
      <c r="F1092" s="1"/>
      <c r="G1092" s="2">
        <v>8</v>
      </c>
      <c r="H1092" s="1"/>
      <c r="I1092" t="s">
        <v>1</v>
      </c>
      <c r="J1092" t="s">
        <v>67</v>
      </c>
      <c r="K1092" t="s">
        <v>67</v>
      </c>
      <c r="L1092" t="s">
        <v>407</v>
      </c>
      <c r="M1092" s="3" t="s">
        <v>1198</v>
      </c>
    </row>
    <row r="1093" spans="1:16" hidden="1" x14ac:dyDescent="0.25">
      <c r="A1093" s="1" t="str">
        <f>VLOOKUP(Table2[[#This Row],[Prod Line ]],Lists!A:E,5,0)</f>
        <v>b</v>
      </c>
      <c r="B1093" s="1">
        <v>44322</v>
      </c>
      <c r="C1093" s="1">
        <v>44320</v>
      </c>
      <c r="D1093" s="1" t="s">
        <v>58</v>
      </c>
      <c r="E1093" s="2" t="s">
        <v>404</v>
      </c>
      <c r="F1093" s="1"/>
      <c r="G1093" s="2">
        <v>6</v>
      </c>
      <c r="H1093" s="1"/>
      <c r="I1093" t="s">
        <v>1</v>
      </c>
      <c r="J1093" t="s">
        <v>2</v>
      </c>
      <c r="K1093" t="s">
        <v>19</v>
      </c>
      <c r="L1093" t="s">
        <v>349</v>
      </c>
      <c r="M1093" s="3" t="s">
        <v>575</v>
      </c>
    </row>
    <row r="1094" spans="1:16" hidden="1" x14ac:dyDescent="0.25">
      <c r="A1094" s="1" t="str">
        <f>VLOOKUP(Table2[[#This Row],[Prod Line ]],Lists!A:E,5,0)</f>
        <v>b</v>
      </c>
      <c r="B1094" s="1">
        <v>44322</v>
      </c>
      <c r="C1094" s="1">
        <v>44320</v>
      </c>
      <c r="D1094" s="1" t="s">
        <v>58</v>
      </c>
      <c r="E1094" s="2" t="s">
        <v>405</v>
      </c>
      <c r="F1094" s="1"/>
      <c r="G1094" s="2">
        <v>10</v>
      </c>
      <c r="H1094" s="1"/>
      <c r="I1094" t="s">
        <v>0</v>
      </c>
      <c r="J1094" t="s">
        <v>67</v>
      </c>
      <c r="K1094" t="s">
        <v>67</v>
      </c>
      <c r="L1094" t="s">
        <v>70</v>
      </c>
      <c r="M1094" s="3" t="s">
        <v>1197</v>
      </c>
    </row>
    <row r="1095" spans="1:16" hidden="1" x14ac:dyDescent="0.25">
      <c r="A1095" s="1" t="str">
        <f>VLOOKUP(Table2[[#This Row],[Prod Line ]],Lists!A:E,5,0)</f>
        <v>b</v>
      </c>
      <c r="B1095" s="1">
        <v>44322</v>
      </c>
      <c r="C1095" s="1">
        <v>44320</v>
      </c>
      <c r="D1095" s="1" t="s">
        <v>58</v>
      </c>
      <c r="E1095" s="2" t="s">
        <v>405</v>
      </c>
      <c r="F1095" s="1"/>
      <c r="G1095" s="2">
        <v>12</v>
      </c>
      <c r="H1095" s="1"/>
      <c r="I1095" t="s">
        <v>1</v>
      </c>
      <c r="J1095" t="s">
        <v>67</v>
      </c>
      <c r="K1095" t="s">
        <v>67</v>
      </c>
      <c r="L1095" t="s">
        <v>350</v>
      </c>
      <c r="M1095" s="3" t="s">
        <v>1196</v>
      </c>
    </row>
    <row r="1096" spans="1:16" hidden="1" x14ac:dyDescent="0.25">
      <c r="A1096" s="1" t="str">
        <f>VLOOKUP(Table2[[#This Row],[Prod Line ]],Lists!A:E,5,0)</f>
        <v>d</v>
      </c>
      <c r="B1096" s="1">
        <v>44322</v>
      </c>
      <c r="C1096" s="1">
        <v>44321</v>
      </c>
      <c r="D1096" s="1" t="s">
        <v>62</v>
      </c>
      <c r="E1096" s="2" t="s">
        <v>404</v>
      </c>
      <c r="F1096" s="1"/>
      <c r="G1096" s="2">
        <v>25</v>
      </c>
      <c r="H1096" s="1"/>
      <c r="I1096" t="s">
        <v>67</v>
      </c>
      <c r="J1096" t="s">
        <v>2</v>
      </c>
      <c r="K1096" t="s">
        <v>13</v>
      </c>
      <c r="L1096" t="s">
        <v>70</v>
      </c>
      <c r="M1096" s="3" t="s">
        <v>1199</v>
      </c>
      <c r="N1096" s="20" t="s">
        <v>1236</v>
      </c>
    </row>
    <row r="1097" spans="1:16" hidden="1" x14ac:dyDescent="0.25">
      <c r="A1097" s="1" t="str">
        <f>VLOOKUP(Table2[[#This Row],[Prod Line ]],Lists!A:E,5,0)</f>
        <v>d</v>
      </c>
      <c r="B1097" s="1">
        <v>44322</v>
      </c>
      <c r="C1097" s="1">
        <v>44321</v>
      </c>
      <c r="D1097" s="1" t="s">
        <v>62</v>
      </c>
      <c r="E1097" s="2" t="s">
        <v>404</v>
      </c>
      <c r="F1097" s="1"/>
      <c r="G1097" s="2">
        <v>6</v>
      </c>
      <c r="H1097" s="1"/>
      <c r="I1097" t="s">
        <v>1</v>
      </c>
      <c r="J1097" t="s">
        <v>2</v>
      </c>
      <c r="K1097" t="s">
        <v>19</v>
      </c>
      <c r="L1097" t="s">
        <v>349</v>
      </c>
      <c r="M1097" s="3" t="s">
        <v>759</v>
      </c>
    </row>
    <row r="1098" spans="1:16" hidden="1" x14ac:dyDescent="0.25">
      <c r="A1098" s="1" t="str">
        <f>VLOOKUP(Table2[[#This Row],[Prod Line ]],Lists!A:E,5,0)</f>
        <v>d</v>
      </c>
      <c r="B1098" s="1">
        <v>44322</v>
      </c>
      <c r="C1098" s="1">
        <v>44321</v>
      </c>
      <c r="D1098" s="1" t="s">
        <v>62</v>
      </c>
      <c r="E1098" s="2" t="s">
        <v>404</v>
      </c>
      <c r="F1098" s="1"/>
      <c r="G1098" s="2">
        <v>4</v>
      </c>
      <c r="H1098" s="1"/>
      <c r="I1098" t="s">
        <v>1</v>
      </c>
      <c r="J1098" t="s">
        <v>64</v>
      </c>
      <c r="K1098" t="s">
        <v>379</v>
      </c>
      <c r="L1098" t="s">
        <v>72</v>
      </c>
      <c r="M1098" s="3" t="s">
        <v>655</v>
      </c>
    </row>
    <row r="1099" spans="1:16" hidden="1" x14ac:dyDescent="0.25">
      <c r="A1099" s="1" t="str">
        <f>VLOOKUP(Table2[[#This Row],[Prod Line ]],Lists!A:E,5,0)</f>
        <v>d</v>
      </c>
      <c r="B1099" s="1">
        <v>44322</v>
      </c>
      <c r="C1099" s="1">
        <v>44321</v>
      </c>
      <c r="D1099" s="1" t="s">
        <v>62</v>
      </c>
      <c r="E1099" s="2" t="s">
        <v>405</v>
      </c>
      <c r="F1099" s="1"/>
      <c r="G1099" s="2">
        <v>5</v>
      </c>
      <c r="H1099" s="1"/>
      <c r="I1099" t="s">
        <v>1</v>
      </c>
      <c r="J1099" t="s">
        <v>2</v>
      </c>
      <c r="K1099" t="s">
        <v>19</v>
      </c>
      <c r="L1099" t="s">
        <v>349</v>
      </c>
      <c r="M1099" s="3" t="s">
        <v>834</v>
      </c>
    </row>
    <row r="1100" spans="1:16" hidden="1" x14ac:dyDescent="0.25">
      <c r="A1100" s="1" t="str">
        <f>VLOOKUP(Table2[[#This Row],[Prod Line ]],Lists!A:E,5,0)</f>
        <v>a</v>
      </c>
      <c r="B1100" s="1">
        <v>44322</v>
      </c>
      <c r="C1100" s="1">
        <v>44321</v>
      </c>
      <c r="D1100" s="1" t="s">
        <v>56</v>
      </c>
      <c r="E1100" s="2" t="s">
        <v>404</v>
      </c>
      <c r="F1100" s="1"/>
      <c r="G1100" s="2">
        <v>5</v>
      </c>
      <c r="H1100" s="1"/>
      <c r="I1100" t="s">
        <v>0</v>
      </c>
      <c r="J1100" t="s">
        <v>64</v>
      </c>
      <c r="K1100" t="s">
        <v>366</v>
      </c>
      <c r="L1100" t="s">
        <v>70</v>
      </c>
      <c r="M1100" s="3" t="s">
        <v>616</v>
      </c>
    </row>
    <row r="1101" spans="1:16" hidden="1" x14ac:dyDescent="0.25">
      <c r="A1101" s="1" t="str">
        <f>VLOOKUP(Table2[[#This Row],[Prod Line ]],Lists!A:E,5,0)</f>
        <v>a</v>
      </c>
      <c r="B1101" s="1">
        <v>44322</v>
      </c>
      <c r="C1101" s="1">
        <v>44321</v>
      </c>
      <c r="D1101" s="1" t="s">
        <v>56</v>
      </c>
      <c r="E1101" s="2" t="s">
        <v>404</v>
      </c>
      <c r="F1101" s="1"/>
      <c r="G1101" s="2">
        <v>10</v>
      </c>
      <c r="H1101" s="1"/>
      <c r="I1101" t="s">
        <v>1</v>
      </c>
      <c r="J1101" t="s">
        <v>64</v>
      </c>
      <c r="K1101" t="s">
        <v>363</v>
      </c>
      <c r="L1101" t="s">
        <v>407</v>
      </c>
      <c r="M1101" s="3" t="s">
        <v>1200</v>
      </c>
    </row>
    <row r="1102" spans="1:16" hidden="1" x14ac:dyDescent="0.25">
      <c r="A1102" s="1" t="str">
        <f>VLOOKUP(Table2[[#This Row],[Prod Line ]],Lists!A:E,5,0)</f>
        <v>a</v>
      </c>
      <c r="B1102" s="1">
        <v>44322</v>
      </c>
      <c r="C1102" s="1">
        <v>44321</v>
      </c>
      <c r="D1102" s="1" t="s">
        <v>56</v>
      </c>
      <c r="E1102" s="2" t="s">
        <v>404</v>
      </c>
      <c r="F1102" s="1"/>
      <c r="G1102" s="2">
        <v>5</v>
      </c>
      <c r="H1102" s="1"/>
      <c r="I1102" t="s">
        <v>1</v>
      </c>
      <c r="J1102" t="s">
        <v>64</v>
      </c>
      <c r="K1102" t="s">
        <v>365</v>
      </c>
      <c r="L1102" t="s">
        <v>407</v>
      </c>
      <c r="M1102" s="3" t="s">
        <v>655</v>
      </c>
    </row>
    <row r="1103" spans="1:16" hidden="1" x14ac:dyDescent="0.25">
      <c r="A1103" s="1" t="str">
        <f>VLOOKUP(Table2[[#This Row],[Prod Line ]],Lists!A:E,5,0)</f>
        <v>a</v>
      </c>
      <c r="B1103" s="1">
        <v>44322</v>
      </c>
      <c r="C1103" s="1">
        <v>44321</v>
      </c>
      <c r="D1103" s="1" t="s">
        <v>56</v>
      </c>
      <c r="E1103" s="2" t="s">
        <v>404</v>
      </c>
      <c r="F1103" s="1"/>
      <c r="G1103" s="2">
        <v>27</v>
      </c>
      <c r="H1103" s="1"/>
      <c r="I1103" t="s">
        <v>0</v>
      </c>
      <c r="J1103" t="s">
        <v>64</v>
      </c>
      <c r="K1103" t="s">
        <v>363</v>
      </c>
      <c r="L1103" t="s">
        <v>70</v>
      </c>
      <c r="M1103" s="3" t="s">
        <v>1187</v>
      </c>
      <c r="N1103" s="20" t="s">
        <v>1235</v>
      </c>
    </row>
    <row r="1104" spans="1:16" hidden="1" x14ac:dyDescent="0.25">
      <c r="A1104" s="1" t="str">
        <f>VLOOKUP(Table2[[#This Row],[Prod Line ]],Lists!A:E,5,0)</f>
        <v>a</v>
      </c>
      <c r="B1104" s="1">
        <v>44322</v>
      </c>
      <c r="C1104" s="1">
        <v>44321</v>
      </c>
      <c r="D1104" s="1" t="s">
        <v>56</v>
      </c>
      <c r="E1104" s="2" t="s">
        <v>405</v>
      </c>
      <c r="F1104" s="1"/>
      <c r="G1104" s="2">
        <v>6</v>
      </c>
      <c r="H1104" s="1"/>
      <c r="I1104" t="s">
        <v>0</v>
      </c>
      <c r="J1104" t="s">
        <v>64</v>
      </c>
      <c r="K1104" t="s">
        <v>370</v>
      </c>
      <c r="L1104" t="s">
        <v>70</v>
      </c>
      <c r="M1104" s="3" t="s">
        <v>1201</v>
      </c>
    </row>
    <row r="1105" spans="1:14" hidden="1" x14ac:dyDescent="0.25">
      <c r="A1105" s="1" t="str">
        <f>VLOOKUP(Table2[[#This Row],[Prod Line ]],Lists!A:E,5,0)</f>
        <v>a</v>
      </c>
      <c r="B1105" s="1">
        <v>44322</v>
      </c>
      <c r="C1105" s="1">
        <v>44321</v>
      </c>
      <c r="D1105" s="1" t="s">
        <v>56</v>
      </c>
      <c r="E1105" s="2" t="s">
        <v>405</v>
      </c>
      <c r="F1105" s="1"/>
      <c r="G1105" s="2">
        <v>3</v>
      </c>
      <c r="H1105" s="1"/>
      <c r="I1105" t="s">
        <v>1</v>
      </c>
      <c r="J1105" t="s">
        <v>64</v>
      </c>
      <c r="K1105" t="s">
        <v>369</v>
      </c>
      <c r="L1105" t="s">
        <v>407</v>
      </c>
      <c r="M1105" s="3" t="s">
        <v>750</v>
      </c>
    </row>
    <row r="1106" spans="1:14" hidden="1" x14ac:dyDescent="0.25">
      <c r="A1106" s="1" t="str">
        <f>VLOOKUP(Table2[[#This Row],[Prod Line ]],Lists!A:E,5,0)</f>
        <v>d</v>
      </c>
      <c r="B1106" s="1">
        <v>44323</v>
      </c>
      <c r="C1106" s="1">
        <v>44322</v>
      </c>
      <c r="D1106" s="1" t="s">
        <v>62</v>
      </c>
      <c r="E1106" s="2" t="s">
        <v>405</v>
      </c>
      <c r="F1106" s="1"/>
      <c r="G1106" s="2">
        <v>4</v>
      </c>
      <c r="H1106" s="1"/>
      <c r="I1106" t="s">
        <v>1</v>
      </c>
      <c r="J1106" t="s">
        <v>2</v>
      </c>
      <c r="K1106" t="s">
        <v>19</v>
      </c>
      <c r="L1106" t="s">
        <v>349</v>
      </c>
      <c r="M1106" s="3" t="s">
        <v>1202</v>
      </c>
    </row>
    <row r="1107" spans="1:14" hidden="1" x14ac:dyDescent="0.25">
      <c r="A1107" s="1" t="str">
        <f>VLOOKUP(Table2[[#This Row],[Prod Line ]],Lists!A:E,5,0)</f>
        <v>a</v>
      </c>
      <c r="B1107" s="1">
        <v>44324</v>
      </c>
      <c r="C1107" s="1">
        <v>44323</v>
      </c>
      <c r="D1107" s="1" t="s">
        <v>56</v>
      </c>
      <c r="E1107" s="2" t="s">
        <v>404</v>
      </c>
      <c r="F1107" s="1"/>
      <c r="G1107" s="2">
        <v>25</v>
      </c>
      <c r="H1107" s="1"/>
      <c r="I1107" t="s">
        <v>0</v>
      </c>
      <c r="J1107" t="s">
        <v>64</v>
      </c>
      <c r="K1107" t="s">
        <v>363</v>
      </c>
      <c r="L1107" t="s">
        <v>70</v>
      </c>
      <c r="M1107" s="3" t="s">
        <v>1187</v>
      </c>
      <c r="N1107" s="20" t="s">
        <v>1235</v>
      </c>
    </row>
    <row r="1108" spans="1:14" hidden="1" x14ac:dyDescent="0.25">
      <c r="A1108" s="1" t="str">
        <f>VLOOKUP(Table2[[#This Row],[Prod Line ]],Lists!A:E,5,0)</f>
        <v>a</v>
      </c>
      <c r="B1108" s="1">
        <v>44324</v>
      </c>
      <c r="C1108" s="1">
        <v>44323</v>
      </c>
      <c r="D1108" s="1" t="s">
        <v>56</v>
      </c>
      <c r="E1108" s="2" t="s">
        <v>404</v>
      </c>
      <c r="F1108" s="1"/>
      <c r="G1108" s="2">
        <v>6</v>
      </c>
      <c r="H1108" s="1"/>
      <c r="I1108" t="s">
        <v>0</v>
      </c>
      <c r="J1108" t="s">
        <v>65</v>
      </c>
      <c r="K1108" t="s">
        <v>372</v>
      </c>
      <c r="L1108" t="s">
        <v>70</v>
      </c>
      <c r="M1108" s="3" t="s">
        <v>1080</v>
      </c>
    </row>
    <row r="1109" spans="1:14" hidden="1" x14ac:dyDescent="0.25">
      <c r="A1109" s="1" t="str">
        <f>VLOOKUP(Table2[[#This Row],[Prod Line ]],Lists!A:E,5,0)</f>
        <v>d</v>
      </c>
      <c r="B1109" s="1">
        <v>44324</v>
      </c>
      <c r="C1109" s="1">
        <v>44323</v>
      </c>
      <c r="D1109" s="1" t="s">
        <v>62</v>
      </c>
      <c r="E1109" s="2" t="s">
        <v>406</v>
      </c>
      <c r="F1109" s="1"/>
      <c r="G1109" s="2">
        <v>13</v>
      </c>
      <c r="H1109" s="1"/>
      <c r="I1109" t="s">
        <v>1</v>
      </c>
      <c r="J1109" t="s">
        <v>2</v>
      </c>
      <c r="K1109" t="s">
        <v>19</v>
      </c>
      <c r="L1109" t="s">
        <v>349</v>
      </c>
      <c r="M1109" s="3" t="s">
        <v>1203</v>
      </c>
    </row>
    <row r="1110" spans="1:14" hidden="1" x14ac:dyDescent="0.25">
      <c r="A1110" s="1" t="str">
        <f>VLOOKUP(Table2[[#This Row],[Prod Line ]],Lists!A:E,5,0)</f>
        <v>b</v>
      </c>
      <c r="B1110" s="1">
        <v>44324</v>
      </c>
      <c r="C1110" s="1">
        <v>44323</v>
      </c>
      <c r="D1110" s="1" t="s">
        <v>58</v>
      </c>
      <c r="E1110" s="2" t="s">
        <v>406</v>
      </c>
      <c r="F1110" s="1"/>
      <c r="G1110" s="2">
        <v>15</v>
      </c>
      <c r="H1110" s="1"/>
      <c r="I1110" t="s">
        <v>1</v>
      </c>
      <c r="J1110" t="s">
        <v>5</v>
      </c>
      <c r="K1110" t="s">
        <v>36</v>
      </c>
      <c r="L1110" t="s">
        <v>407</v>
      </c>
      <c r="M1110" s="3" t="s">
        <v>1204</v>
      </c>
    </row>
    <row r="1111" spans="1:14" hidden="1" x14ac:dyDescent="0.25">
      <c r="A1111" s="1" t="str">
        <f>VLOOKUP(Table2[[#This Row],[Prod Line ]],Lists!A:E,5,0)</f>
        <v>b</v>
      </c>
      <c r="B1111" s="1">
        <v>44324</v>
      </c>
      <c r="C1111" s="1">
        <v>44323</v>
      </c>
      <c r="D1111" s="1" t="s">
        <v>58</v>
      </c>
      <c r="E1111" s="2" t="s">
        <v>406</v>
      </c>
      <c r="F1111" s="1"/>
      <c r="G1111" s="2">
        <v>15</v>
      </c>
      <c r="H1111" s="1"/>
      <c r="I1111" t="s">
        <v>1</v>
      </c>
      <c r="J1111" t="s">
        <v>2</v>
      </c>
      <c r="K1111" t="s">
        <v>19</v>
      </c>
      <c r="L1111" t="s">
        <v>349</v>
      </c>
      <c r="M1111" s="3" t="s">
        <v>575</v>
      </c>
    </row>
    <row r="1112" spans="1:14" hidden="1" x14ac:dyDescent="0.25">
      <c r="A1112" s="1" t="str">
        <f>VLOOKUP(Table2[[#This Row],[Prod Line ]],Lists!A:E,5,0)</f>
        <v>b</v>
      </c>
      <c r="B1112" s="1">
        <v>44324</v>
      </c>
      <c r="C1112" s="1">
        <v>44323</v>
      </c>
      <c r="D1112" s="1" t="s">
        <v>58</v>
      </c>
      <c r="E1112" s="2" t="s">
        <v>404</v>
      </c>
      <c r="F1112" s="1"/>
      <c r="G1112" s="2">
        <v>15</v>
      </c>
      <c r="H1112" s="1"/>
      <c r="I1112" t="s">
        <v>0</v>
      </c>
      <c r="J1112" t="s">
        <v>5</v>
      </c>
      <c r="K1112" t="s">
        <v>37</v>
      </c>
      <c r="L1112" t="s">
        <v>70</v>
      </c>
      <c r="M1112" s="3" t="s">
        <v>1205</v>
      </c>
      <c r="N1112" s="20" t="s">
        <v>1237</v>
      </c>
    </row>
    <row r="1113" spans="1:14" hidden="1" x14ac:dyDescent="0.25">
      <c r="A1113" s="1" t="str">
        <f>VLOOKUP(Table2[[#This Row],[Prod Line ]],Lists!A:E,5,0)</f>
        <v>b</v>
      </c>
      <c r="B1113" s="1">
        <v>44324</v>
      </c>
      <c r="C1113" s="1">
        <v>44323</v>
      </c>
      <c r="D1113" s="1" t="s">
        <v>58</v>
      </c>
      <c r="E1113" s="2" t="s">
        <v>404</v>
      </c>
      <c r="F1113" s="1"/>
      <c r="G1113" s="2">
        <v>33</v>
      </c>
      <c r="H1113" s="1"/>
      <c r="I1113" t="s">
        <v>0</v>
      </c>
      <c r="J1113" t="s">
        <v>5</v>
      </c>
      <c r="K1113" t="s">
        <v>37</v>
      </c>
      <c r="L1113" t="s">
        <v>70</v>
      </c>
      <c r="M1113" s="3" t="s">
        <v>1206</v>
      </c>
      <c r="N1113" s="20" t="s">
        <v>1237</v>
      </c>
    </row>
    <row r="1114" spans="1:14" hidden="1" x14ac:dyDescent="0.25">
      <c r="A1114" s="1" t="str">
        <f>VLOOKUP(Table2[[#This Row],[Prod Line ]],Lists!A:E,5,0)</f>
        <v>b</v>
      </c>
      <c r="B1114" s="1">
        <v>44324</v>
      </c>
      <c r="C1114" s="1">
        <v>44323</v>
      </c>
      <c r="D1114" s="1" t="s">
        <v>58</v>
      </c>
      <c r="E1114" s="2" t="s">
        <v>406</v>
      </c>
      <c r="F1114" s="1"/>
      <c r="G1114" s="2">
        <v>7</v>
      </c>
      <c r="H1114" s="1"/>
      <c r="I1114" t="s">
        <v>1</v>
      </c>
      <c r="J1114" t="s">
        <v>2</v>
      </c>
      <c r="K1114" t="s">
        <v>13</v>
      </c>
      <c r="L1114" t="s">
        <v>407</v>
      </c>
      <c r="M1114" s="3" t="s">
        <v>1207</v>
      </c>
    </row>
    <row r="1115" spans="1:14" hidden="1" x14ac:dyDescent="0.25">
      <c r="A1115" s="1" t="str">
        <f>VLOOKUP(Table2[[#This Row],[Prod Line ]],Lists!A:E,5,0)</f>
        <v>a</v>
      </c>
      <c r="B1115" s="1">
        <v>44326</v>
      </c>
      <c r="C1115" s="1">
        <v>44324</v>
      </c>
      <c r="D1115" s="1" t="s">
        <v>56</v>
      </c>
      <c r="E1115" s="2" t="s">
        <v>404</v>
      </c>
      <c r="F1115" s="1"/>
      <c r="G1115" s="2">
        <v>3</v>
      </c>
      <c r="H1115" s="1"/>
      <c r="I1115" t="s">
        <v>1</v>
      </c>
      <c r="J1115" t="s">
        <v>64</v>
      </c>
      <c r="K1115" t="s">
        <v>370</v>
      </c>
      <c r="L1115" t="s">
        <v>350</v>
      </c>
      <c r="M1115" s="3" t="s">
        <v>1208</v>
      </c>
    </row>
    <row r="1116" spans="1:14" hidden="1" x14ac:dyDescent="0.25">
      <c r="A1116" s="1" t="str">
        <f>VLOOKUP(Table2[[#This Row],[Prod Line ]],Lists!A:E,5,0)</f>
        <v>a</v>
      </c>
      <c r="B1116" s="1">
        <v>44326</v>
      </c>
      <c r="C1116" s="1">
        <v>44324</v>
      </c>
      <c r="D1116" s="1" t="s">
        <v>56</v>
      </c>
      <c r="E1116" s="2" t="s">
        <v>404</v>
      </c>
      <c r="F1116" s="1"/>
      <c r="G1116" s="2">
        <v>7</v>
      </c>
      <c r="H1116" s="1"/>
      <c r="I1116" t="s">
        <v>0</v>
      </c>
      <c r="J1116" t="s">
        <v>65</v>
      </c>
      <c r="K1116" t="s">
        <v>372</v>
      </c>
      <c r="L1116" t="s">
        <v>70</v>
      </c>
      <c r="M1116" s="3" t="s">
        <v>1209</v>
      </c>
    </row>
    <row r="1117" spans="1:14" hidden="1" x14ac:dyDescent="0.25">
      <c r="A1117" s="1" t="str">
        <f>VLOOKUP(Table2[[#This Row],[Prod Line ]],Lists!A:E,5,0)</f>
        <v>b</v>
      </c>
      <c r="B1117" s="1">
        <v>44326</v>
      </c>
      <c r="C1117" s="1">
        <v>44324</v>
      </c>
      <c r="D1117" s="1" t="s">
        <v>58</v>
      </c>
      <c r="E1117" s="2" t="s">
        <v>404</v>
      </c>
      <c r="F1117" s="1"/>
      <c r="G1117" s="2">
        <v>6</v>
      </c>
      <c r="H1117" s="1"/>
      <c r="I1117" t="s">
        <v>1</v>
      </c>
      <c r="J1117" t="s">
        <v>65</v>
      </c>
      <c r="K1117" t="s">
        <v>3</v>
      </c>
      <c r="L1117" t="s">
        <v>350</v>
      </c>
      <c r="M1117" s="3" t="s">
        <v>884</v>
      </c>
    </row>
    <row r="1118" spans="1:14" hidden="1" x14ac:dyDescent="0.25">
      <c r="A1118" s="1" t="str">
        <f>VLOOKUP(Table2[[#This Row],[Prod Line ]],Lists!A:E,5,0)</f>
        <v>b</v>
      </c>
      <c r="B1118" s="1">
        <v>44326</v>
      </c>
      <c r="C1118" s="1">
        <v>44324</v>
      </c>
      <c r="D1118" s="1" t="s">
        <v>58</v>
      </c>
      <c r="E1118" s="2" t="s">
        <v>404</v>
      </c>
      <c r="F1118" s="1"/>
      <c r="G1118" s="2">
        <v>5</v>
      </c>
      <c r="H1118" s="1"/>
      <c r="I1118" t="s">
        <v>1</v>
      </c>
      <c r="J1118" t="s">
        <v>26</v>
      </c>
      <c r="K1118" t="s">
        <v>25</v>
      </c>
      <c r="L1118" t="s">
        <v>350</v>
      </c>
      <c r="M1118" s="3" t="s">
        <v>1210</v>
      </c>
    </row>
    <row r="1119" spans="1:14" hidden="1" x14ac:dyDescent="0.25">
      <c r="A1119" s="1" t="str">
        <f>VLOOKUP(Table2[[#This Row],[Prod Line ]],Lists!A:E,5,0)</f>
        <v>b</v>
      </c>
      <c r="B1119" s="1">
        <v>44326</v>
      </c>
      <c r="C1119" s="1">
        <v>44324</v>
      </c>
      <c r="D1119" s="1" t="s">
        <v>58</v>
      </c>
      <c r="E1119" s="2" t="s">
        <v>404</v>
      </c>
      <c r="F1119" s="1"/>
      <c r="G1119" s="2">
        <v>9</v>
      </c>
      <c r="H1119" s="1"/>
      <c r="I1119" t="s">
        <v>1</v>
      </c>
      <c r="J1119" t="s">
        <v>2</v>
      </c>
      <c r="K1119" t="s">
        <v>19</v>
      </c>
      <c r="L1119" t="s">
        <v>349</v>
      </c>
      <c r="M1119" s="3" t="s">
        <v>766</v>
      </c>
    </row>
    <row r="1120" spans="1:14" hidden="1" x14ac:dyDescent="0.25">
      <c r="A1120" s="1" t="str">
        <f>VLOOKUP(Table2[[#This Row],[Prod Line ]],Lists!A:E,5,0)</f>
        <v>b</v>
      </c>
      <c r="B1120" s="1">
        <v>44326</v>
      </c>
      <c r="C1120" s="1">
        <v>44324</v>
      </c>
      <c r="D1120" s="1" t="s">
        <v>58</v>
      </c>
      <c r="E1120" s="2" t="s">
        <v>405</v>
      </c>
      <c r="F1120" s="1"/>
      <c r="G1120" s="2">
        <v>12</v>
      </c>
      <c r="H1120" s="1"/>
      <c r="I1120" t="s">
        <v>1</v>
      </c>
      <c r="J1120" t="s">
        <v>26</v>
      </c>
      <c r="K1120" t="s">
        <v>25</v>
      </c>
      <c r="L1120" t="s">
        <v>350</v>
      </c>
      <c r="M1120" s="3" t="s">
        <v>1211</v>
      </c>
    </row>
    <row r="1121" spans="1:14" hidden="1" x14ac:dyDescent="0.25">
      <c r="A1121" s="1" t="str">
        <f>VLOOKUP(Table2[[#This Row],[Prod Line ]],Lists!A:E,5,0)</f>
        <v>b</v>
      </c>
      <c r="B1121" s="1">
        <v>44326</v>
      </c>
      <c r="C1121" s="1">
        <v>44324</v>
      </c>
      <c r="D1121" s="1" t="s">
        <v>58</v>
      </c>
      <c r="E1121" s="2" t="s">
        <v>404</v>
      </c>
      <c r="F1121" s="1"/>
      <c r="G1121" s="2">
        <v>6</v>
      </c>
      <c r="H1121" s="1"/>
      <c r="I1121" t="s">
        <v>0</v>
      </c>
      <c r="J1121" t="s">
        <v>65</v>
      </c>
      <c r="K1121" t="s">
        <v>3</v>
      </c>
      <c r="L1121" t="s">
        <v>70</v>
      </c>
      <c r="M1121" s="3" t="s">
        <v>1212</v>
      </c>
    </row>
    <row r="1122" spans="1:14" hidden="1" x14ac:dyDescent="0.25">
      <c r="A1122" s="1" t="str">
        <f>VLOOKUP(Table2[[#This Row],[Prod Line ]],Lists!A:E,5,0)</f>
        <v>c</v>
      </c>
      <c r="B1122" s="1">
        <v>44326</v>
      </c>
      <c r="C1122" s="1">
        <v>44324</v>
      </c>
      <c r="D1122" s="1" t="s">
        <v>60</v>
      </c>
      <c r="E1122" s="2" t="s">
        <v>405</v>
      </c>
      <c r="F1122" s="1"/>
      <c r="G1122" s="2">
        <v>8</v>
      </c>
      <c r="H1122" s="1"/>
      <c r="I1122" t="s">
        <v>1</v>
      </c>
      <c r="J1122" t="s">
        <v>64</v>
      </c>
      <c r="K1122" t="s">
        <v>381</v>
      </c>
      <c r="L1122" t="s">
        <v>72</v>
      </c>
      <c r="M1122" s="3" t="s">
        <v>1213</v>
      </c>
    </row>
    <row r="1123" spans="1:14" hidden="1" x14ac:dyDescent="0.25">
      <c r="A1123" s="1" t="str">
        <f>VLOOKUP(Table2[[#This Row],[Prod Line ]],Lists!A:E,5,0)</f>
        <v>d</v>
      </c>
      <c r="B1123" s="1">
        <v>44326</v>
      </c>
      <c r="C1123" s="1">
        <v>44324</v>
      </c>
      <c r="D1123" s="1" t="s">
        <v>62</v>
      </c>
      <c r="E1123" s="2" t="s">
        <v>406</v>
      </c>
      <c r="F1123" s="1"/>
      <c r="G1123" s="2">
        <v>16</v>
      </c>
      <c r="H1123" s="1"/>
      <c r="I1123" t="s">
        <v>1</v>
      </c>
      <c r="J1123" t="s">
        <v>64</v>
      </c>
      <c r="K1123" t="s">
        <v>379</v>
      </c>
      <c r="L1123" t="s">
        <v>344</v>
      </c>
      <c r="M1123" s="3" t="s">
        <v>1214</v>
      </c>
    </row>
    <row r="1124" spans="1:14" hidden="1" x14ac:dyDescent="0.25">
      <c r="A1124" s="1" t="str">
        <f>VLOOKUP(Table2[[#This Row],[Prod Line ]],Lists!A:E,5,0)</f>
        <v>d</v>
      </c>
      <c r="B1124" s="1">
        <v>44326</v>
      </c>
      <c r="C1124" s="1">
        <v>44324</v>
      </c>
      <c r="D1124" s="1" t="s">
        <v>62</v>
      </c>
      <c r="E1124" s="2" t="s">
        <v>404</v>
      </c>
      <c r="F1124" s="1"/>
      <c r="G1124" s="2">
        <v>15</v>
      </c>
      <c r="H1124" s="1"/>
      <c r="I1124" t="s">
        <v>1</v>
      </c>
      <c r="J1124" t="s">
        <v>5</v>
      </c>
      <c r="K1124" t="s">
        <v>397</v>
      </c>
      <c r="L1124" t="s">
        <v>72</v>
      </c>
      <c r="M1124" s="3" t="s">
        <v>1215</v>
      </c>
    </row>
    <row r="1125" spans="1:14" hidden="1" x14ac:dyDescent="0.25">
      <c r="A1125" s="1" t="str">
        <f>VLOOKUP(Table2[[#This Row],[Prod Line ]],Lists!A:E,5,0)</f>
        <v>d</v>
      </c>
      <c r="B1125" s="1">
        <v>44326</v>
      </c>
      <c r="C1125" s="1">
        <v>44324</v>
      </c>
      <c r="D1125" s="1" t="s">
        <v>62</v>
      </c>
      <c r="E1125" s="2" t="s">
        <v>404</v>
      </c>
      <c r="F1125" s="1"/>
      <c r="G1125" s="2">
        <v>3</v>
      </c>
      <c r="H1125" s="1"/>
      <c r="I1125" t="s">
        <v>1</v>
      </c>
      <c r="J1125" t="s">
        <v>2</v>
      </c>
      <c r="K1125" t="s">
        <v>19</v>
      </c>
      <c r="L1125" t="s">
        <v>349</v>
      </c>
      <c r="M1125" s="3" t="s">
        <v>602</v>
      </c>
    </row>
    <row r="1126" spans="1:14" hidden="1" x14ac:dyDescent="0.25">
      <c r="A1126" s="1" t="str">
        <f>VLOOKUP(Table2[[#This Row],[Prod Line ]],Lists!A:E,5,0)</f>
        <v>d</v>
      </c>
      <c r="B1126" s="1">
        <v>44326</v>
      </c>
      <c r="C1126" s="1">
        <v>44324</v>
      </c>
      <c r="D1126" s="1" t="s">
        <v>62</v>
      </c>
      <c r="E1126" s="2" t="s">
        <v>405</v>
      </c>
      <c r="F1126" s="1"/>
      <c r="G1126" s="2">
        <v>15</v>
      </c>
      <c r="H1126" s="1"/>
      <c r="I1126" t="s">
        <v>1</v>
      </c>
      <c r="J1126" t="s">
        <v>64</v>
      </c>
      <c r="K1126" t="s">
        <v>379</v>
      </c>
      <c r="L1126" t="s">
        <v>72</v>
      </c>
      <c r="M1126" s="3" t="s">
        <v>1216</v>
      </c>
    </row>
    <row r="1127" spans="1:14" hidden="1" x14ac:dyDescent="0.25">
      <c r="A1127" s="1" t="str">
        <f>VLOOKUP(Table2[[#This Row],[Prod Line ]],Lists!A:E,5,0)</f>
        <v>d</v>
      </c>
      <c r="B1127" s="1">
        <v>44326</v>
      </c>
      <c r="C1127" s="1">
        <v>44324</v>
      </c>
      <c r="D1127" s="1" t="s">
        <v>62</v>
      </c>
      <c r="E1127" s="2" t="s">
        <v>405</v>
      </c>
      <c r="F1127" s="1"/>
      <c r="G1127" s="2">
        <v>5</v>
      </c>
      <c r="H1127" s="1"/>
      <c r="I1127" t="s">
        <v>1</v>
      </c>
      <c r="J1127" t="s">
        <v>5</v>
      </c>
      <c r="K1127" t="s">
        <v>397</v>
      </c>
      <c r="L1127" t="s">
        <v>72</v>
      </c>
      <c r="M1127" s="3" t="s">
        <v>1217</v>
      </c>
    </row>
    <row r="1128" spans="1:14" hidden="1" x14ac:dyDescent="0.25">
      <c r="A1128" s="1" t="str">
        <f>VLOOKUP(Table2[[#This Row],[Prod Line ]],Lists!A:E,5,0)</f>
        <v>d</v>
      </c>
      <c r="B1128" s="1">
        <v>44326</v>
      </c>
      <c r="C1128" s="1">
        <v>44324</v>
      </c>
      <c r="D1128" s="1" t="s">
        <v>62</v>
      </c>
      <c r="E1128" s="2" t="s">
        <v>405</v>
      </c>
      <c r="F1128" s="1"/>
      <c r="G1128" s="2">
        <v>6</v>
      </c>
      <c r="H1128" s="1"/>
      <c r="I1128" t="s">
        <v>0</v>
      </c>
      <c r="J1128" t="s">
        <v>5</v>
      </c>
      <c r="K1128" t="s">
        <v>397</v>
      </c>
      <c r="L1128" t="s">
        <v>70</v>
      </c>
      <c r="M1128" s="3" t="s">
        <v>1218</v>
      </c>
    </row>
    <row r="1129" spans="1:14" hidden="1" x14ac:dyDescent="0.25">
      <c r="A1129" s="1" t="str">
        <f>VLOOKUP(Table2[[#This Row],[Prod Line ]],Lists!A:E,5,0)</f>
        <v>a</v>
      </c>
      <c r="B1129" s="1">
        <v>44327</v>
      </c>
      <c r="C1129" s="1">
        <v>44325</v>
      </c>
      <c r="D1129" s="1" t="s">
        <v>56</v>
      </c>
      <c r="E1129" s="2" t="s">
        <v>404</v>
      </c>
      <c r="F1129" s="1"/>
      <c r="G1129" s="2">
        <v>30</v>
      </c>
      <c r="H1129" s="1"/>
      <c r="I1129" t="s">
        <v>1</v>
      </c>
      <c r="J1129" t="s">
        <v>5</v>
      </c>
      <c r="K1129" t="s">
        <v>376</v>
      </c>
      <c r="L1129" t="s">
        <v>72</v>
      </c>
      <c r="M1129" s="3" t="s">
        <v>1219</v>
      </c>
    </row>
    <row r="1130" spans="1:14" hidden="1" x14ac:dyDescent="0.25">
      <c r="A1130" s="1" t="str">
        <f>VLOOKUP(Table2[[#This Row],[Prod Line ]],Lists!A:E,5,0)</f>
        <v>a</v>
      </c>
      <c r="B1130" s="1">
        <v>44327</v>
      </c>
      <c r="C1130" s="1">
        <v>44325</v>
      </c>
      <c r="D1130" s="1" t="s">
        <v>56</v>
      </c>
      <c r="E1130" s="2" t="s">
        <v>404</v>
      </c>
      <c r="F1130" s="1"/>
      <c r="G1130" s="2">
        <v>4</v>
      </c>
      <c r="H1130" s="1"/>
      <c r="I1130" t="s">
        <v>0</v>
      </c>
      <c r="J1130" t="s">
        <v>64</v>
      </c>
      <c r="K1130" t="s">
        <v>370</v>
      </c>
      <c r="L1130" t="s">
        <v>70</v>
      </c>
      <c r="M1130" s="3" t="s">
        <v>1220</v>
      </c>
    </row>
    <row r="1131" spans="1:14" hidden="1" x14ac:dyDescent="0.25">
      <c r="A1131" s="1" t="str">
        <f>VLOOKUP(Table2[[#This Row],[Prod Line ]],Lists!A:E,5,0)</f>
        <v>c</v>
      </c>
      <c r="B1131" s="1">
        <v>44327</v>
      </c>
      <c r="C1131" s="1">
        <v>44325</v>
      </c>
      <c r="D1131" s="1" t="s">
        <v>60</v>
      </c>
      <c r="E1131" s="2" t="s">
        <v>405</v>
      </c>
      <c r="F1131" s="1"/>
      <c r="G1131" s="2">
        <v>10</v>
      </c>
      <c r="H1131" s="1"/>
      <c r="I1131" t="s">
        <v>1</v>
      </c>
      <c r="J1131" t="s">
        <v>2</v>
      </c>
      <c r="K1131" t="s">
        <v>378</v>
      </c>
      <c r="L1131" t="s">
        <v>349</v>
      </c>
      <c r="M1131" s="3" t="s">
        <v>575</v>
      </c>
    </row>
    <row r="1132" spans="1:14" hidden="1" x14ac:dyDescent="0.25">
      <c r="A1132" s="1" t="str">
        <f>VLOOKUP(Table2[[#This Row],[Prod Line ]],Lists!A:E,5,0)</f>
        <v>c</v>
      </c>
      <c r="B1132" s="1">
        <v>44327</v>
      </c>
      <c r="C1132" s="1">
        <v>44325</v>
      </c>
      <c r="D1132" s="1" t="s">
        <v>60</v>
      </c>
      <c r="E1132" s="2" t="s">
        <v>405</v>
      </c>
      <c r="F1132" s="1"/>
      <c r="G1132" s="2">
        <v>10</v>
      </c>
      <c r="H1132" s="1"/>
      <c r="I1132" t="s">
        <v>1</v>
      </c>
      <c r="J1132" t="s">
        <v>26</v>
      </c>
      <c r="K1132" t="s">
        <v>26</v>
      </c>
      <c r="L1132" t="s">
        <v>344</v>
      </c>
      <c r="M1132" s="3" t="s">
        <v>1221</v>
      </c>
    </row>
    <row r="1133" spans="1:14" hidden="1" x14ac:dyDescent="0.25">
      <c r="A1133" s="1" t="str">
        <f>VLOOKUP(Table2[[#This Row],[Prod Line ]],Lists!A:E,5,0)</f>
        <v>d</v>
      </c>
      <c r="B1133" s="1">
        <v>44327</v>
      </c>
      <c r="C1133" s="1">
        <v>44325</v>
      </c>
      <c r="D1133" s="1" t="s">
        <v>62</v>
      </c>
      <c r="E1133" s="2" t="s">
        <v>404</v>
      </c>
      <c r="F1133" s="1"/>
      <c r="G1133" s="2">
        <v>6</v>
      </c>
      <c r="H1133" s="1"/>
      <c r="I1133" t="s">
        <v>1</v>
      </c>
      <c r="J1133" t="s">
        <v>2</v>
      </c>
      <c r="K1133" t="s">
        <v>19</v>
      </c>
      <c r="L1133" t="s">
        <v>349</v>
      </c>
      <c r="M1133" s="3" t="s">
        <v>575</v>
      </c>
    </row>
    <row r="1134" spans="1:14" hidden="1" x14ac:dyDescent="0.25">
      <c r="A1134" s="1" t="str">
        <f>VLOOKUP(Table2[[#This Row],[Prod Line ]],Lists!A:E,5,0)</f>
        <v>d</v>
      </c>
      <c r="B1134" s="1">
        <v>44327</v>
      </c>
      <c r="C1134" s="1">
        <v>44325</v>
      </c>
      <c r="D1134" s="1" t="s">
        <v>62</v>
      </c>
      <c r="E1134" s="2" t="s">
        <v>405</v>
      </c>
      <c r="F1134" s="1"/>
      <c r="G1134" s="2">
        <v>12</v>
      </c>
      <c r="H1134" s="1"/>
      <c r="I1134" t="s">
        <v>1</v>
      </c>
      <c r="J1134" t="s">
        <v>2</v>
      </c>
      <c r="K1134" t="s">
        <v>19</v>
      </c>
      <c r="L1134" t="s">
        <v>349</v>
      </c>
      <c r="M1134" s="3" t="s">
        <v>575</v>
      </c>
    </row>
    <row r="1135" spans="1:14" hidden="1" x14ac:dyDescent="0.25">
      <c r="A1135" s="1" t="str">
        <f>VLOOKUP(Table2[[#This Row],[Prod Line ]],Lists!A:E,5,0)</f>
        <v>c</v>
      </c>
      <c r="B1135" s="1">
        <v>44327</v>
      </c>
      <c r="C1135" s="1">
        <v>44325</v>
      </c>
      <c r="D1135" s="1" t="s">
        <v>60</v>
      </c>
      <c r="E1135" s="2" t="s">
        <v>404</v>
      </c>
      <c r="F1135" s="1"/>
      <c r="G1135" s="2">
        <v>28</v>
      </c>
      <c r="H1135" s="1"/>
      <c r="I1135" t="s">
        <v>1</v>
      </c>
      <c r="J1135" t="s">
        <v>64</v>
      </c>
      <c r="K1135" t="s">
        <v>368</v>
      </c>
      <c r="L1135" t="s">
        <v>407</v>
      </c>
      <c r="M1135" s="3" t="s">
        <v>875</v>
      </c>
    </row>
    <row r="1136" spans="1:14" ht="30" hidden="1" x14ac:dyDescent="0.25">
      <c r="A1136" s="1" t="str">
        <f>VLOOKUP(Table2[[#This Row],[Prod Line ]],Lists!A:E,5,0)</f>
        <v>b</v>
      </c>
      <c r="B1136" s="1">
        <v>44327</v>
      </c>
      <c r="C1136" s="1">
        <v>44325</v>
      </c>
      <c r="D1136" s="1" t="s">
        <v>58</v>
      </c>
      <c r="E1136" s="2" t="s">
        <v>404</v>
      </c>
      <c r="F1136" s="1"/>
      <c r="G1136" s="2">
        <v>170</v>
      </c>
      <c r="H1136" s="1"/>
      <c r="I1136" t="s">
        <v>0</v>
      </c>
      <c r="J1136" t="s">
        <v>65</v>
      </c>
      <c r="K1136" t="s">
        <v>3</v>
      </c>
      <c r="L1136" t="s">
        <v>70</v>
      </c>
      <c r="M1136" s="3" t="s">
        <v>1222</v>
      </c>
      <c r="N1136" s="20" t="s">
        <v>1238</v>
      </c>
    </row>
    <row r="1137" spans="1:14" hidden="1" x14ac:dyDescent="0.25">
      <c r="A1137" s="1" t="str">
        <f>VLOOKUP(Table2[[#This Row],[Prod Line ]],Lists!A:E,5,0)</f>
        <v>a</v>
      </c>
      <c r="B1137" s="1">
        <v>44329</v>
      </c>
      <c r="C1137" s="1">
        <v>44327</v>
      </c>
      <c r="D1137" s="1" t="s">
        <v>56</v>
      </c>
      <c r="E1137" s="2" t="s">
        <v>404</v>
      </c>
      <c r="F1137" s="1"/>
      <c r="G1137" s="2">
        <v>17</v>
      </c>
      <c r="H1137" s="1"/>
      <c r="I1137" t="s">
        <v>1</v>
      </c>
      <c r="J1137" t="s">
        <v>64</v>
      </c>
      <c r="K1137" t="s">
        <v>363</v>
      </c>
      <c r="L1137" t="s">
        <v>407</v>
      </c>
      <c r="M1137" s="3" t="s">
        <v>833</v>
      </c>
    </row>
    <row r="1138" spans="1:14" hidden="1" x14ac:dyDescent="0.25">
      <c r="A1138" s="1" t="str">
        <f>VLOOKUP(Table2[[#This Row],[Prod Line ]],Lists!A:E,5,0)</f>
        <v>d</v>
      </c>
      <c r="B1138" s="1">
        <v>44329</v>
      </c>
      <c r="C1138" s="1">
        <v>44327</v>
      </c>
      <c r="D1138" s="1" t="s">
        <v>62</v>
      </c>
      <c r="E1138" s="2" t="s">
        <v>404</v>
      </c>
      <c r="F1138" s="1"/>
      <c r="G1138" s="2">
        <v>5</v>
      </c>
      <c r="H1138" s="1"/>
      <c r="I1138" t="s">
        <v>1</v>
      </c>
      <c r="J1138" t="s">
        <v>2</v>
      </c>
      <c r="K1138" t="s">
        <v>19</v>
      </c>
      <c r="L1138" t="s">
        <v>349</v>
      </c>
      <c r="M1138" s="3" t="s">
        <v>1223</v>
      </c>
    </row>
    <row r="1139" spans="1:14" ht="45" hidden="1" x14ac:dyDescent="0.25">
      <c r="A1139" s="1" t="str">
        <f>VLOOKUP(Table2[[#This Row],[Prod Line ]],Lists!A:E,5,0)</f>
        <v>a</v>
      </c>
      <c r="B1139" s="1">
        <v>44330</v>
      </c>
      <c r="C1139" s="1">
        <v>44328</v>
      </c>
      <c r="D1139" s="1" t="s">
        <v>56</v>
      </c>
      <c r="E1139" s="2" t="s">
        <v>404</v>
      </c>
      <c r="F1139" s="1"/>
      <c r="G1139" s="2">
        <v>89</v>
      </c>
      <c r="H1139" s="1"/>
      <c r="I1139" t="s">
        <v>0</v>
      </c>
      <c r="J1139" t="s">
        <v>64</v>
      </c>
      <c r="K1139" t="s">
        <v>363</v>
      </c>
      <c r="L1139" t="s">
        <v>70</v>
      </c>
      <c r="M1139" s="3" t="s">
        <v>1187</v>
      </c>
      <c r="N1139" s="20" t="s">
        <v>1239</v>
      </c>
    </row>
    <row r="1140" spans="1:14" hidden="1" x14ac:dyDescent="0.25">
      <c r="A1140" s="1" t="str">
        <f>VLOOKUP(Table2[[#This Row],[Prod Line ]],Lists!A:E,5,0)</f>
        <v>b</v>
      </c>
      <c r="B1140" s="1">
        <v>44330</v>
      </c>
      <c r="C1140" s="1">
        <v>44328</v>
      </c>
      <c r="D1140" s="1" t="s">
        <v>58</v>
      </c>
      <c r="E1140" s="2" t="s">
        <v>404</v>
      </c>
      <c r="F1140" s="1"/>
      <c r="G1140" s="2">
        <v>9</v>
      </c>
      <c r="H1140" s="1"/>
      <c r="I1140" t="s">
        <v>1</v>
      </c>
      <c r="J1140" t="s">
        <v>65</v>
      </c>
      <c r="K1140" t="s">
        <v>27</v>
      </c>
      <c r="L1140" t="s">
        <v>350</v>
      </c>
      <c r="M1140" s="3" t="s">
        <v>1011</v>
      </c>
    </row>
    <row r="1141" spans="1:14" hidden="1" x14ac:dyDescent="0.25">
      <c r="A1141" s="1" t="str">
        <f>VLOOKUP(Table2[[#This Row],[Prod Line ]],Lists!A:E,5,0)</f>
        <v>d</v>
      </c>
      <c r="B1141" s="1">
        <v>44330</v>
      </c>
      <c r="C1141" s="1">
        <v>44328</v>
      </c>
      <c r="D1141" s="1" t="s">
        <v>62</v>
      </c>
      <c r="E1141" s="2" t="s">
        <v>404</v>
      </c>
      <c r="F1141" s="1"/>
      <c r="G1141" s="2">
        <v>20</v>
      </c>
      <c r="H1141" s="1"/>
      <c r="I1141" t="s">
        <v>1</v>
      </c>
      <c r="J1141" t="s">
        <v>5</v>
      </c>
      <c r="K1141" t="s">
        <v>397</v>
      </c>
      <c r="L1141" t="s">
        <v>407</v>
      </c>
      <c r="M1141" s="3" t="s">
        <v>1224</v>
      </c>
    </row>
    <row r="1142" spans="1:14" hidden="1" x14ac:dyDescent="0.25">
      <c r="A1142" s="1" t="str">
        <f>VLOOKUP(Table2[[#This Row],[Prod Line ]],Lists!A:E,5,0)</f>
        <v>d</v>
      </c>
      <c r="B1142" s="1">
        <v>44330</v>
      </c>
      <c r="C1142" s="1">
        <v>44328</v>
      </c>
      <c r="D1142" s="1" t="s">
        <v>62</v>
      </c>
      <c r="E1142" s="2" t="s">
        <v>405</v>
      </c>
      <c r="F1142" s="1"/>
      <c r="G1142" s="2">
        <v>23</v>
      </c>
      <c r="H1142" s="1"/>
      <c r="I1142" t="s">
        <v>1</v>
      </c>
      <c r="J1142" t="s">
        <v>5</v>
      </c>
      <c r="K1142" t="s">
        <v>397</v>
      </c>
      <c r="L1142" t="s">
        <v>407</v>
      </c>
      <c r="M1142" s="3" t="s">
        <v>48</v>
      </c>
    </row>
    <row r="1143" spans="1:14" hidden="1" x14ac:dyDescent="0.25">
      <c r="A1143" s="1" t="str">
        <f>VLOOKUP(Table2[[#This Row],[Prod Line ]],Lists!A:E,5,0)</f>
        <v>a</v>
      </c>
      <c r="B1143" s="1">
        <v>44331</v>
      </c>
      <c r="C1143" s="1">
        <v>44329</v>
      </c>
      <c r="D1143" s="1" t="s">
        <v>56</v>
      </c>
      <c r="E1143" s="2" t="s">
        <v>404</v>
      </c>
      <c r="F1143" s="1"/>
      <c r="G1143" s="2">
        <v>15</v>
      </c>
      <c r="H1143" s="1"/>
      <c r="I1143" t="s">
        <v>1</v>
      </c>
      <c r="J1143" t="s">
        <v>64</v>
      </c>
      <c r="K1143" t="s">
        <v>367</v>
      </c>
      <c r="L1143" t="s">
        <v>407</v>
      </c>
      <c r="M1143" s="3" t="s">
        <v>833</v>
      </c>
    </row>
    <row r="1144" spans="1:14" hidden="1" x14ac:dyDescent="0.25">
      <c r="A1144" s="1" t="str">
        <f>VLOOKUP(Table2[[#This Row],[Prod Line ]],Lists!A:E,5,0)</f>
        <v>a</v>
      </c>
      <c r="B1144" s="1">
        <v>44331</v>
      </c>
      <c r="C1144" s="1">
        <v>44329</v>
      </c>
      <c r="D1144" s="1" t="s">
        <v>56</v>
      </c>
      <c r="E1144" s="2" t="s">
        <v>405</v>
      </c>
      <c r="F1144" s="1"/>
      <c r="G1144" s="2">
        <v>32</v>
      </c>
      <c r="H1144" s="1"/>
      <c r="I1144" t="s">
        <v>1</v>
      </c>
      <c r="J1144" t="s">
        <v>5</v>
      </c>
      <c r="K1144" t="s">
        <v>376</v>
      </c>
      <c r="L1144" t="s">
        <v>407</v>
      </c>
      <c r="M1144" s="3" t="s">
        <v>1225</v>
      </c>
    </row>
    <row r="1145" spans="1:14" hidden="1" x14ac:dyDescent="0.25">
      <c r="A1145" s="1" t="str">
        <f>VLOOKUP(Table2[[#This Row],[Prod Line ]],Lists!A:E,5,0)</f>
        <v>b</v>
      </c>
      <c r="B1145" s="1">
        <v>44331</v>
      </c>
      <c r="C1145" s="1">
        <v>44329</v>
      </c>
      <c r="D1145" s="1" t="s">
        <v>58</v>
      </c>
      <c r="E1145" s="2" t="s">
        <v>406</v>
      </c>
      <c r="F1145" s="1"/>
      <c r="G1145" s="2">
        <v>3</v>
      </c>
      <c r="H1145" s="1"/>
      <c r="I1145" t="s">
        <v>1</v>
      </c>
      <c r="J1145" t="s">
        <v>26</v>
      </c>
      <c r="K1145" t="s">
        <v>25</v>
      </c>
      <c r="L1145" t="s">
        <v>441</v>
      </c>
      <c r="M1145" s="3" t="s">
        <v>1226</v>
      </c>
    </row>
    <row r="1146" spans="1:14" hidden="1" x14ac:dyDescent="0.25">
      <c r="A1146" s="1" t="str">
        <f>VLOOKUP(Table2[[#This Row],[Prod Line ]],Lists!A:E,5,0)</f>
        <v>b</v>
      </c>
      <c r="B1146" s="1">
        <v>44331</v>
      </c>
      <c r="C1146" s="1">
        <v>44330</v>
      </c>
      <c r="D1146" s="1" t="s">
        <v>58</v>
      </c>
      <c r="E1146" s="2" t="s">
        <v>404</v>
      </c>
      <c r="F1146" s="1"/>
      <c r="G1146" s="2">
        <v>3</v>
      </c>
      <c r="H1146" s="1"/>
      <c r="I1146" t="s">
        <v>1</v>
      </c>
      <c r="J1146" t="s">
        <v>26</v>
      </c>
      <c r="K1146" t="s">
        <v>25</v>
      </c>
      <c r="L1146" t="s">
        <v>441</v>
      </c>
      <c r="M1146" s="3" t="s">
        <v>1226</v>
      </c>
    </row>
    <row r="1147" spans="1:14" hidden="1" x14ac:dyDescent="0.25">
      <c r="A1147" s="1" t="str">
        <f>VLOOKUP(Table2[[#This Row],[Prod Line ]],Lists!A:E,5,0)</f>
        <v>a</v>
      </c>
      <c r="B1147" s="1">
        <v>44333</v>
      </c>
      <c r="C1147" s="1">
        <v>44331</v>
      </c>
      <c r="D1147" s="1" t="s">
        <v>56</v>
      </c>
      <c r="E1147" s="2" t="s">
        <v>404</v>
      </c>
      <c r="F1147" s="1"/>
      <c r="G1147" s="2">
        <v>15</v>
      </c>
      <c r="H1147" s="1"/>
      <c r="I1147" t="s">
        <v>1</v>
      </c>
      <c r="J1147" t="s">
        <v>64</v>
      </c>
      <c r="K1147" t="s">
        <v>363</v>
      </c>
      <c r="L1147" t="s">
        <v>72</v>
      </c>
      <c r="M1147" s="3" t="s">
        <v>1227</v>
      </c>
    </row>
    <row r="1148" spans="1:14" hidden="1" x14ac:dyDescent="0.25">
      <c r="A1148" s="1" t="str">
        <f>VLOOKUP(Table2[[#This Row],[Prod Line ]],Lists!A:E,5,0)</f>
        <v>b</v>
      </c>
      <c r="B1148" s="1">
        <v>44333</v>
      </c>
      <c r="C1148" s="1">
        <v>44331</v>
      </c>
      <c r="D1148" s="1" t="s">
        <v>58</v>
      </c>
      <c r="E1148" s="2" t="s">
        <v>406</v>
      </c>
      <c r="F1148" s="1"/>
      <c r="G1148" s="2">
        <v>24</v>
      </c>
      <c r="H1148" s="1"/>
      <c r="I1148" t="s">
        <v>0</v>
      </c>
      <c r="J1148" t="s">
        <v>26</v>
      </c>
      <c r="K1148" t="s">
        <v>25</v>
      </c>
      <c r="L1148" t="s">
        <v>69</v>
      </c>
      <c r="M1148" s="3" t="s">
        <v>1228</v>
      </c>
      <c r="N1148" s="20" t="s">
        <v>1241</v>
      </c>
    </row>
    <row r="1149" spans="1:14" hidden="1" x14ac:dyDescent="0.25">
      <c r="A1149" s="1" t="str">
        <f>VLOOKUP(Table2[[#This Row],[Prod Line ]],Lists!A:E,5,0)</f>
        <v>b</v>
      </c>
      <c r="B1149" s="1">
        <v>44333</v>
      </c>
      <c r="C1149" s="1">
        <v>44331</v>
      </c>
      <c r="D1149" s="1" t="s">
        <v>58</v>
      </c>
      <c r="E1149" s="2" t="s">
        <v>404</v>
      </c>
      <c r="F1149" s="1"/>
      <c r="G1149" s="2">
        <v>10</v>
      </c>
      <c r="H1149" s="1"/>
      <c r="I1149" t="s">
        <v>0</v>
      </c>
      <c r="J1149" t="s">
        <v>65</v>
      </c>
      <c r="K1149" t="s">
        <v>27</v>
      </c>
      <c r="L1149" t="s">
        <v>69</v>
      </c>
      <c r="M1149" s="3" t="s">
        <v>1229</v>
      </c>
      <c r="N1149" s="20" t="s">
        <v>1241</v>
      </c>
    </row>
    <row r="1150" spans="1:14" hidden="1" x14ac:dyDescent="0.25">
      <c r="A1150" s="1" t="str">
        <f>VLOOKUP(Table2[[#This Row],[Prod Line ]],Lists!A:E,5,0)</f>
        <v>b</v>
      </c>
      <c r="B1150" s="1">
        <v>44333</v>
      </c>
      <c r="C1150" s="1">
        <v>44331</v>
      </c>
      <c r="D1150" s="1" t="s">
        <v>58</v>
      </c>
      <c r="E1150" s="2" t="s">
        <v>404</v>
      </c>
      <c r="F1150" s="1"/>
      <c r="G1150" s="2">
        <v>5</v>
      </c>
      <c r="H1150" s="1"/>
      <c r="I1150" t="s">
        <v>1</v>
      </c>
      <c r="J1150" t="s">
        <v>26</v>
      </c>
      <c r="K1150" t="s">
        <v>25</v>
      </c>
      <c r="L1150" t="s">
        <v>72</v>
      </c>
      <c r="M1150" s="3" t="s">
        <v>1230</v>
      </c>
    </row>
    <row r="1151" spans="1:14" hidden="1" x14ac:dyDescent="0.25">
      <c r="A1151" s="1" t="str">
        <f>VLOOKUP(Table2[[#This Row],[Prod Line ]],Lists!A:E,5,0)</f>
        <v>b</v>
      </c>
      <c r="B1151" s="1">
        <v>44333</v>
      </c>
      <c r="C1151" s="1">
        <v>44331</v>
      </c>
      <c r="D1151" s="1" t="s">
        <v>58</v>
      </c>
      <c r="E1151" s="2" t="s">
        <v>404</v>
      </c>
      <c r="F1151" s="1"/>
      <c r="G1151" s="2">
        <v>4</v>
      </c>
      <c r="H1151" s="1"/>
      <c r="I1151" t="s">
        <v>1</v>
      </c>
      <c r="J1151" t="s">
        <v>64</v>
      </c>
      <c r="K1151" t="s">
        <v>21</v>
      </c>
      <c r="L1151" t="s">
        <v>72</v>
      </c>
      <c r="M1151" s="3" t="s">
        <v>1231</v>
      </c>
    </row>
    <row r="1152" spans="1:14" hidden="1" x14ac:dyDescent="0.25">
      <c r="A1152" s="1" t="str">
        <f>VLOOKUP(Table2[[#This Row],[Prod Line ]],Lists!A:E,5,0)</f>
        <v>b</v>
      </c>
      <c r="B1152" s="1">
        <v>44333</v>
      </c>
      <c r="C1152" s="1">
        <v>44331</v>
      </c>
      <c r="D1152" s="1" t="s">
        <v>58</v>
      </c>
      <c r="E1152" s="2" t="s">
        <v>404</v>
      </c>
      <c r="F1152" s="1"/>
      <c r="G1152" s="2">
        <v>18</v>
      </c>
      <c r="H1152" s="1"/>
      <c r="I1152" t="s">
        <v>1</v>
      </c>
      <c r="J1152" t="s">
        <v>26</v>
      </c>
      <c r="K1152" t="s">
        <v>25</v>
      </c>
      <c r="L1152" t="s">
        <v>72</v>
      </c>
      <c r="M1152" s="3" t="s">
        <v>1232</v>
      </c>
    </row>
    <row r="1153" spans="1:14" hidden="1" x14ac:dyDescent="0.25">
      <c r="A1153" s="1" t="str">
        <f>VLOOKUP(Table2[[#This Row],[Prod Line ]],Lists!A:E,5,0)</f>
        <v>d</v>
      </c>
      <c r="B1153" s="1">
        <v>44333</v>
      </c>
      <c r="C1153" s="1">
        <v>44331</v>
      </c>
      <c r="D1153" s="1" t="s">
        <v>62</v>
      </c>
      <c r="E1153" s="2" t="s">
        <v>406</v>
      </c>
      <c r="F1153" s="1"/>
      <c r="G1153" s="2">
        <v>13</v>
      </c>
      <c r="H1153" s="1"/>
      <c r="I1153" t="s">
        <v>1</v>
      </c>
      <c r="J1153" t="s">
        <v>5</v>
      </c>
      <c r="K1153" t="s">
        <v>396</v>
      </c>
      <c r="L1153" t="s">
        <v>72</v>
      </c>
      <c r="M1153" s="3" t="s">
        <v>1233</v>
      </c>
    </row>
    <row r="1154" spans="1:14" hidden="1" x14ac:dyDescent="0.25">
      <c r="A1154" s="1" t="str">
        <f>VLOOKUP(Table2[[#This Row],[Prod Line ]],Lists!A:E,5,0)</f>
        <v>d</v>
      </c>
      <c r="B1154" s="1">
        <v>44333</v>
      </c>
      <c r="C1154" s="1">
        <v>44331</v>
      </c>
      <c r="D1154" s="1" t="s">
        <v>62</v>
      </c>
      <c r="E1154" s="2" t="s">
        <v>404</v>
      </c>
      <c r="F1154" s="1"/>
      <c r="G1154" s="2">
        <v>15</v>
      </c>
      <c r="H1154" s="1"/>
      <c r="I1154" t="s">
        <v>1</v>
      </c>
      <c r="J1154" t="s">
        <v>5</v>
      </c>
      <c r="K1154" t="s">
        <v>396</v>
      </c>
      <c r="L1154" t="s">
        <v>72</v>
      </c>
      <c r="M1154" s="3" t="s">
        <v>1233</v>
      </c>
    </row>
    <row r="1155" spans="1:14" hidden="1" x14ac:dyDescent="0.25">
      <c r="A1155" s="1" t="str">
        <f>VLOOKUP(Table2[[#This Row],[Prod Line ]],Lists!A:E,5,0)</f>
        <v>b</v>
      </c>
      <c r="B1155" s="1">
        <v>44334</v>
      </c>
      <c r="C1155" s="1">
        <v>44332</v>
      </c>
      <c r="D1155" s="1" t="s">
        <v>58</v>
      </c>
      <c r="E1155" s="2" t="s">
        <v>404</v>
      </c>
      <c r="F1155" s="1"/>
      <c r="G1155" s="2">
        <v>10</v>
      </c>
      <c r="H1155" s="1"/>
      <c r="I1155" t="s">
        <v>1</v>
      </c>
      <c r="J1155" t="s">
        <v>65</v>
      </c>
      <c r="K1155" t="s">
        <v>27</v>
      </c>
      <c r="L1155" t="s">
        <v>441</v>
      </c>
      <c r="M1155" s="3" t="s">
        <v>612</v>
      </c>
    </row>
    <row r="1156" spans="1:14" hidden="1" x14ac:dyDescent="0.25">
      <c r="A1156" s="1" t="str">
        <f>VLOOKUP(Table2[[#This Row],[Prod Line ]],Lists!A:E,5,0)</f>
        <v>d</v>
      </c>
      <c r="B1156" s="1">
        <v>44334</v>
      </c>
      <c r="C1156" s="1">
        <v>44332</v>
      </c>
      <c r="D1156" s="1" t="s">
        <v>62</v>
      </c>
      <c r="E1156" s="2" t="s">
        <v>405</v>
      </c>
      <c r="F1156" s="1"/>
      <c r="G1156" s="2">
        <v>10</v>
      </c>
      <c r="H1156" s="1"/>
      <c r="I1156" t="s">
        <v>1</v>
      </c>
      <c r="J1156" t="s">
        <v>64</v>
      </c>
      <c r="K1156" t="s">
        <v>379</v>
      </c>
      <c r="L1156" t="s">
        <v>407</v>
      </c>
      <c r="M1156" s="3" t="s">
        <v>750</v>
      </c>
    </row>
    <row r="1157" spans="1:14" hidden="1" x14ac:dyDescent="0.25">
      <c r="A1157" s="1" t="str">
        <f>VLOOKUP(Table2[[#This Row],[Prod Line ]],Lists!A:E,5,0)</f>
        <v>a</v>
      </c>
      <c r="B1157" s="1">
        <v>44334</v>
      </c>
      <c r="C1157" s="1">
        <v>44332</v>
      </c>
      <c r="D1157" s="1" t="s">
        <v>56</v>
      </c>
      <c r="E1157" s="2" t="s">
        <v>404</v>
      </c>
      <c r="F1157" s="1"/>
      <c r="G1157" s="2">
        <v>16</v>
      </c>
      <c r="H1157" s="1"/>
      <c r="I1157" t="s">
        <v>1</v>
      </c>
      <c r="J1157" t="s">
        <v>5</v>
      </c>
      <c r="K1157" t="s">
        <v>376</v>
      </c>
      <c r="L1157" t="s">
        <v>407</v>
      </c>
      <c r="M1157" s="3" t="s">
        <v>48</v>
      </c>
    </row>
    <row r="1158" spans="1:14" hidden="1" x14ac:dyDescent="0.25">
      <c r="A1158" s="1" t="str">
        <f>VLOOKUP(Table2[[#This Row],[Prod Line ]],Lists!A:E,5,0)</f>
        <v>a</v>
      </c>
      <c r="B1158" s="1">
        <v>44334</v>
      </c>
      <c r="C1158" s="1">
        <v>44332</v>
      </c>
      <c r="D1158" s="1" t="s">
        <v>56</v>
      </c>
      <c r="E1158" s="2" t="s">
        <v>405</v>
      </c>
      <c r="F1158" s="1"/>
      <c r="G1158" s="2">
        <v>35</v>
      </c>
      <c r="H1158" s="1"/>
      <c r="I1158" t="s">
        <v>0</v>
      </c>
      <c r="J1158" t="s">
        <v>5</v>
      </c>
      <c r="K1158" t="s">
        <v>376</v>
      </c>
      <c r="L1158" t="s">
        <v>70</v>
      </c>
      <c r="M1158" s="3" t="s">
        <v>1234</v>
      </c>
      <c r="N1158" s="20" t="s">
        <v>1240</v>
      </c>
    </row>
    <row r="1159" spans="1:14" hidden="1" x14ac:dyDescent="0.25">
      <c r="A1159" s="1" t="str">
        <f>VLOOKUP(Table2[[#This Row],[Prod Line ]],Lists!A:E,5,0)</f>
        <v>c</v>
      </c>
      <c r="B1159" s="1">
        <v>44334</v>
      </c>
      <c r="C1159" s="1">
        <v>44332</v>
      </c>
      <c r="D1159" s="1" t="s">
        <v>60</v>
      </c>
      <c r="E1159" s="2" t="s">
        <v>404</v>
      </c>
      <c r="F1159" s="1"/>
      <c r="G1159" s="2">
        <v>13</v>
      </c>
      <c r="H1159" s="1"/>
      <c r="I1159" t="s">
        <v>1</v>
      </c>
      <c r="J1159" t="s">
        <v>64</v>
      </c>
      <c r="K1159" t="s">
        <v>379</v>
      </c>
      <c r="L1159" t="s">
        <v>407</v>
      </c>
      <c r="M1159" s="3" t="s">
        <v>833</v>
      </c>
    </row>
    <row r="1160" spans="1:14" hidden="1" x14ac:dyDescent="0.25">
      <c r="A1160" s="1" t="str">
        <f>VLOOKUP(Table2[[#This Row],[Prod Line ]],Lists!A:E,5,0)</f>
        <v>a</v>
      </c>
      <c r="B1160" s="1">
        <v>44336</v>
      </c>
      <c r="C1160" s="1">
        <v>44334</v>
      </c>
      <c r="D1160" s="1" t="s">
        <v>56</v>
      </c>
      <c r="E1160" s="2" t="s">
        <v>405</v>
      </c>
      <c r="F1160" s="1"/>
      <c r="G1160" s="2">
        <v>52</v>
      </c>
      <c r="H1160" s="1"/>
      <c r="I1160" t="s">
        <v>0</v>
      </c>
      <c r="J1160" t="s">
        <v>5</v>
      </c>
      <c r="K1160" t="s">
        <v>376</v>
      </c>
      <c r="L1160" t="s">
        <v>70</v>
      </c>
      <c r="M1160" s="3" t="s">
        <v>1242</v>
      </c>
      <c r="N1160" s="20" t="s">
        <v>1240</v>
      </c>
    </row>
    <row r="1161" spans="1:14" hidden="1" x14ac:dyDescent="0.25">
      <c r="A1161" s="1" t="str">
        <f>VLOOKUP(Table2[[#This Row],[Prod Line ]],Lists!A:E,5,0)</f>
        <v>b</v>
      </c>
      <c r="B1161" s="1">
        <v>44336</v>
      </c>
      <c r="C1161" s="1">
        <v>44334</v>
      </c>
      <c r="D1161" s="1" t="s">
        <v>58</v>
      </c>
      <c r="E1161" s="2" t="s">
        <v>406</v>
      </c>
      <c r="F1161" s="1"/>
      <c r="G1161" s="2">
        <v>5</v>
      </c>
      <c r="H1161" s="1"/>
      <c r="I1161" t="s">
        <v>1</v>
      </c>
      <c r="J1161" t="s">
        <v>65</v>
      </c>
      <c r="K1161" t="s">
        <v>27</v>
      </c>
      <c r="L1161" t="s">
        <v>441</v>
      </c>
      <c r="M1161" s="3" t="s">
        <v>1243</v>
      </c>
    </row>
    <row r="1162" spans="1:14" hidden="1" x14ac:dyDescent="0.25">
      <c r="A1162" s="1" t="str">
        <f>VLOOKUP(Table2[[#This Row],[Prod Line ]],Lists!A:E,5,0)</f>
        <v>a</v>
      </c>
      <c r="B1162" s="1">
        <v>44338</v>
      </c>
      <c r="C1162" s="1">
        <v>44336</v>
      </c>
      <c r="D1162" s="1" t="s">
        <v>56</v>
      </c>
      <c r="E1162" s="2" t="s">
        <v>404</v>
      </c>
      <c r="F1162" s="1"/>
      <c r="G1162" s="2">
        <v>14</v>
      </c>
      <c r="H1162" s="1"/>
      <c r="I1162" t="s">
        <v>0</v>
      </c>
      <c r="J1162" t="s">
        <v>64</v>
      </c>
      <c r="K1162" t="s">
        <v>363</v>
      </c>
      <c r="L1162" t="s">
        <v>70</v>
      </c>
      <c r="M1162" s="3" t="s">
        <v>1244</v>
      </c>
      <c r="N1162" s="20" t="s">
        <v>1286</v>
      </c>
    </row>
    <row r="1163" spans="1:14" hidden="1" x14ac:dyDescent="0.25">
      <c r="A1163" s="1" t="str">
        <f>VLOOKUP(Table2[[#This Row],[Prod Line ]],Lists!A:E,5,0)</f>
        <v>a</v>
      </c>
      <c r="B1163" s="1">
        <v>44338</v>
      </c>
      <c r="C1163" s="1">
        <v>44336</v>
      </c>
      <c r="D1163" s="1" t="s">
        <v>56</v>
      </c>
      <c r="E1163" s="2" t="s">
        <v>405</v>
      </c>
      <c r="F1163" s="1"/>
      <c r="G1163" s="2">
        <v>13</v>
      </c>
      <c r="H1163" s="1"/>
      <c r="I1163" t="s">
        <v>1</v>
      </c>
      <c r="J1163" t="s">
        <v>65</v>
      </c>
      <c r="K1163" t="s">
        <v>372</v>
      </c>
      <c r="L1163" t="s">
        <v>441</v>
      </c>
      <c r="M1163" s="3" t="s">
        <v>1080</v>
      </c>
    </row>
    <row r="1164" spans="1:14" hidden="1" x14ac:dyDescent="0.25">
      <c r="A1164" s="1" t="str">
        <f>VLOOKUP(Table2[[#This Row],[Prod Line ]],Lists!A:E,5,0)</f>
        <v>b</v>
      </c>
      <c r="B1164" s="1">
        <v>44338</v>
      </c>
      <c r="C1164" s="1">
        <v>44336</v>
      </c>
      <c r="D1164" s="1" t="s">
        <v>58</v>
      </c>
      <c r="E1164" s="2" t="s">
        <v>404</v>
      </c>
      <c r="F1164" s="1"/>
      <c r="G1164" s="2">
        <v>15</v>
      </c>
      <c r="H1164" s="1"/>
      <c r="I1164" t="s">
        <v>1</v>
      </c>
      <c r="J1164" t="s">
        <v>64</v>
      </c>
      <c r="K1164" t="s">
        <v>24</v>
      </c>
      <c r="L1164" t="s">
        <v>407</v>
      </c>
      <c r="M1164" s="3" t="s">
        <v>835</v>
      </c>
    </row>
    <row r="1165" spans="1:14" hidden="1" x14ac:dyDescent="0.25">
      <c r="A1165" s="1" t="str">
        <f>VLOOKUP(Table2[[#This Row],[Prod Line ]],Lists!A:E,5,0)</f>
        <v>b</v>
      </c>
      <c r="B1165" s="1">
        <v>44338</v>
      </c>
      <c r="C1165" s="1">
        <v>44336</v>
      </c>
      <c r="D1165" s="1" t="s">
        <v>58</v>
      </c>
      <c r="E1165" s="2" t="s">
        <v>405</v>
      </c>
      <c r="F1165" s="1"/>
      <c r="G1165" s="2">
        <v>24</v>
      </c>
      <c r="H1165" s="1"/>
      <c r="I1165" t="s">
        <v>0</v>
      </c>
      <c r="J1165" t="s">
        <v>65</v>
      </c>
      <c r="K1165" t="s">
        <v>27</v>
      </c>
      <c r="L1165" t="s">
        <v>69</v>
      </c>
      <c r="M1165" s="3" t="s">
        <v>1245</v>
      </c>
    </row>
    <row r="1166" spans="1:14" hidden="1" x14ac:dyDescent="0.25">
      <c r="A1166" s="1" t="str">
        <f>VLOOKUP(Table2[[#This Row],[Prod Line ]],Lists!A:E,5,0)</f>
        <v>b</v>
      </c>
      <c r="B1166" s="1">
        <v>44338</v>
      </c>
      <c r="C1166" s="1">
        <v>44336</v>
      </c>
      <c r="D1166" s="1" t="s">
        <v>58</v>
      </c>
      <c r="E1166" s="2" t="s">
        <v>405</v>
      </c>
      <c r="F1166" s="1"/>
      <c r="G1166" s="2">
        <v>5</v>
      </c>
      <c r="H1166" s="1"/>
      <c r="I1166" t="s">
        <v>1</v>
      </c>
      <c r="J1166" t="s">
        <v>64</v>
      </c>
      <c r="K1166" t="s">
        <v>21</v>
      </c>
      <c r="L1166" t="s">
        <v>441</v>
      </c>
      <c r="M1166" s="3" t="s">
        <v>612</v>
      </c>
    </row>
    <row r="1167" spans="1:14" hidden="1" x14ac:dyDescent="0.25">
      <c r="A1167" s="1" t="str">
        <f>VLOOKUP(Table2[[#This Row],[Prod Line ]],Lists!A:E,5,0)</f>
        <v>a</v>
      </c>
      <c r="B1167" s="1">
        <v>44338</v>
      </c>
      <c r="C1167" s="1">
        <v>44336</v>
      </c>
      <c r="D1167" s="1" t="s">
        <v>56</v>
      </c>
      <c r="E1167" s="2" t="s">
        <v>404</v>
      </c>
      <c r="F1167" s="1"/>
      <c r="G1167" s="2">
        <v>5</v>
      </c>
      <c r="H1167" s="1"/>
      <c r="I1167" t="s">
        <v>1</v>
      </c>
      <c r="J1167" t="s">
        <v>64</v>
      </c>
      <c r="K1167" t="s">
        <v>369</v>
      </c>
      <c r="L1167" t="s">
        <v>407</v>
      </c>
      <c r="M1167" s="3" t="s">
        <v>1246</v>
      </c>
    </row>
    <row r="1168" spans="1:14" ht="30" hidden="1" x14ac:dyDescent="0.25">
      <c r="A1168" s="1" t="str">
        <f>VLOOKUP(Table2[[#This Row],[Prod Line ]],Lists!A:E,5,0)</f>
        <v>a</v>
      </c>
      <c r="B1168" s="1">
        <v>44340</v>
      </c>
      <c r="C1168" s="1">
        <v>44338</v>
      </c>
      <c r="D1168" s="1" t="s">
        <v>56</v>
      </c>
      <c r="E1168" s="2" t="s">
        <v>404</v>
      </c>
      <c r="F1168" s="1"/>
      <c r="G1168" s="2">
        <v>30</v>
      </c>
      <c r="H1168" s="1"/>
      <c r="I1168" t="s">
        <v>0</v>
      </c>
      <c r="J1168" t="s">
        <v>64</v>
      </c>
      <c r="K1168" t="s">
        <v>363</v>
      </c>
      <c r="L1168" t="s">
        <v>70</v>
      </c>
      <c r="M1168" s="3" t="s">
        <v>1187</v>
      </c>
      <c r="N1168" s="20" t="s">
        <v>1285</v>
      </c>
    </row>
    <row r="1169" spans="1:14" hidden="1" x14ac:dyDescent="0.25">
      <c r="A1169" s="1" t="str">
        <f>VLOOKUP(Table2[[#This Row],[Prod Line ]],Lists!A:E,5,0)</f>
        <v>a</v>
      </c>
      <c r="B1169" s="1">
        <v>44340</v>
      </c>
      <c r="C1169" s="1">
        <v>44338</v>
      </c>
      <c r="D1169" s="1" t="s">
        <v>56</v>
      </c>
      <c r="E1169" s="2" t="s">
        <v>404</v>
      </c>
      <c r="F1169" s="1"/>
      <c r="G1169" s="2">
        <v>5</v>
      </c>
      <c r="H1169" s="1"/>
      <c r="I1169" t="s">
        <v>1</v>
      </c>
      <c r="J1169" t="s">
        <v>65</v>
      </c>
      <c r="K1169" t="s">
        <v>27</v>
      </c>
      <c r="L1169" t="s">
        <v>350</v>
      </c>
      <c r="M1169" s="3" t="s">
        <v>884</v>
      </c>
    </row>
    <row r="1170" spans="1:14" hidden="1" x14ac:dyDescent="0.25">
      <c r="A1170" s="1" t="str">
        <f>VLOOKUP(Table2[[#This Row],[Prod Line ]],Lists!A:E,5,0)</f>
        <v>b</v>
      </c>
      <c r="B1170" s="1">
        <v>44340</v>
      </c>
      <c r="C1170" s="1">
        <v>44338</v>
      </c>
      <c r="D1170" s="1" t="s">
        <v>58</v>
      </c>
      <c r="E1170" s="2" t="s">
        <v>405</v>
      </c>
      <c r="F1170" s="1"/>
      <c r="G1170" s="2">
        <v>18</v>
      </c>
      <c r="H1170" s="1"/>
      <c r="I1170" t="s">
        <v>1</v>
      </c>
      <c r="J1170" t="s">
        <v>65</v>
      </c>
      <c r="K1170" t="s">
        <v>27</v>
      </c>
      <c r="L1170" t="s">
        <v>441</v>
      </c>
      <c r="M1170" s="3" t="s">
        <v>1011</v>
      </c>
    </row>
    <row r="1171" spans="1:14" hidden="1" x14ac:dyDescent="0.25">
      <c r="A1171" s="1" t="str">
        <f>VLOOKUP(Table2[[#This Row],[Prod Line ]],Lists!A:E,5,0)</f>
        <v>b</v>
      </c>
      <c r="B1171" s="1">
        <v>44340</v>
      </c>
      <c r="C1171" s="1">
        <v>44338</v>
      </c>
      <c r="D1171" s="1" t="s">
        <v>58</v>
      </c>
      <c r="E1171" s="2" t="s">
        <v>405</v>
      </c>
      <c r="F1171" s="1"/>
      <c r="G1171" s="2">
        <v>14</v>
      </c>
      <c r="H1171" s="1"/>
      <c r="I1171" t="s">
        <v>0</v>
      </c>
      <c r="J1171" t="s">
        <v>65</v>
      </c>
      <c r="K1171" t="s">
        <v>27</v>
      </c>
      <c r="L1171" t="s">
        <v>69</v>
      </c>
      <c r="M1171" s="3" t="s">
        <v>1247</v>
      </c>
    </row>
    <row r="1172" spans="1:14" hidden="1" x14ac:dyDescent="0.25">
      <c r="A1172" s="1" t="str">
        <f>VLOOKUP(Table2[[#This Row],[Prod Line ]],Lists!A:E,5,0)</f>
        <v>b</v>
      </c>
      <c r="B1172" s="1">
        <v>44340</v>
      </c>
      <c r="C1172" s="1">
        <v>44338</v>
      </c>
      <c r="D1172" s="1" t="s">
        <v>58</v>
      </c>
      <c r="E1172" s="2" t="s">
        <v>406</v>
      </c>
      <c r="F1172" s="1"/>
      <c r="G1172" s="2">
        <v>1</v>
      </c>
      <c r="H1172" s="1"/>
      <c r="I1172" t="s">
        <v>1</v>
      </c>
      <c r="J1172" t="s">
        <v>2</v>
      </c>
      <c r="K1172" t="s">
        <v>19</v>
      </c>
      <c r="L1172" t="s">
        <v>349</v>
      </c>
      <c r="M1172" s="3" t="s">
        <v>575</v>
      </c>
    </row>
    <row r="1173" spans="1:14" hidden="1" x14ac:dyDescent="0.25">
      <c r="A1173" s="1" t="str">
        <f>VLOOKUP(Table2[[#This Row],[Prod Line ]],Lists!A:E,5,0)</f>
        <v>c</v>
      </c>
      <c r="B1173" s="1">
        <v>44340</v>
      </c>
      <c r="C1173" s="1">
        <v>44338</v>
      </c>
      <c r="D1173" s="1" t="s">
        <v>60</v>
      </c>
      <c r="E1173" s="2" t="s">
        <v>405</v>
      </c>
      <c r="F1173" s="1"/>
      <c r="G1173" s="2">
        <v>10</v>
      </c>
      <c r="H1173" s="1"/>
      <c r="I1173" t="s">
        <v>1</v>
      </c>
      <c r="J1173" t="s">
        <v>26</v>
      </c>
      <c r="K1173" t="s">
        <v>26</v>
      </c>
      <c r="L1173" t="s">
        <v>430</v>
      </c>
      <c r="M1173" s="3" t="s">
        <v>1248</v>
      </c>
    </row>
    <row r="1174" spans="1:14" hidden="1" x14ac:dyDescent="0.25">
      <c r="A1174" s="1" t="str">
        <f>VLOOKUP(Table2[[#This Row],[Prod Line ]],Lists!A:E,5,0)</f>
        <v>c</v>
      </c>
      <c r="B1174" s="1">
        <v>44340</v>
      </c>
      <c r="C1174" s="1">
        <v>44338</v>
      </c>
      <c r="D1174" s="1" t="s">
        <v>60</v>
      </c>
      <c r="E1174" s="2" t="s">
        <v>405</v>
      </c>
      <c r="F1174" s="1"/>
      <c r="G1174" s="2">
        <v>22</v>
      </c>
      <c r="H1174" s="1"/>
      <c r="I1174" t="s">
        <v>1</v>
      </c>
      <c r="J1174" t="s">
        <v>2</v>
      </c>
      <c r="K1174" t="s">
        <v>378</v>
      </c>
      <c r="L1174" t="s">
        <v>349</v>
      </c>
      <c r="M1174" s="3" t="s">
        <v>417</v>
      </c>
    </row>
    <row r="1175" spans="1:14" hidden="1" x14ac:dyDescent="0.25">
      <c r="A1175" s="1" t="str">
        <f>VLOOKUP(Table2[[#This Row],[Prod Line ]],Lists!A:E,5,0)</f>
        <v>d</v>
      </c>
      <c r="B1175" s="1">
        <v>44340</v>
      </c>
      <c r="C1175" s="1">
        <v>44338</v>
      </c>
      <c r="D1175" s="1" t="s">
        <v>62</v>
      </c>
      <c r="E1175" s="2" t="s">
        <v>405</v>
      </c>
      <c r="F1175" s="1"/>
      <c r="G1175" s="2">
        <v>3</v>
      </c>
      <c r="H1175" s="1"/>
      <c r="I1175" t="s">
        <v>1</v>
      </c>
      <c r="J1175" t="s">
        <v>64</v>
      </c>
      <c r="K1175" t="s">
        <v>379</v>
      </c>
      <c r="L1175" t="s">
        <v>407</v>
      </c>
      <c r="M1175" s="3" t="s">
        <v>1249</v>
      </c>
    </row>
    <row r="1176" spans="1:14" hidden="1" x14ac:dyDescent="0.25">
      <c r="A1176" s="1" t="str">
        <f>VLOOKUP(Table2[[#This Row],[Prod Line ]],Lists!A:E,5,0)</f>
        <v>b</v>
      </c>
      <c r="B1176" s="1">
        <v>44341</v>
      </c>
      <c r="C1176" s="1">
        <v>44339</v>
      </c>
      <c r="D1176" s="1" t="s">
        <v>58</v>
      </c>
      <c r="E1176" s="2" t="s">
        <v>406</v>
      </c>
      <c r="F1176" s="1"/>
      <c r="G1176" s="2">
        <v>14</v>
      </c>
      <c r="H1176" s="1"/>
      <c r="I1176" t="s">
        <v>0</v>
      </c>
      <c r="J1176" t="s">
        <v>65</v>
      </c>
      <c r="K1176" t="s">
        <v>27</v>
      </c>
      <c r="L1176" t="s">
        <v>69</v>
      </c>
      <c r="M1176" s="3" t="s">
        <v>1250</v>
      </c>
    </row>
    <row r="1177" spans="1:14" hidden="1" x14ac:dyDescent="0.25">
      <c r="A1177" s="1" t="str">
        <f>VLOOKUP(Table2[[#This Row],[Prod Line ]],Lists!A:E,5,0)</f>
        <v>b</v>
      </c>
      <c r="B1177" s="1">
        <v>44341</v>
      </c>
      <c r="C1177" s="1">
        <v>44339</v>
      </c>
      <c r="D1177" s="1" t="s">
        <v>58</v>
      </c>
      <c r="E1177" s="2" t="s">
        <v>406</v>
      </c>
      <c r="F1177" s="1"/>
      <c r="G1177" s="2">
        <v>3</v>
      </c>
      <c r="H1177" s="1"/>
      <c r="I1177" t="s">
        <v>1</v>
      </c>
      <c r="J1177" t="s">
        <v>64</v>
      </c>
      <c r="K1177" t="s">
        <v>22</v>
      </c>
      <c r="L1177" t="s">
        <v>407</v>
      </c>
      <c r="M1177" s="3" t="s">
        <v>1251</v>
      </c>
    </row>
    <row r="1178" spans="1:14" hidden="1" x14ac:dyDescent="0.25">
      <c r="A1178" s="1" t="str">
        <f>VLOOKUP(Table2[[#This Row],[Prod Line ]],Lists!A:E,5,0)</f>
        <v>b</v>
      </c>
      <c r="B1178" s="1">
        <v>44341</v>
      </c>
      <c r="C1178" s="1">
        <v>44339</v>
      </c>
      <c r="D1178" s="1" t="s">
        <v>58</v>
      </c>
      <c r="E1178" s="2" t="s">
        <v>406</v>
      </c>
      <c r="F1178" s="1"/>
      <c r="G1178" s="2">
        <v>9</v>
      </c>
      <c r="H1178" s="1"/>
      <c r="I1178" t="s">
        <v>1</v>
      </c>
      <c r="J1178" t="s">
        <v>2</v>
      </c>
      <c r="K1178" t="s">
        <v>19</v>
      </c>
      <c r="L1178" t="s">
        <v>349</v>
      </c>
      <c r="M1178" s="3" t="s">
        <v>575</v>
      </c>
    </row>
    <row r="1179" spans="1:14" hidden="1" x14ac:dyDescent="0.25">
      <c r="A1179" s="1" t="str">
        <f>VLOOKUP(Table2[[#This Row],[Prod Line ]],Lists!A:E,5,0)</f>
        <v>b</v>
      </c>
      <c r="B1179" s="1">
        <v>44341</v>
      </c>
      <c r="C1179" s="1">
        <v>44339</v>
      </c>
      <c r="D1179" s="1" t="s">
        <v>58</v>
      </c>
      <c r="E1179" s="2" t="s">
        <v>406</v>
      </c>
      <c r="F1179" s="1"/>
      <c r="G1179" s="2">
        <v>3</v>
      </c>
      <c r="H1179" s="1"/>
      <c r="I1179" t="s">
        <v>0</v>
      </c>
      <c r="J1179" t="s">
        <v>66</v>
      </c>
      <c r="K1179" t="s">
        <v>4</v>
      </c>
      <c r="L1179" t="s">
        <v>70</v>
      </c>
      <c r="M1179" s="3" t="s">
        <v>1252</v>
      </c>
    </row>
    <row r="1180" spans="1:14" ht="30" hidden="1" x14ac:dyDescent="0.25">
      <c r="A1180" s="1" t="str">
        <f>VLOOKUP(Table2[[#This Row],[Prod Line ]],Lists!A:E,5,0)</f>
        <v>c</v>
      </c>
      <c r="B1180" s="1">
        <v>44341</v>
      </c>
      <c r="C1180" s="1">
        <v>44339</v>
      </c>
      <c r="D1180" s="1" t="s">
        <v>60</v>
      </c>
      <c r="E1180" s="2" t="s">
        <v>404</v>
      </c>
      <c r="F1180" s="1"/>
      <c r="G1180" s="2">
        <v>54</v>
      </c>
      <c r="H1180" s="1"/>
      <c r="I1180" t="s">
        <v>0</v>
      </c>
      <c r="J1180" t="s">
        <v>64</v>
      </c>
      <c r="K1180" t="s">
        <v>379</v>
      </c>
      <c r="L1180" t="s">
        <v>82</v>
      </c>
      <c r="M1180" s="3" t="s">
        <v>1253</v>
      </c>
      <c r="N1180" s="20" t="s">
        <v>1284</v>
      </c>
    </row>
    <row r="1181" spans="1:14" hidden="1" x14ac:dyDescent="0.25">
      <c r="A1181" s="1" t="str">
        <f>VLOOKUP(Table2[[#This Row],[Prod Line ]],Lists!A:E,5,0)</f>
        <v>a</v>
      </c>
      <c r="B1181" s="1">
        <v>44343</v>
      </c>
      <c r="C1181" s="1">
        <v>44341</v>
      </c>
      <c r="D1181" s="1" t="s">
        <v>56</v>
      </c>
      <c r="E1181" s="2" t="s">
        <v>404</v>
      </c>
      <c r="F1181" s="1"/>
      <c r="G1181" s="2">
        <v>24</v>
      </c>
      <c r="H1181" s="1"/>
      <c r="I1181" t="s">
        <v>1</v>
      </c>
      <c r="J1181" t="s">
        <v>2</v>
      </c>
      <c r="K1181" t="s">
        <v>19</v>
      </c>
      <c r="L1181" t="s">
        <v>72</v>
      </c>
      <c r="M1181" s="3" t="s">
        <v>1254</v>
      </c>
    </row>
    <row r="1182" spans="1:14" hidden="1" x14ac:dyDescent="0.25">
      <c r="A1182" s="1" t="str">
        <f>VLOOKUP(Table2[[#This Row],[Prod Line ]],Lists!A:E,5,0)</f>
        <v>a</v>
      </c>
      <c r="B1182" s="1">
        <v>44343</v>
      </c>
      <c r="C1182" s="1">
        <v>44341</v>
      </c>
      <c r="D1182" s="1" t="s">
        <v>56</v>
      </c>
      <c r="E1182" s="2" t="s">
        <v>404</v>
      </c>
      <c r="F1182" s="1"/>
      <c r="G1182" s="2">
        <v>5</v>
      </c>
      <c r="H1182" s="1"/>
      <c r="I1182" t="s">
        <v>1</v>
      </c>
      <c r="J1182" t="s">
        <v>65</v>
      </c>
      <c r="K1182" t="s">
        <v>3</v>
      </c>
      <c r="L1182" t="s">
        <v>350</v>
      </c>
      <c r="M1182" s="3" t="s">
        <v>1058</v>
      </c>
    </row>
    <row r="1183" spans="1:14" hidden="1" x14ac:dyDescent="0.25">
      <c r="A1183" s="1" t="str">
        <f>VLOOKUP(Table2[[#This Row],[Prod Line ]],Lists!A:E,5,0)</f>
        <v>a</v>
      </c>
      <c r="B1183" s="1">
        <v>44343</v>
      </c>
      <c r="C1183" s="1">
        <v>44341</v>
      </c>
      <c r="D1183" s="1" t="s">
        <v>56</v>
      </c>
      <c r="E1183" s="2" t="s">
        <v>404</v>
      </c>
      <c r="F1183" s="1"/>
      <c r="G1183" s="2">
        <v>20</v>
      </c>
      <c r="H1183" s="1"/>
      <c r="I1183" t="s">
        <v>1</v>
      </c>
      <c r="J1183" t="s">
        <v>2</v>
      </c>
      <c r="K1183" t="s">
        <v>19</v>
      </c>
      <c r="L1183" t="s">
        <v>72</v>
      </c>
      <c r="M1183" s="3" t="s">
        <v>1255</v>
      </c>
    </row>
    <row r="1184" spans="1:14" hidden="1" x14ac:dyDescent="0.25">
      <c r="A1184" s="1" t="str">
        <f>VLOOKUP(Table2[[#This Row],[Prod Line ]],Lists!A:E,5,0)</f>
        <v>a</v>
      </c>
      <c r="B1184" s="1">
        <v>44343</v>
      </c>
      <c r="C1184" s="1">
        <v>44341</v>
      </c>
      <c r="D1184" s="1" t="s">
        <v>56</v>
      </c>
      <c r="E1184" s="2" t="s">
        <v>404</v>
      </c>
      <c r="F1184" s="1"/>
      <c r="G1184" s="2">
        <v>11</v>
      </c>
      <c r="H1184" s="1"/>
      <c r="I1184" t="s">
        <v>1</v>
      </c>
      <c r="J1184" t="s">
        <v>64</v>
      </c>
      <c r="K1184" t="s">
        <v>363</v>
      </c>
      <c r="L1184" t="s">
        <v>345</v>
      </c>
      <c r="M1184" s="3" t="s">
        <v>1256</v>
      </c>
    </row>
    <row r="1185" spans="1:14" hidden="1" x14ac:dyDescent="0.25">
      <c r="A1185" s="1" t="str">
        <f>VLOOKUP(Table2[[#This Row],[Prod Line ]],Lists!A:E,5,0)</f>
        <v>b</v>
      </c>
      <c r="B1185" s="1">
        <v>44343</v>
      </c>
      <c r="C1185" s="1">
        <v>44341</v>
      </c>
      <c r="D1185" s="1" t="s">
        <v>58</v>
      </c>
      <c r="E1185" s="2" t="s">
        <v>404</v>
      </c>
      <c r="F1185" s="1"/>
      <c r="G1185" s="2">
        <v>9</v>
      </c>
      <c r="H1185" s="1"/>
      <c r="I1185" t="s">
        <v>1</v>
      </c>
      <c r="J1185" t="s">
        <v>2</v>
      </c>
      <c r="K1185" t="s">
        <v>19</v>
      </c>
      <c r="L1185" t="s">
        <v>349</v>
      </c>
      <c r="M1185" s="3" t="s">
        <v>766</v>
      </c>
    </row>
    <row r="1186" spans="1:14" hidden="1" x14ac:dyDescent="0.25">
      <c r="A1186" s="1" t="str">
        <f>VLOOKUP(Table2[[#This Row],[Prod Line ]],Lists!A:E,5,0)</f>
        <v>b</v>
      </c>
      <c r="B1186" s="1">
        <v>44343</v>
      </c>
      <c r="C1186" s="1">
        <v>44341</v>
      </c>
      <c r="D1186" s="1" t="s">
        <v>58</v>
      </c>
      <c r="E1186" s="2" t="s">
        <v>404</v>
      </c>
      <c r="F1186" s="1"/>
      <c r="G1186" s="2">
        <v>4</v>
      </c>
      <c r="H1186" s="1"/>
      <c r="I1186" t="s">
        <v>0</v>
      </c>
      <c r="J1186" t="s">
        <v>64</v>
      </c>
      <c r="K1186" t="s">
        <v>20</v>
      </c>
      <c r="L1186" t="s">
        <v>70</v>
      </c>
      <c r="M1186" s="3" t="s">
        <v>1257</v>
      </c>
    </row>
    <row r="1187" spans="1:14" hidden="1" x14ac:dyDescent="0.25">
      <c r="A1187" s="1" t="str">
        <f>VLOOKUP(Table2[[#This Row],[Prod Line ]],Lists!A:E,5,0)</f>
        <v>b</v>
      </c>
      <c r="B1187" s="1">
        <v>44343</v>
      </c>
      <c r="C1187" s="1">
        <v>44341</v>
      </c>
      <c r="D1187" s="1" t="s">
        <v>58</v>
      </c>
      <c r="E1187" s="2" t="s">
        <v>404</v>
      </c>
      <c r="F1187" s="1"/>
      <c r="G1187" s="2">
        <v>5</v>
      </c>
      <c r="H1187" s="1"/>
      <c r="I1187" t="s">
        <v>1</v>
      </c>
      <c r="J1187" t="s">
        <v>65</v>
      </c>
      <c r="K1187" t="s">
        <v>27</v>
      </c>
      <c r="L1187" t="s">
        <v>441</v>
      </c>
      <c r="M1187" s="3" t="s">
        <v>1258</v>
      </c>
    </row>
    <row r="1188" spans="1:14" hidden="1" x14ac:dyDescent="0.25">
      <c r="A1188" s="1" t="str">
        <f>VLOOKUP(Table2[[#This Row],[Prod Line ]],Lists!A:E,5,0)</f>
        <v>b</v>
      </c>
      <c r="B1188" s="1">
        <v>44343</v>
      </c>
      <c r="C1188" s="1">
        <v>44341</v>
      </c>
      <c r="D1188" s="1" t="s">
        <v>58</v>
      </c>
      <c r="E1188" s="2" t="s">
        <v>405</v>
      </c>
      <c r="F1188" s="1"/>
      <c r="G1188" s="2">
        <v>12</v>
      </c>
      <c r="H1188" s="1"/>
      <c r="I1188" t="s">
        <v>1</v>
      </c>
      <c r="J1188" t="s">
        <v>65</v>
      </c>
      <c r="K1188" t="s">
        <v>3</v>
      </c>
      <c r="L1188" t="s">
        <v>441</v>
      </c>
      <c r="M1188" s="3" t="s">
        <v>1259</v>
      </c>
    </row>
    <row r="1189" spans="1:14" hidden="1" x14ac:dyDescent="0.25">
      <c r="A1189" s="1" t="str">
        <f>VLOOKUP(Table2[[#This Row],[Prod Line ]],Lists!A:E,5,0)</f>
        <v>c</v>
      </c>
      <c r="B1189" s="1">
        <v>44343</v>
      </c>
      <c r="C1189" s="1">
        <v>44341</v>
      </c>
      <c r="D1189" s="1" t="s">
        <v>60</v>
      </c>
      <c r="E1189" s="2" t="s">
        <v>405</v>
      </c>
      <c r="F1189" s="1"/>
      <c r="G1189" s="2">
        <v>13</v>
      </c>
      <c r="H1189" s="1"/>
      <c r="I1189" t="s">
        <v>1</v>
      </c>
      <c r="J1189" t="s">
        <v>2</v>
      </c>
      <c r="K1189" t="s">
        <v>378</v>
      </c>
      <c r="L1189" t="s">
        <v>72</v>
      </c>
      <c r="M1189" s="3" t="s">
        <v>1260</v>
      </c>
    </row>
    <row r="1190" spans="1:14" hidden="1" x14ac:dyDescent="0.25">
      <c r="A1190" s="1" t="str">
        <f>VLOOKUP(Table2[[#This Row],[Prod Line ]],Lists!A:E,5,0)</f>
        <v>d</v>
      </c>
      <c r="B1190" s="1">
        <v>44343</v>
      </c>
      <c r="C1190" s="1">
        <v>44341</v>
      </c>
      <c r="D1190" s="1" t="s">
        <v>62</v>
      </c>
      <c r="E1190" s="2" t="s">
        <v>405</v>
      </c>
      <c r="F1190" s="1"/>
      <c r="G1190" s="2">
        <v>34</v>
      </c>
      <c r="H1190" s="1"/>
      <c r="I1190" t="s">
        <v>1</v>
      </c>
      <c r="J1190" t="s">
        <v>2</v>
      </c>
      <c r="K1190" t="s">
        <v>19</v>
      </c>
      <c r="L1190" t="s">
        <v>72</v>
      </c>
      <c r="M1190" s="3" t="s">
        <v>1261</v>
      </c>
    </row>
    <row r="1191" spans="1:14" hidden="1" x14ac:dyDescent="0.25">
      <c r="A1191" s="1" t="str">
        <f>VLOOKUP(Table2[[#This Row],[Prod Line ]],Lists!A:E,5,0)</f>
        <v>d</v>
      </c>
      <c r="B1191" s="1">
        <v>44343</v>
      </c>
      <c r="C1191" s="1">
        <v>44341</v>
      </c>
      <c r="D1191" s="1" t="s">
        <v>62</v>
      </c>
      <c r="E1191" s="2" t="s">
        <v>405</v>
      </c>
      <c r="F1191" s="1"/>
      <c r="G1191" s="2">
        <v>20</v>
      </c>
      <c r="H1191" s="1"/>
      <c r="I1191" t="s">
        <v>1</v>
      </c>
      <c r="J1191" t="s">
        <v>2</v>
      </c>
      <c r="K1191" t="s">
        <v>19</v>
      </c>
      <c r="L1191" t="s">
        <v>72</v>
      </c>
      <c r="M1191" s="3" t="s">
        <v>48</v>
      </c>
    </row>
    <row r="1192" spans="1:14" hidden="1" x14ac:dyDescent="0.25">
      <c r="A1192" s="1" t="str">
        <f>VLOOKUP(Table2[[#This Row],[Prod Line ]],Lists!A:E,5,0)</f>
        <v>b</v>
      </c>
      <c r="B1192" s="1">
        <v>44344</v>
      </c>
      <c r="C1192" s="1">
        <v>44342</v>
      </c>
      <c r="D1192" s="1" t="s">
        <v>58</v>
      </c>
      <c r="E1192" s="2" t="s">
        <v>404</v>
      </c>
      <c r="F1192" s="1"/>
      <c r="G1192" s="2">
        <v>5</v>
      </c>
      <c r="H1192" s="1"/>
      <c r="I1192" t="s">
        <v>1</v>
      </c>
      <c r="J1192" t="s">
        <v>64</v>
      </c>
      <c r="K1192" t="s">
        <v>20</v>
      </c>
      <c r="L1192" t="s">
        <v>72</v>
      </c>
      <c r="M1192" s="3" t="s">
        <v>1262</v>
      </c>
    </row>
    <row r="1193" spans="1:14" hidden="1" x14ac:dyDescent="0.25">
      <c r="A1193" s="1" t="str">
        <f>VLOOKUP(Table2[[#This Row],[Prod Line ]],Lists!A:E,5,0)</f>
        <v>b</v>
      </c>
      <c r="B1193" s="1">
        <v>44344</v>
      </c>
      <c r="C1193" s="1">
        <v>44342</v>
      </c>
      <c r="D1193" s="1" t="s">
        <v>58</v>
      </c>
      <c r="E1193" s="2" t="s">
        <v>406</v>
      </c>
      <c r="F1193" s="1"/>
      <c r="G1193" s="2">
        <v>3</v>
      </c>
      <c r="H1193" s="1"/>
      <c r="I1193" t="s">
        <v>1</v>
      </c>
      <c r="J1193" t="s">
        <v>2</v>
      </c>
      <c r="K1193" t="s">
        <v>19</v>
      </c>
      <c r="L1193" t="s">
        <v>349</v>
      </c>
      <c r="M1193" s="3" t="s">
        <v>575</v>
      </c>
    </row>
    <row r="1194" spans="1:14" hidden="1" x14ac:dyDescent="0.25">
      <c r="A1194" s="1" t="str">
        <f>VLOOKUP(Table2[[#This Row],[Prod Line ]],Lists!A:E,5,0)</f>
        <v>d</v>
      </c>
      <c r="B1194" s="1">
        <v>44344</v>
      </c>
      <c r="C1194" s="1">
        <v>44342</v>
      </c>
      <c r="D1194" s="1" t="s">
        <v>62</v>
      </c>
      <c r="E1194" s="2" t="s">
        <v>406</v>
      </c>
      <c r="F1194" s="1"/>
      <c r="G1194" s="2">
        <v>20</v>
      </c>
      <c r="H1194" s="1"/>
      <c r="I1194" t="s">
        <v>1</v>
      </c>
      <c r="J1194" t="s">
        <v>2</v>
      </c>
      <c r="K1194" t="s">
        <v>19</v>
      </c>
      <c r="L1194" t="s">
        <v>349</v>
      </c>
      <c r="M1194" s="3" t="s">
        <v>834</v>
      </c>
    </row>
    <row r="1195" spans="1:14" hidden="1" x14ac:dyDescent="0.25">
      <c r="A1195" s="1" t="str">
        <f>VLOOKUP(Table2[[#This Row],[Prod Line ]],Lists!A:E,5,0)</f>
        <v>a</v>
      </c>
      <c r="B1195" s="1">
        <v>44345</v>
      </c>
      <c r="C1195" s="1">
        <v>44343</v>
      </c>
      <c r="D1195" s="1" t="s">
        <v>56</v>
      </c>
      <c r="E1195" s="2" t="s">
        <v>404</v>
      </c>
      <c r="F1195" s="1"/>
      <c r="G1195" s="2">
        <v>6</v>
      </c>
      <c r="H1195" s="1"/>
      <c r="I1195" t="s">
        <v>1</v>
      </c>
      <c r="J1195" t="s">
        <v>64</v>
      </c>
      <c r="K1195" t="s">
        <v>365</v>
      </c>
      <c r="L1195" t="s">
        <v>407</v>
      </c>
      <c r="M1195" s="3" t="s">
        <v>750</v>
      </c>
    </row>
    <row r="1196" spans="1:14" hidden="1" x14ac:dyDescent="0.25">
      <c r="A1196" s="1" t="str">
        <f>VLOOKUP(Table2[[#This Row],[Prod Line ]],Lists!A:E,5,0)</f>
        <v>a</v>
      </c>
      <c r="B1196" s="1">
        <v>44345</v>
      </c>
      <c r="C1196" s="1">
        <v>44343</v>
      </c>
      <c r="D1196" s="1" t="s">
        <v>56</v>
      </c>
      <c r="E1196" s="2" t="s">
        <v>404</v>
      </c>
      <c r="F1196" s="1"/>
      <c r="G1196" s="2">
        <v>44</v>
      </c>
      <c r="H1196" s="1"/>
      <c r="I1196" t="s">
        <v>0</v>
      </c>
      <c r="J1196" t="s">
        <v>64</v>
      </c>
      <c r="K1196" t="s">
        <v>364</v>
      </c>
      <c r="L1196" t="s">
        <v>83</v>
      </c>
      <c r="M1196" s="3" t="s">
        <v>1263</v>
      </c>
      <c r="N1196" s="20" t="s">
        <v>1283</v>
      </c>
    </row>
    <row r="1197" spans="1:14" hidden="1" x14ac:dyDescent="0.25">
      <c r="A1197" s="1" t="str">
        <f>VLOOKUP(Table2[[#This Row],[Prod Line ]],Lists!A:E,5,0)</f>
        <v>b</v>
      </c>
      <c r="B1197" s="1">
        <v>44345</v>
      </c>
      <c r="C1197" s="1">
        <v>44343</v>
      </c>
      <c r="D1197" s="1" t="s">
        <v>58</v>
      </c>
      <c r="E1197" s="2" t="s">
        <v>405</v>
      </c>
      <c r="F1197" s="1"/>
      <c r="G1197" s="2">
        <v>9</v>
      </c>
      <c r="H1197" s="1"/>
      <c r="I1197" t="s">
        <v>0</v>
      </c>
      <c r="J1197" t="s">
        <v>65</v>
      </c>
      <c r="K1197" t="s">
        <v>3</v>
      </c>
      <c r="L1197" t="s">
        <v>70</v>
      </c>
      <c r="M1197" s="3" t="s">
        <v>1264</v>
      </c>
    </row>
    <row r="1198" spans="1:14" hidden="1" x14ac:dyDescent="0.25">
      <c r="A1198" s="1" t="str">
        <f>VLOOKUP(Table2[[#This Row],[Prod Line ]],Lists!A:E,5,0)</f>
        <v>d</v>
      </c>
      <c r="B1198" s="1">
        <v>44345</v>
      </c>
      <c r="C1198" s="1">
        <v>44343</v>
      </c>
      <c r="D1198" s="1" t="s">
        <v>62</v>
      </c>
      <c r="E1198" s="2" t="s">
        <v>405</v>
      </c>
      <c r="F1198" s="1"/>
      <c r="G1198" s="2">
        <v>75</v>
      </c>
      <c r="H1198" s="1"/>
      <c r="I1198" t="s">
        <v>1</v>
      </c>
      <c r="J1198" t="s">
        <v>2</v>
      </c>
      <c r="K1198" t="s">
        <v>19</v>
      </c>
      <c r="L1198" t="s">
        <v>407</v>
      </c>
      <c r="M1198" s="3" t="s">
        <v>1265</v>
      </c>
    </row>
    <row r="1199" spans="1:14" hidden="1" x14ac:dyDescent="0.25">
      <c r="A1199" s="1" t="str">
        <f>VLOOKUP(Table2[[#This Row],[Prod Line ]],Lists!A:E,5,0)</f>
        <v>b</v>
      </c>
      <c r="B1199" s="1">
        <v>44347</v>
      </c>
      <c r="C1199" s="1">
        <v>44345</v>
      </c>
      <c r="D1199" s="1" t="s">
        <v>58</v>
      </c>
      <c r="E1199" s="2" t="s">
        <v>406</v>
      </c>
      <c r="F1199" s="1"/>
      <c r="G1199" s="2">
        <v>4</v>
      </c>
      <c r="H1199" s="1"/>
      <c r="I1199" t="s">
        <v>0</v>
      </c>
      <c r="J1199" t="s">
        <v>2</v>
      </c>
      <c r="K1199" t="s">
        <v>19</v>
      </c>
      <c r="L1199" t="s">
        <v>70</v>
      </c>
      <c r="M1199" s="3" t="s">
        <v>1266</v>
      </c>
    </row>
    <row r="1200" spans="1:14" hidden="1" x14ac:dyDescent="0.25">
      <c r="A1200" s="1" t="str">
        <f>VLOOKUP(Table2[[#This Row],[Prod Line ]],Lists!A:E,5,0)</f>
        <v>b</v>
      </c>
      <c r="B1200" s="1">
        <v>44347</v>
      </c>
      <c r="C1200" s="1">
        <v>44345</v>
      </c>
      <c r="D1200" s="1" t="s">
        <v>58</v>
      </c>
      <c r="E1200" s="2" t="s">
        <v>404</v>
      </c>
      <c r="F1200" s="1"/>
      <c r="G1200" s="2">
        <v>5</v>
      </c>
      <c r="H1200" s="1"/>
      <c r="I1200" t="s">
        <v>1</v>
      </c>
      <c r="J1200" t="s">
        <v>65</v>
      </c>
      <c r="K1200" t="s">
        <v>27</v>
      </c>
      <c r="L1200" t="s">
        <v>441</v>
      </c>
      <c r="M1200" s="3" t="s">
        <v>612</v>
      </c>
    </row>
    <row r="1201" spans="1:14" hidden="1" x14ac:dyDescent="0.25">
      <c r="A1201" s="1" t="str">
        <f>VLOOKUP(Table2[[#This Row],[Prod Line ]],Lists!A:E,5,0)</f>
        <v>a</v>
      </c>
      <c r="B1201" s="1">
        <v>44347</v>
      </c>
      <c r="C1201" s="1">
        <v>44345</v>
      </c>
      <c r="D1201" s="1" t="s">
        <v>56</v>
      </c>
      <c r="E1201" s="2" t="s">
        <v>404</v>
      </c>
      <c r="F1201" s="1"/>
      <c r="G1201" s="2">
        <v>8</v>
      </c>
      <c r="H1201" s="1"/>
      <c r="I1201" t="s">
        <v>0</v>
      </c>
      <c r="J1201" t="s">
        <v>65</v>
      </c>
      <c r="K1201" t="s">
        <v>372</v>
      </c>
      <c r="L1201" t="s">
        <v>70</v>
      </c>
      <c r="M1201" s="3" t="s">
        <v>1080</v>
      </c>
    </row>
    <row r="1202" spans="1:14" hidden="1" x14ac:dyDescent="0.25">
      <c r="A1202" s="1" t="str">
        <f>VLOOKUP(Table2[[#This Row],[Prod Line ]],Lists!A:E,5,0)</f>
        <v>a</v>
      </c>
      <c r="B1202" s="1">
        <v>44347</v>
      </c>
      <c r="C1202" s="1">
        <v>44345</v>
      </c>
      <c r="D1202" s="1" t="s">
        <v>56</v>
      </c>
      <c r="E1202" s="2" t="s">
        <v>404</v>
      </c>
      <c r="F1202" s="1"/>
      <c r="G1202" s="2">
        <v>24</v>
      </c>
      <c r="H1202" s="1"/>
      <c r="I1202" t="s">
        <v>1</v>
      </c>
      <c r="J1202" t="s">
        <v>64</v>
      </c>
      <c r="K1202" t="s">
        <v>367</v>
      </c>
      <c r="L1202" t="s">
        <v>346</v>
      </c>
      <c r="M1202" s="3" t="s">
        <v>1267</v>
      </c>
    </row>
    <row r="1203" spans="1:14" hidden="1" x14ac:dyDescent="0.25">
      <c r="A1203" s="1" t="str">
        <f>VLOOKUP(Table2[[#This Row],[Prod Line ]],Lists!A:E,5,0)</f>
        <v>a</v>
      </c>
      <c r="B1203" s="1">
        <v>44348</v>
      </c>
      <c r="C1203" s="1">
        <v>44346</v>
      </c>
      <c r="D1203" s="1" t="s">
        <v>56</v>
      </c>
      <c r="E1203" s="2" t="s">
        <v>404</v>
      </c>
      <c r="F1203" s="1"/>
      <c r="G1203" s="2">
        <v>16</v>
      </c>
      <c r="H1203" s="1"/>
      <c r="I1203" t="s">
        <v>1</v>
      </c>
      <c r="J1203" t="s">
        <v>64</v>
      </c>
      <c r="K1203" t="s">
        <v>363</v>
      </c>
      <c r="L1203" t="s">
        <v>407</v>
      </c>
      <c r="M1203" s="3" t="s">
        <v>1268</v>
      </c>
    </row>
    <row r="1204" spans="1:14" ht="30" hidden="1" x14ac:dyDescent="0.25">
      <c r="A1204" s="1" t="str">
        <f>VLOOKUP(Table2[[#This Row],[Prod Line ]],Lists!A:E,5,0)</f>
        <v>a</v>
      </c>
      <c r="B1204" s="1">
        <v>44348</v>
      </c>
      <c r="C1204" s="1">
        <v>44346</v>
      </c>
      <c r="D1204" s="1" t="s">
        <v>56</v>
      </c>
      <c r="E1204" s="2" t="s">
        <v>404</v>
      </c>
      <c r="F1204" s="1"/>
      <c r="G1204" s="2">
        <v>58</v>
      </c>
      <c r="H1204" s="1"/>
      <c r="I1204" t="s">
        <v>0</v>
      </c>
      <c r="J1204" t="s">
        <v>2</v>
      </c>
      <c r="K1204" t="s">
        <v>19</v>
      </c>
      <c r="L1204" t="s">
        <v>70</v>
      </c>
      <c r="M1204" s="3" t="s">
        <v>1269</v>
      </c>
      <c r="N1204" s="20" t="s">
        <v>1282</v>
      </c>
    </row>
    <row r="1205" spans="1:14" hidden="1" x14ac:dyDescent="0.25">
      <c r="A1205" s="1" t="str">
        <f>VLOOKUP(Table2[[#This Row],[Prod Line ]],Lists!A:E,5,0)</f>
        <v>b</v>
      </c>
      <c r="B1205" s="1">
        <v>44348</v>
      </c>
      <c r="C1205" s="1">
        <v>44346</v>
      </c>
      <c r="D1205" s="1" t="s">
        <v>58</v>
      </c>
      <c r="E1205" s="2" t="s">
        <v>406</v>
      </c>
      <c r="F1205" s="1"/>
      <c r="G1205" s="2">
        <v>5</v>
      </c>
      <c r="H1205" s="1"/>
      <c r="I1205" t="s">
        <v>1</v>
      </c>
      <c r="J1205" t="s">
        <v>65</v>
      </c>
      <c r="K1205" t="s">
        <v>27</v>
      </c>
      <c r="L1205" t="s">
        <v>441</v>
      </c>
      <c r="M1205" s="3" t="s">
        <v>612</v>
      </c>
    </row>
    <row r="1206" spans="1:14" hidden="1" x14ac:dyDescent="0.25">
      <c r="A1206" s="1" t="str">
        <f>VLOOKUP(Table2[[#This Row],[Prod Line ]],Lists!A:E,5,0)</f>
        <v>c</v>
      </c>
      <c r="B1206" s="1">
        <v>44348</v>
      </c>
      <c r="C1206" s="1">
        <v>44346</v>
      </c>
      <c r="D1206" s="1" t="s">
        <v>60</v>
      </c>
      <c r="E1206" s="2" t="s">
        <v>404</v>
      </c>
      <c r="F1206" s="1"/>
      <c r="G1206" s="2">
        <v>37</v>
      </c>
      <c r="H1206" s="1"/>
      <c r="I1206" t="s">
        <v>0</v>
      </c>
      <c r="J1206" t="s">
        <v>64</v>
      </c>
      <c r="K1206" t="s">
        <v>379</v>
      </c>
      <c r="L1206" t="s">
        <v>82</v>
      </c>
      <c r="M1206" s="3" t="s">
        <v>1270</v>
      </c>
      <c r="N1206" s="20" t="s">
        <v>1281</v>
      </c>
    </row>
    <row r="1207" spans="1:14" hidden="1" x14ac:dyDescent="0.25">
      <c r="A1207" s="1" t="str">
        <f>VLOOKUP(Table2[[#This Row],[Prod Line ]],Lists!A:E,5,0)</f>
        <v>c</v>
      </c>
      <c r="B1207" s="1">
        <v>44348</v>
      </c>
      <c r="C1207" s="1">
        <v>44346</v>
      </c>
      <c r="D1207" s="1" t="s">
        <v>60</v>
      </c>
      <c r="E1207" s="2" t="s">
        <v>405</v>
      </c>
      <c r="F1207" s="1"/>
      <c r="G1207" s="2">
        <v>98</v>
      </c>
      <c r="H1207" s="1"/>
      <c r="I1207" t="s">
        <v>0</v>
      </c>
      <c r="J1207" t="s">
        <v>64</v>
      </c>
      <c r="K1207" t="s">
        <v>379</v>
      </c>
      <c r="L1207" t="s">
        <v>82</v>
      </c>
      <c r="M1207" s="3" t="s">
        <v>1270</v>
      </c>
      <c r="N1207" s="20" t="s">
        <v>1281</v>
      </c>
    </row>
    <row r="1208" spans="1:14" hidden="1" x14ac:dyDescent="0.25">
      <c r="A1208" s="1" t="str">
        <f>VLOOKUP(Table2[[#This Row],[Prod Line ]],Lists!A:E,5,0)</f>
        <v>c</v>
      </c>
      <c r="B1208" s="1">
        <v>44349</v>
      </c>
      <c r="C1208" s="1">
        <v>44347</v>
      </c>
      <c r="D1208" s="1" t="s">
        <v>60</v>
      </c>
      <c r="E1208" s="2" t="s">
        <v>404</v>
      </c>
      <c r="F1208" s="1"/>
      <c r="G1208" s="2">
        <v>367</v>
      </c>
      <c r="H1208" s="1"/>
      <c r="I1208" t="s">
        <v>0</v>
      </c>
      <c r="J1208" t="s">
        <v>64</v>
      </c>
      <c r="K1208" t="s">
        <v>379</v>
      </c>
      <c r="L1208" t="s">
        <v>82</v>
      </c>
      <c r="M1208" s="3" t="s">
        <v>1270</v>
      </c>
      <c r="N1208" s="20" t="s">
        <v>1281</v>
      </c>
    </row>
    <row r="1209" spans="1:14" hidden="1" x14ac:dyDescent="0.25">
      <c r="A1209" s="1" t="str">
        <f>VLOOKUP(Table2[[#This Row],[Prod Line ]],Lists!A:E,5,0)</f>
        <v>c</v>
      </c>
      <c r="B1209" s="1">
        <v>44349</v>
      </c>
      <c r="C1209" s="1">
        <v>44347</v>
      </c>
      <c r="D1209" s="1" t="s">
        <v>60</v>
      </c>
      <c r="E1209" s="2" t="s">
        <v>405</v>
      </c>
      <c r="F1209" s="1"/>
      <c r="G1209" s="2">
        <v>48</v>
      </c>
      <c r="H1209" s="1"/>
      <c r="I1209" t="s">
        <v>0</v>
      </c>
      <c r="J1209" t="s">
        <v>64</v>
      </c>
      <c r="K1209" t="s">
        <v>379</v>
      </c>
      <c r="L1209" t="s">
        <v>82</v>
      </c>
      <c r="M1209" s="3" t="s">
        <v>1270</v>
      </c>
      <c r="N1209" s="20" t="s">
        <v>1281</v>
      </c>
    </row>
    <row r="1210" spans="1:14" hidden="1" x14ac:dyDescent="0.25">
      <c r="A1210" s="1" t="str">
        <f>VLOOKUP(Table2[[#This Row],[Prod Line ]],Lists!A:E,5,0)</f>
        <v>c</v>
      </c>
      <c r="B1210" s="1">
        <v>44349</v>
      </c>
      <c r="C1210" s="1">
        <v>44347</v>
      </c>
      <c r="D1210" s="1" t="s">
        <v>60</v>
      </c>
      <c r="E1210" s="2" t="s">
        <v>405</v>
      </c>
      <c r="F1210" s="1"/>
      <c r="G1210" s="2">
        <v>10</v>
      </c>
      <c r="H1210" s="1"/>
      <c r="I1210" t="s">
        <v>1</v>
      </c>
      <c r="J1210" t="s">
        <v>65</v>
      </c>
      <c r="K1210" t="s">
        <v>382</v>
      </c>
      <c r="L1210" t="s">
        <v>430</v>
      </c>
      <c r="M1210" s="3" t="s">
        <v>1271</v>
      </c>
    </row>
    <row r="1211" spans="1:14" hidden="1" x14ac:dyDescent="0.25">
      <c r="A1211" s="1" t="str">
        <f>VLOOKUP(Table2[[#This Row],[Prod Line ]],Lists!A:E,5,0)</f>
        <v>c</v>
      </c>
      <c r="B1211" s="1">
        <v>44349</v>
      </c>
      <c r="C1211" s="1">
        <v>44347</v>
      </c>
      <c r="D1211" s="1" t="s">
        <v>60</v>
      </c>
      <c r="E1211" s="2" t="s">
        <v>405</v>
      </c>
      <c r="F1211" s="1"/>
      <c r="G1211" s="2">
        <v>10</v>
      </c>
      <c r="H1211" s="1"/>
      <c r="I1211" t="s">
        <v>1</v>
      </c>
      <c r="J1211" t="s">
        <v>2</v>
      </c>
      <c r="K1211" t="s">
        <v>378</v>
      </c>
      <c r="L1211" t="s">
        <v>349</v>
      </c>
      <c r="M1211" s="3" t="s">
        <v>1272</v>
      </c>
    </row>
    <row r="1212" spans="1:14" hidden="1" x14ac:dyDescent="0.25">
      <c r="A1212" s="1" t="str">
        <f>VLOOKUP(Table2[[#This Row],[Prod Line ]],Lists!A:E,5,0)</f>
        <v>d</v>
      </c>
      <c r="B1212" s="1">
        <v>44348</v>
      </c>
      <c r="C1212" s="1">
        <v>44346</v>
      </c>
      <c r="D1212" s="1" t="s">
        <v>62</v>
      </c>
      <c r="E1212" s="2" t="s">
        <v>404</v>
      </c>
      <c r="F1212" s="1"/>
      <c r="G1212" s="2">
        <v>3</v>
      </c>
      <c r="H1212" s="1"/>
      <c r="I1212" t="s">
        <v>0</v>
      </c>
      <c r="J1212" t="s">
        <v>64</v>
      </c>
      <c r="K1212" t="s">
        <v>379</v>
      </c>
      <c r="L1212" t="s">
        <v>70</v>
      </c>
      <c r="M1212" s="3" t="s">
        <v>1273</v>
      </c>
    </row>
    <row r="1213" spans="1:14" hidden="1" x14ac:dyDescent="0.25">
      <c r="A1213" s="1" t="str">
        <f>VLOOKUP(Table2[[#This Row],[Prod Line ]],Lists!A:E,5,0)</f>
        <v>d</v>
      </c>
      <c r="B1213" s="1">
        <v>44348</v>
      </c>
      <c r="C1213" s="1">
        <v>44346</v>
      </c>
      <c r="D1213" s="1" t="s">
        <v>62</v>
      </c>
      <c r="E1213" s="2" t="s">
        <v>406</v>
      </c>
      <c r="F1213" s="1"/>
      <c r="G1213" s="2">
        <v>12</v>
      </c>
      <c r="H1213" s="1"/>
      <c r="I1213" t="s">
        <v>1</v>
      </c>
      <c r="J1213" t="s">
        <v>2</v>
      </c>
      <c r="K1213" t="s">
        <v>19</v>
      </c>
      <c r="L1213" t="s">
        <v>349</v>
      </c>
      <c r="M1213" s="3" t="s">
        <v>1274</v>
      </c>
    </row>
    <row r="1214" spans="1:14" hidden="1" x14ac:dyDescent="0.25">
      <c r="A1214" s="1" t="str">
        <f>VLOOKUP(Table2[[#This Row],[Prod Line ]],Lists!A:E,5,0)</f>
        <v>b</v>
      </c>
      <c r="B1214" s="1">
        <v>44349</v>
      </c>
      <c r="C1214" s="1">
        <v>44347</v>
      </c>
      <c r="D1214" s="1" t="s">
        <v>58</v>
      </c>
      <c r="E1214" s="2" t="s">
        <v>405</v>
      </c>
      <c r="F1214" s="1"/>
      <c r="G1214" s="2">
        <v>44</v>
      </c>
      <c r="H1214" s="1"/>
      <c r="I1214" t="s">
        <v>1</v>
      </c>
      <c r="J1214" t="s">
        <v>5</v>
      </c>
      <c r="K1214" t="s">
        <v>37</v>
      </c>
      <c r="L1214" t="s">
        <v>407</v>
      </c>
      <c r="M1214" s="3" t="s">
        <v>1225</v>
      </c>
    </row>
    <row r="1215" spans="1:14" hidden="1" x14ac:dyDescent="0.25">
      <c r="A1215" s="1" t="str">
        <f>VLOOKUP(Table2[[#This Row],[Prod Line ]],Lists!A:E,5,0)</f>
        <v>b</v>
      </c>
      <c r="B1215" s="1">
        <v>44349</v>
      </c>
      <c r="C1215" s="1">
        <v>44347</v>
      </c>
      <c r="D1215" s="1" t="s">
        <v>58</v>
      </c>
      <c r="E1215" s="2" t="s">
        <v>404</v>
      </c>
      <c r="F1215" s="1"/>
      <c r="G1215" s="2">
        <v>9</v>
      </c>
      <c r="H1215" s="1"/>
      <c r="I1215" t="s">
        <v>1</v>
      </c>
      <c r="J1215" t="s">
        <v>64</v>
      </c>
      <c r="K1215" t="s">
        <v>21</v>
      </c>
      <c r="L1215" t="s">
        <v>344</v>
      </c>
      <c r="M1215" s="3"/>
    </row>
    <row r="1216" spans="1:14" hidden="1" x14ac:dyDescent="0.25">
      <c r="A1216" s="1" t="str">
        <f>VLOOKUP(Table2[[#This Row],[Prod Line ]],Lists!A:E,5,0)</f>
        <v>b</v>
      </c>
      <c r="B1216" s="1">
        <v>44349</v>
      </c>
      <c r="C1216" s="1">
        <v>44347</v>
      </c>
      <c r="D1216" s="1" t="s">
        <v>58</v>
      </c>
      <c r="E1216" s="2" t="s">
        <v>405</v>
      </c>
      <c r="F1216" s="1"/>
      <c r="G1216" s="2">
        <v>4</v>
      </c>
      <c r="H1216" s="1"/>
      <c r="I1216" t="s">
        <v>1</v>
      </c>
      <c r="J1216" t="s">
        <v>26</v>
      </c>
      <c r="K1216" t="s">
        <v>25</v>
      </c>
      <c r="L1216" t="s">
        <v>441</v>
      </c>
      <c r="M1216" s="3"/>
    </row>
    <row r="1217" spans="1:13" hidden="1" x14ac:dyDescent="0.25">
      <c r="A1217" s="1" t="str">
        <f>VLOOKUP(Table2[[#This Row],[Prod Line ]],Lists!A:E,5,0)</f>
        <v>b</v>
      </c>
      <c r="B1217" s="1">
        <v>44349</v>
      </c>
      <c r="C1217" s="1">
        <v>44347</v>
      </c>
      <c r="D1217" s="1" t="s">
        <v>58</v>
      </c>
      <c r="E1217" s="2" t="s">
        <v>405</v>
      </c>
      <c r="F1217" s="1"/>
      <c r="G1217" s="2">
        <v>5</v>
      </c>
      <c r="H1217" s="1"/>
      <c r="I1217" t="s">
        <v>0</v>
      </c>
      <c r="J1217" t="s">
        <v>65</v>
      </c>
      <c r="K1217" t="s">
        <v>3</v>
      </c>
      <c r="L1217" t="s">
        <v>69</v>
      </c>
      <c r="M1217" s="3" t="s">
        <v>1275</v>
      </c>
    </row>
    <row r="1218" spans="1:13" hidden="1" x14ac:dyDescent="0.25">
      <c r="A1218" s="1" t="str">
        <f>VLOOKUP(Table2[[#This Row],[Prod Line ]],Lists!A:E,5,0)</f>
        <v>b</v>
      </c>
      <c r="B1218" s="1">
        <v>44349</v>
      </c>
      <c r="C1218" s="1">
        <v>44347</v>
      </c>
      <c r="D1218" s="1" t="s">
        <v>58</v>
      </c>
      <c r="E1218" s="2" t="s">
        <v>405</v>
      </c>
      <c r="F1218" s="1"/>
      <c r="G1218" s="2">
        <v>6</v>
      </c>
      <c r="H1218" s="1"/>
      <c r="I1218" t="s">
        <v>1</v>
      </c>
      <c r="J1218" t="s">
        <v>65</v>
      </c>
      <c r="K1218" t="s">
        <v>27</v>
      </c>
      <c r="L1218" t="s">
        <v>441</v>
      </c>
      <c r="M1218" s="3"/>
    </row>
    <row r="1219" spans="1:13" hidden="1" x14ac:dyDescent="0.25">
      <c r="A1219" s="1" t="str">
        <f>VLOOKUP(Table2[[#This Row],[Prod Line ]],Lists!A:E,5,0)</f>
        <v>b</v>
      </c>
      <c r="B1219" s="1">
        <v>44349</v>
      </c>
      <c r="C1219" s="1">
        <v>44348</v>
      </c>
      <c r="D1219" s="1" t="s">
        <v>58</v>
      </c>
      <c r="E1219" s="2" t="s">
        <v>404</v>
      </c>
      <c r="F1219" s="1"/>
      <c r="G1219" s="2">
        <v>18</v>
      </c>
      <c r="H1219" s="1"/>
      <c r="I1219" t="s">
        <v>1</v>
      </c>
      <c r="J1219" t="s">
        <v>5</v>
      </c>
      <c r="K1219" t="s">
        <v>37</v>
      </c>
      <c r="L1219" t="s">
        <v>407</v>
      </c>
      <c r="M1219" s="3" t="s">
        <v>1276</v>
      </c>
    </row>
    <row r="1220" spans="1:13" hidden="1" x14ac:dyDescent="0.25">
      <c r="A1220" s="1" t="str">
        <f>VLOOKUP(Table2[[#This Row],[Prod Line ]],Lists!A:E,5,0)</f>
        <v>b</v>
      </c>
      <c r="B1220" s="1">
        <v>44349</v>
      </c>
      <c r="C1220" s="1">
        <v>44348</v>
      </c>
      <c r="D1220" s="1" t="s">
        <v>58</v>
      </c>
      <c r="E1220" s="2" t="s">
        <v>404</v>
      </c>
      <c r="F1220" s="1"/>
      <c r="G1220" s="2">
        <v>21</v>
      </c>
      <c r="H1220" s="1"/>
      <c r="I1220" t="s">
        <v>1</v>
      </c>
      <c r="J1220" t="s">
        <v>5</v>
      </c>
      <c r="K1220" t="s">
        <v>37</v>
      </c>
      <c r="L1220" t="s">
        <v>407</v>
      </c>
      <c r="M1220" s="3" t="s">
        <v>1277</v>
      </c>
    </row>
    <row r="1221" spans="1:13" hidden="1" x14ac:dyDescent="0.25">
      <c r="A1221" s="1" t="str">
        <f>VLOOKUP(Table2[[#This Row],[Prod Line ]],Lists!A:E,5,0)</f>
        <v>b</v>
      </c>
      <c r="B1221" s="1">
        <v>44349</v>
      </c>
      <c r="C1221" s="1">
        <v>44348</v>
      </c>
      <c r="D1221" s="1" t="s">
        <v>58</v>
      </c>
      <c r="E1221" s="2" t="s">
        <v>404</v>
      </c>
      <c r="F1221" s="1"/>
      <c r="G1221" s="2">
        <v>23</v>
      </c>
      <c r="H1221" s="1"/>
      <c r="I1221" t="s">
        <v>1</v>
      </c>
      <c r="J1221" t="s">
        <v>5</v>
      </c>
      <c r="K1221" t="s">
        <v>37</v>
      </c>
      <c r="L1221" t="s">
        <v>407</v>
      </c>
      <c r="M1221" s="3" t="s">
        <v>1278</v>
      </c>
    </row>
    <row r="1222" spans="1:13" hidden="1" x14ac:dyDescent="0.25">
      <c r="A1222" s="1" t="str">
        <f>VLOOKUP(Table2[[#This Row],[Prod Line ]],Lists!A:E,5,0)</f>
        <v>a</v>
      </c>
      <c r="B1222" s="1">
        <v>44349</v>
      </c>
      <c r="C1222" s="1">
        <v>44348</v>
      </c>
      <c r="D1222" s="1" t="s">
        <v>56</v>
      </c>
      <c r="E1222" s="2" t="s">
        <v>404</v>
      </c>
      <c r="F1222" s="1"/>
      <c r="G1222" s="2">
        <v>10</v>
      </c>
      <c r="H1222" s="1"/>
      <c r="I1222" t="s">
        <v>1</v>
      </c>
      <c r="J1222" t="s">
        <v>67</v>
      </c>
      <c r="K1222" t="s">
        <v>67</v>
      </c>
      <c r="L1222" t="s">
        <v>407</v>
      </c>
      <c r="M1222" s="3" t="s">
        <v>1279</v>
      </c>
    </row>
    <row r="1223" spans="1:13" hidden="1" x14ac:dyDescent="0.25">
      <c r="A1223" s="1" t="str">
        <f>VLOOKUP(Table2[[#This Row],[Prod Line ]],Lists!A:E,5,0)</f>
        <v>a</v>
      </c>
      <c r="B1223" s="1">
        <v>44349</v>
      </c>
      <c r="C1223" s="1">
        <v>44348</v>
      </c>
      <c r="D1223" s="1" t="s">
        <v>56</v>
      </c>
      <c r="E1223" s="2" t="s">
        <v>404</v>
      </c>
      <c r="F1223" s="1"/>
      <c r="G1223" s="2">
        <v>10</v>
      </c>
      <c r="H1223" s="1"/>
      <c r="I1223" t="s">
        <v>0</v>
      </c>
      <c r="J1223" t="s">
        <v>67</v>
      </c>
      <c r="K1223" t="s">
        <v>67</v>
      </c>
      <c r="L1223" t="s">
        <v>70</v>
      </c>
      <c r="M1223" s="3" t="s">
        <v>1280</v>
      </c>
    </row>
    <row r="1224" spans="1:13" hidden="1" x14ac:dyDescent="0.25">
      <c r="A1224" s="1" t="str">
        <f>VLOOKUP(Table2[[#This Row],[Prod Line ]],Lists!A:E,5,0)</f>
        <v>d</v>
      </c>
      <c r="B1224" s="1">
        <v>44348</v>
      </c>
      <c r="C1224" s="1">
        <v>44347</v>
      </c>
      <c r="D1224" s="1" t="s">
        <v>62</v>
      </c>
      <c r="E1224" s="2" t="s">
        <v>406</v>
      </c>
      <c r="F1224" s="1"/>
      <c r="G1224" s="2">
        <v>12</v>
      </c>
      <c r="H1224" s="1"/>
      <c r="I1224" t="s">
        <v>1</v>
      </c>
      <c r="J1224" t="s">
        <v>2</v>
      </c>
      <c r="K1224" t="s">
        <v>19</v>
      </c>
      <c r="L1224" t="s">
        <v>349</v>
      </c>
      <c r="M1224" s="3" t="s">
        <v>575</v>
      </c>
    </row>
    <row r="1225" spans="1:13" hidden="1" x14ac:dyDescent="0.25">
      <c r="A1225" s="1" t="str">
        <f>VLOOKUP(Table2[[#This Row],[Prod Line ]],Lists!A:E,5,0)</f>
        <v>b</v>
      </c>
      <c r="B1225" s="1">
        <v>44347</v>
      </c>
      <c r="C1225" s="1">
        <v>44346</v>
      </c>
      <c r="D1225" s="1" t="s">
        <v>58</v>
      </c>
      <c r="E1225" s="2" t="s">
        <v>404</v>
      </c>
      <c r="F1225" s="1"/>
      <c r="G1225" s="2">
        <v>5</v>
      </c>
      <c r="H1225" s="1"/>
      <c r="I1225" t="s">
        <v>1</v>
      </c>
      <c r="J1225" t="s">
        <v>65</v>
      </c>
      <c r="K1225" t="s">
        <v>27</v>
      </c>
      <c r="L1225" t="s">
        <v>441</v>
      </c>
      <c r="M1225" s="3" t="s">
        <v>612</v>
      </c>
    </row>
    <row r="1226" spans="1:13" hidden="1" x14ac:dyDescent="0.25">
      <c r="A1226" s="1" t="str">
        <f>VLOOKUP(Table2[[#This Row],[Prod Line ]],Lists!A:E,5,0)</f>
        <v>b</v>
      </c>
      <c r="B1226" s="1">
        <v>44348</v>
      </c>
      <c r="C1226" s="1">
        <v>44347</v>
      </c>
      <c r="D1226" s="1" t="s">
        <v>58</v>
      </c>
      <c r="E1226" s="2" t="s">
        <v>406</v>
      </c>
      <c r="F1226" s="1"/>
      <c r="G1226" s="2">
        <v>5</v>
      </c>
      <c r="H1226" s="1"/>
      <c r="I1226" t="s">
        <v>1</v>
      </c>
      <c r="J1226" t="s">
        <v>65</v>
      </c>
      <c r="K1226" t="s">
        <v>27</v>
      </c>
      <c r="L1226" t="s">
        <v>441</v>
      </c>
      <c r="M1226" s="3" t="s">
        <v>612</v>
      </c>
    </row>
    <row r="1227" spans="1:13" hidden="1" x14ac:dyDescent="0.25">
      <c r="A1227" s="1" t="str">
        <f>VLOOKUP(Table2[[#This Row],[Prod Line ]],Lists!A:E,5,0)</f>
        <v>a</v>
      </c>
      <c r="B1227" s="1">
        <v>44347</v>
      </c>
      <c r="C1227" s="1">
        <v>44346</v>
      </c>
      <c r="D1227" s="1" t="s">
        <v>56</v>
      </c>
      <c r="E1227" s="2" t="s">
        <v>404</v>
      </c>
      <c r="F1227" s="1"/>
      <c r="G1227" s="2">
        <v>24</v>
      </c>
      <c r="H1227" s="1"/>
      <c r="I1227" t="s">
        <v>1</v>
      </c>
      <c r="J1227" t="s">
        <v>64</v>
      </c>
      <c r="K1227" t="s">
        <v>367</v>
      </c>
      <c r="L1227" t="s">
        <v>345</v>
      </c>
      <c r="M1227" s="3" t="s">
        <v>1267</v>
      </c>
    </row>
    <row r="1228" spans="1:13" hidden="1" x14ac:dyDescent="0.25">
      <c r="A1228" s="1" t="str">
        <f>VLOOKUP(Table2[[#This Row],[Prod Line ]],Lists!A:E,5,0)</f>
        <v>a</v>
      </c>
      <c r="B1228" s="1">
        <v>44348</v>
      </c>
      <c r="C1228" s="1">
        <v>44347</v>
      </c>
      <c r="D1228" s="1" t="s">
        <v>56</v>
      </c>
      <c r="E1228" s="2" t="s">
        <v>404</v>
      </c>
      <c r="F1228" s="1"/>
      <c r="G1228" s="2">
        <v>16</v>
      </c>
      <c r="H1228" s="1"/>
      <c r="I1228" t="s">
        <v>1</v>
      </c>
      <c r="J1228" t="s">
        <v>64</v>
      </c>
      <c r="K1228" t="s">
        <v>363</v>
      </c>
      <c r="L1228" t="s">
        <v>407</v>
      </c>
      <c r="M1228" s="3" t="s">
        <v>1287</v>
      </c>
    </row>
    <row r="1229" spans="1:13" hidden="1" x14ac:dyDescent="0.25">
      <c r="A1229" s="1" t="str">
        <f>VLOOKUP(Table2[[#This Row],[Prod Line ]],Lists!A:E,5,0)</f>
        <v>a</v>
      </c>
      <c r="B1229" s="1">
        <v>44349</v>
      </c>
      <c r="C1229" s="1">
        <v>44348</v>
      </c>
      <c r="D1229" s="1" t="s">
        <v>56</v>
      </c>
      <c r="E1229" s="2" t="s">
        <v>404</v>
      </c>
      <c r="F1229" s="1"/>
      <c r="G1229" s="2">
        <v>10</v>
      </c>
      <c r="H1229" s="1"/>
      <c r="I1229" t="s">
        <v>1</v>
      </c>
      <c r="J1229" t="s">
        <v>64</v>
      </c>
      <c r="K1229" t="s">
        <v>369</v>
      </c>
      <c r="L1229" t="s">
        <v>407</v>
      </c>
      <c r="M1229" s="3" t="s">
        <v>1246</v>
      </c>
    </row>
    <row r="1230" spans="1:13" hidden="1" x14ac:dyDescent="0.25">
      <c r="A1230" s="1" t="str">
        <f>VLOOKUP(Table2[[#This Row],[Prod Line ]],Lists!A:E,5,0)</f>
        <v>b</v>
      </c>
      <c r="B1230" s="1">
        <v>44349</v>
      </c>
      <c r="C1230" s="1">
        <v>44348</v>
      </c>
      <c r="D1230" s="1" t="s">
        <v>58</v>
      </c>
      <c r="E1230" s="2" t="s">
        <v>404</v>
      </c>
      <c r="F1230" s="1"/>
      <c r="G1230" s="2">
        <v>9</v>
      </c>
      <c r="H1230" s="1"/>
      <c r="I1230" t="s">
        <v>1</v>
      </c>
      <c r="J1230" t="s">
        <v>64</v>
      </c>
      <c r="K1230" t="s">
        <v>21</v>
      </c>
      <c r="L1230" t="s">
        <v>344</v>
      </c>
      <c r="M1230" s="3" t="s">
        <v>1288</v>
      </c>
    </row>
    <row r="1231" spans="1:13" hidden="1" x14ac:dyDescent="0.25">
      <c r="A1231" s="1" t="str">
        <f>VLOOKUP(Table2[[#This Row],[Prod Line ]],Lists!A:E,5,0)</f>
        <v>b</v>
      </c>
      <c r="B1231" s="1">
        <v>44349</v>
      </c>
      <c r="C1231" s="1">
        <v>44348</v>
      </c>
      <c r="D1231" s="1" t="s">
        <v>58</v>
      </c>
      <c r="E1231" s="2" t="s">
        <v>405</v>
      </c>
      <c r="F1231" s="1"/>
      <c r="G1231" s="2">
        <v>10</v>
      </c>
      <c r="H1231" s="1"/>
      <c r="I1231" t="s">
        <v>1</v>
      </c>
      <c r="J1231" t="s">
        <v>65</v>
      </c>
      <c r="K1231" t="s">
        <v>27</v>
      </c>
      <c r="L1231" t="s">
        <v>441</v>
      </c>
      <c r="M1231" s="3" t="s">
        <v>1011</v>
      </c>
    </row>
    <row r="1232" spans="1:13" hidden="1" x14ac:dyDescent="0.25">
      <c r="A1232" s="1" t="str">
        <f>VLOOKUP(Table2[[#This Row],[Prod Line ]],Lists!A:E,5,0)</f>
        <v>b</v>
      </c>
      <c r="B1232" s="1">
        <v>44349</v>
      </c>
      <c r="C1232" s="1">
        <v>44348</v>
      </c>
      <c r="D1232" s="1" t="s">
        <v>58</v>
      </c>
      <c r="E1232" s="2" t="s">
        <v>405</v>
      </c>
      <c r="F1232" s="1"/>
      <c r="G1232" s="2">
        <v>106</v>
      </c>
      <c r="H1232" s="1"/>
      <c r="I1232" t="s">
        <v>1</v>
      </c>
      <c r="J1232" t="s">
        <v>5</v>
      </c>
      <c r="K1232" t="s">
        <v>37</v>
      </c>
      <c r="L1232" t="s">
        <v>407</v>
      </c>
      <c r="M1232" s="3" t="s">
        <v>1289</v>
      </c>
    </row>
    <row r="1233" spans="1:14" hidden="1" x14ac:dyDescent="0.25">
      <c r="A1233" s="1" t="str">
        <f>VLOOKUP(Table2[[#This Row],[Prod Line ]],Lists!A:E,5,0)</f>
        <v>c</v>
      </c>
      <c r="B1233" s="1">
        <v>44349</v>
      </c>
      <c r="C1233" s="1">
        <v>44348</v>
      </c>
      <c r="D1233" s="1" t="s">
        <v>60</v>
      </c>
      <c r="E1233" s="2" t="s">
        <v>405</v>
      </c>
      <c r="F1233" s="1"/>
      <c r="G1233" s="2">
        <v>10</v>
      </c>
      <c r="H1233" s="1"/>
      <c r="I1233" t="s">
        <v>1</v>
      </c>
      <c r="J1233" t="s">
        <v>65</v>
      </c>
      <c r="K1233" t="s">
        <v>3</v>
      </c>
      <c r="L1233" t="s">
        <v>430</v>
      </c>
      <c r="M1233" s="3" t="s">
        <v>1271</v>
      </c>
    </row>
    <row r="1234" spans="1:14" hidden="1" x14ac:dyDescent="0.25">
      <c r="A1234" s="1" t="str">
        <f>VLOOKUP(Table2[[#This Row],[Prod Line ]],Lists!A:E,5,0)</f>
        <v>c</v>
      </c>
      <c r="B1234" s="1">
        <v>44349</v>
      </c>
      <c r="C1234" s="1">
        <v>44348</v>
      </c>
      <c r="D1234" s="1" t="s">
        <v>60</v>
      </c>
      <c r="E1234" s="2" t="s">
        <v>405</v>
      </c>
      <c r="F1234" s="1"/>
      <c r="G1234" s="2">
        <v>10</v>
      </c>
      <c r="H1234" s="1"/>
      <c r="I1234" t="s">
        <v>1</v>
      </c>
      <c r="J1234" t="s">
        <v>2</v>
      </c>
      <c r="K1234" t="s">
        <v>378</v>
      </c>
      <c r="L1234" t="s">
        <v>349</v>
      </c>
      <c r="M1234" s="3" t="s">
        <v>417</v>
      </c>
    </row>
    <row r="1235" spans="1:14" hidden="1" x14ac:dyDescent="0.25">
      <c r="A1235" s="1" t="str">
        <f>VLOOKUP(Table2[[#This Row],[Prod Line ]],Lists!A:E,5,0)</f>
        <v>b</v>
      </c>
      <c r="B1235" s="1">
        <v>44351</v>
      </c>
      <c r="C1235" s="1">
        <v>44349</v>
      </c>
      <c r="D1235" s="1" t="s">
        <v>58</v>
      </c>
      <c r="E1235" s="2" t="s">
        <v>406</v>
      </c>
      <c r="F1235" s="1"/>
      <c r="G1235" s="2">
        <v>10</v>
      </c>
      <c r="H1235" s="1"/>
      <c r="I1235" t="s">
        <v>1</v>
      </c>
      <c r="J1235" t="s">
        <v>2</v>
      </c>
      <c r="K1235" t="s">
        <v>13</v>
      </c>
      <c r="L1235" t="s">
        <v>349</v>
      </c>
      <c r="M1235" s="3" t="s">
        <v>1207</v>
      </c>
    </row>
    <row r="1236" spans="1:14" hidden="1" x14ac:dyDescent="0.25">
      <c r="A1236" s="1" t="str">
        <f>VLOOKUP(Table2[[#This Row],[Prod Line ]],Lists!A:E,5,0)</f>
        <v>b</v>
      </c>
      <c r="B1236" s="1">
        <v>44351</v>
      </c>
      <c r="C1236" s="1">
        <v>44349</v>
      </c>
      <c r="D1236" s="1" t="s">
        <v>58</v>
      </c>
      <c r="E1236" s="2" t="s">
        <v>406</v>
      </c>
      <c r="F1236" s="1"/>
      <c r="G1236" s="2">
        <v>10</v>
      </c>
      <c r="H1236" s="1"/>
      <c r="I1236" t="s">
        <v>1</v>
      </c>
      <c r="J1236" t="s">
        <v>65</v>
      </c>
      <c r="K1236" t="s">
        <v>27</v>
      </c>
      <c r="L1236" t="s">
        <v>441</v>
      </c>
      <c r="M1236" s="3" t="s">
        <v>1011</v>
      </c>
    </row>
    <row r="1237" spans="1:14" hidden="1" x14ac:dyDescent="0.25">
      <c r="A1237" s="1" t="str">
        <f>VLOOKUP(Table2[[#This Row],[Prod Line ]],Lists!A:E,5,0)</f>
        <v>b</v>
      </c>
      <c r="B1237" s="1">
        <v>44351</v>
      </c>
      <c r="C1237" s="1">
        <v>44349</v>
      </c>
      <c r="D1237" s="1" t="s">
        <v>58</v>
      </c>
      <c r="E1237" s="2" t="s">
        <v>404</v>
      </c>
      <c r="F1237" s="1"/>
      <c r="G1237" s="2">
        <v>4</v>
      </c>
      <c r="H1237" s="1"/>
      <c r="I1237" t="s">
        <v>1</v>
      </c>
      <c r="J1237" t="s">
        <v>65</v>
      </c>
      <c r="K1237" t="s">
        <v>27</v>
      </c>
      <c r="L1237" t="s">
        <v>407</v>
      </c>
      <c r="M1237" s="3" t="s">
        <v>884</v>
      </c>
    </row>
    <row r="1238" spans="1:14" hidden="1" x14ac:dyDescent="0.25">
      <c r="A1238" s="1" t="str">
        <f>VLOOKUP(Table2[[#This Row],[Prod Line ]],Lists!A:E,5,0)</f>
        <v>c</v>
      </c>
      <c r="B1238" s="1">
        <v>44351</v>
      </c>
      <c r="C1238" s="1">
        <v>44349</v>
      </c>
      <c r="D1238" s="1" t="s">
        <v>60</v>
      </c>
      <c r="E1238" s="2" t="s">
        <v>404</v>
      </c>
      <c r="F1238" s="1"/>
      <c r="G1238" s="2">
        <v>35</v>
      </c>
      <c r="H1238" s="1"/>
      <c r="I1238" t="s">
        <v>1</v>
      </c>
      <c r="J1238" t="s">
        <v>2</v>
      </c>
      <c r="K1238" t="s">
        <v>378</v>
      </c>
      <c r="L1238" t="s">
        <v>407</v>
      </c>
      <c r="M1238" s="3" t="s">
        <v>1290</v>
      </c>
    </row>
    <row r="1239" spans="1:14" hidden="1" x14ac:dyDescent="0.25">
      <c r="A1239" s="1" t="str">
        <f>VLOOKUP(Table2[[#This Row],[Prod Line ]],Lists!A:E,5,0)</f>
        <v>c</v>
      </c>
      <c r="B1239" s="1">
        <v>44351</v>
      </c>
      <c r="C1239" s="1">
        <v>44349</v>
      </c>
      <c r="D1239" s="1" t="s">
        <v>60</v>
      </c>
      <c r="E1239" s="2" t="s">
        <v>404</v>
      </c>
      <c r="F1239" s="1"/>
      <c r="G1239" s="2">
        <v>22</v>
      </c>
      <c r="H1239" s="1"/>
      <c r="I1239" t="s">
        <v>1</v>
      </c>
      <c r="J1239" t="s">
        <v>2</v>
      </c>
      <c r="K1239" t="s">
        <v>378</v>
      </c>
      <c r="L1239" t="s">
        <v>349</v>
      </c>
      <c r="M1239" s="3" t="s">
        <v>575</v>
      </c>
    </row>
    <row r="1240" spans="1:14" hidden="1" x14ac:dyDescent="0.25">
      <c r="A1240" s="1" t="str">
        <f>VLOOKUP(Table2[[#This Row],[Prod Line ]],Lists!A:E,5,0)</f>
        <v>c</v>
      </c>
      <c r="B1240" s="1">
        <v>44351</v>
      </c>
      <c r="C1240" s="1">
        <v>44349</v>
      </c>
      <c r="D1240" s="1" t="s">
        <v>60</v>
      </c>
      <c r="E1240" s="2" t="s">
        <v>405</v>
      </c>
      <c r="F1240" s="1"/>
      <c r="G1240" s="2">
        <v>6</v>
      </c>
      <c r="H1240" s="1"/>
      <c r="I1240" t="s">
        <v>1</v>
      </c>
      <c r="J1240" t="s">
        <v>2</v>
      </c>
      <c r="K1240" t="s">
        <v>378</v>
      </c>
      <c r="L1240" t="s">
        <v>349</v>
      </c>
      <c r="M1240" s="3" t="s">
        <v>575</v>
      </c>
    </row>
    <row r="1241" spans="1:14" hidden="1" x14ac:dyDescent="0.25">
      <c r="A1241" s="1" t="str">
        <f>VLOOKUP(Table2[[#This Row],[Prod Line ]],Lists!A:E,5,0)</f>
        <v>d</v>
      </c>
      <c r="B1241" s="1">
        <v>44351</v>
      </c>
      <c r="C1241" s="1">
        <v>44349</v>
      </c>
      <c r="D1241" s="1" t="s">
        <v>62</v>
      </c>
      <c r="E1241" s="2" t="s">
        <v>406</v>
      </c>
      <c r="F1241" s="1"/>
      <c r="G1241" s="2">
        <v>10</v>
      </c>
      <c r="H1241" s="1"/>
      <c r="I1241" t="s">
        <v>1</v>
      </c>
      <c r="J1241" t="s">
        <v>5</v>
      </c>
      <c r="K1241" t="s">
        <v>397</v>
      </c>
      <c r="L1241" t="s">
        <v>407</v>
      </c>
      <c r="M1241" s="3" t="s">
        <v>1224</v>
      </c>
    </row>
    <row r="1242" spans="1:14" hidden="1" x14ac:dyDescent="0.25">
      <c r="A1242" s="1" t="str">
        <f>VLOOKUP(Table2[[#This Row],[Prod Line ]],Lists!A:E,5,0)</f>
        <v>d</v>
      </c>
      <c r="B1242" s="1">
        <v>44351</v>
      </c>
      <c r="C1242" s="1">
        <v>44349</v>
      </c>
      <c r="D1242" s="1" t="s">
        <v>62</v>
      </c>
      <c r="E1242" s="2" t="s">
        <v>406</v>
      </c>
      <c r="F1242" s="1"/>
      <c r="G1242" s="2">
        <v>7</v>
      </c>
      <c r="H1242" s="1"/>
      <c r="I1242" t="s">
        <v>1</v>
      </c>
      <c r="J1242" t="s">
        <v>64</v>
      </c>
      <c r="K1242" t="s">
        <v>379</v>
      </c>
      <c r="L1242" t="s">
        <v>407</v>
      </c>
      <c r="M1242" s="3" t="s">
        <v>833</v>
      </c>
    </row>
    <row r="1243" spans="1:14" ht="45" hidden="1" x14ac:dyDescent="0.25">
      <c r="A1243" s="1" t="str">
        <f>VLOOKUP(Table2[[#This Row],[Prod Line ]],Lists!A:E,5,0)</f>
        <v>d</v>
      </c>
      <c r="B1243" s="1">
        <v>44351</v>
      </c>
      <c r="C1243" s="1">
        <v>44349</v>
      </c>
      <c r="D1243" s="1" t="s">
        <v>62</v>
      </c>
      <c r="E1243" s="2" t="s">
        <v>404</v>
      </c>
      <c r="F1243" s="1"/>
      <c r="G1243" s="2">
        <v>39</v>
      </c>
      <c r="H1243" s="1"/>
      <c r="I1243" t="s">
        <v>0</v>
      </c>
      <c r="J1243" t="s">
        <v>5</v>
      </c>
      <c r="K1243" t="s">
        <v>397</v>
      </c>
      <c r="L1243" t="s">
        <v>82</v>
      </c>
      <c r="M1243" s="3" t="s">
        <v>1291</v>
      </c>
      <c r="N1243" s="20" t="s">
        <v>1300</v>
      </c>
    </row>
    <row r="1244" spans="1:14" hidden="1" x14ac:dyDescent="0.25">
      <c r="A1244" s="1" t="str">
        <f>VLOOKUP(Table2[[#This Row],[Prod Line ]],Lists!A:E,5,0)</f>
        <v>d</v>
      </c>
      <c r="B1244" s="1">
        <v>44351</v>
      </c>
      <c r="C1244" s="1">
        <v>44349</v>
      </c>
      <c r="D1244" s="1" t="s">
        <v>62</v>
      </c>
      <c r="E1244" s="2" t="s">
        <v>405</v>
      </c>
      <c r="F1244" s="1"/>
      <c r="G1244" s="2">
        <v>9</v>
      </c>
      <c r="H1244" s="1"/>
      <c r="I1244" t="s">
        <v>1</v>
      </c>
      <c r="J1244" t="s">
        <v>64</v>
      </c>
      <c r="K1244" t="s">
        <v>379</v>
      </c>
      <c r="L1244" t="s">
        <v>407</v>
      </c>
      <c r="M1244" s="3" t="s">
        <v>833</v>
      </c>
    </row>
    <row r="1245" spans="1:14" hidden="1" x14ac:dyDescent="0.25">
      <c r="A1245" s="1" t="str">
        <f>VLOOKUP(Table2[[#This Row],[Prod Line ]],Lists!A:E,5,0)</f>
        <v>d</v>
      </c>
      <c r="B1245" s="1">
        <v>44351</v>
      </c>
      <c r="C1245" s="1">
        <v>44349</v>
      </c>
      <c r="D1245" s="1" t="s">
        <v>62</v>
      </c>
      <c r="E1245" s="2" t="s">
        <v>405</v>
      </c>
      <c r="F1245" s="1"/>
      <c r="G1245" s="2">
        <v>10</v>
      </c>
      <c r="H1245" s="1"/>
      <c r="I1245" t="s">
        <v>1</v>
      </c>
      <c r="J1245" t="s">
        <v>5</v>
      </c>
      <c r="K1245" t="s">
        <v>397</v>
      </c>
      <c r="L1245" t="s">
        <v>407</v>
      </c>
      <c r="M1245" s="3" t="s">
        <v>1224</v>
      </c>
    </row>
    <row r="1246" spans="1:14" hidden="1" x14ac:dyDescent="0.25">
      <c r="A1246" s="1" t="str">
        <f>VLOOKUP(Table2[[#This Row],[Prod Line ]],Lists!A:E,5,0)</f>
        <v>d</v>
      </c>
      <c r="B1246" s="1">
        <v>44352</v>
      </c>
      <c r="C1246" s="1">
        <v>44350</v>
      </c>
      <c r="D1246" s="1" t="s">
        <v>62</v>
      </c>
      <c r="E1246" s="2" t="s">
        <v>404</v>
      </c>
      <c r="F1246" s="1"/>
      <c r="G1246" s="2">
        <v>6</v>
      </c>
      <c r="H1246" s="1"/>
      <c r="I1246" t="s">
        <v>1</v>
      </c>
      <c r="J1246" t="s">
        <v>5</v>
      </c>
      <c r="K1246" t="s">
        <v>397</v>
      </c>
      <c r="L1246" t="s">
        <v>407</v>
      </c>
      <c r="M1246" s="3" t="s">
        <v>1224</v>
      </c>
    </row>
    <row r="1247" spans="1:14" hidden="1" x14ac:dyDescent="0.25">
      <c r="A1247" s="1" t="str">
        <f>VLOOKUP(Table2[[#This Row],[Prod Line ]],Lists!A:E,5,0)</f>
        <v>d</v>
      </c>
      <c r="B1247" s="1">
        <v>44352</v>
      </c>
      <c r="C1247" s="1">
        <v>44350</v>
      </c>
      <c r="D1247" s="1" t="s">
        <v>62</v>
      </c>
      <c r="E1247" s="2" t="s">
        <v>404</v>
      </c>
      <c r="F1247" s="1"/>
      <c r="G1247" s="2">
        <v>5</v>
      </c>
      <c r="H1247" s="1"/>
      <c r="I1247" t="s">
        <v>1</v>
      </c>
      <c r="J1247" t="s">
        <v>2</v>
      </c>
      <c r="K1247" t="s">
        <v>19</v>
      </c>
      <c r="L1247" t="s">
        <v>349</v>
      </c>
      <c r="M1247" s="3" t="s">
        <v>575</v>
      </c>
    </row>
    <row r="1248" spans="1:14" hidden="1" x14ac:dyDescent="0.25">
      <c r="A1248" s="1" t="str">
        <f>VLOOKUP(Table2[[#This Row],[Prod Line ]],Lists!A:E,5,0)</f>
        <v>d</v>
      </c>
      <c r="B1248" s="1">
        <v>44352</v>
      </c>
      <c r="C1248" s="1">
        <v>44350</v>
      </c>
      <c r="D1248" s="1" t="s">
        <v>62</v>
      </c>
      <c r="E1248" s="2" t="s">
        <v>405</v>
      </c>
      <c r="F1248" s="1"/>
      <c r="G1248" s="2">
        <v>10</v>
      </c>
      <c r="H1248" s="1"/>
      <c r="I1248" t="s">
        <v>1</v>
      </c>
      <c r="J1248" t="s">
        <v>64</v>
      </c>
      <c r="K1248" t="s">
        <v>379</v>
      </c>
      <c r="L1248" t="s">
        <v>344</v>
      </c>
      <c r="M1248" s="3" t="s">
        <v>562</v>
      </c>
    </row>
    <row r="1249" spans="1:13" hidden="1" x14ac:dyDescent="0.25">
      <c r="A1249" s="1" t="str">
        <f>VLOOKUP(Table2[[#This Row],[Prod Line ]],Lists!A:E,5,0)</f>
        <v>d</v>
      </c>
      <c r="B1249" s="1">
        <v>44352</v>
      </c>
      <c r="C1249" s="1">
        <v>44350</v>
      </c>
      <c r="D1249" s="1" t="s">
        <v>62</v>
      </c>
      <c r="E1249" s="2" t="s">
        <v>405</v>
      </c>
      <c r="F1249" s="1"/>
      <c r="G1249" s="2">
        <v>5</v>
      </c>
      <c r="H1249" s="1"/>
      <c r="I1249" t="s">
        <v>1</v>
      </c>
      <c r="J1249" t="s">
        <v>5</v>
      </c>
      <c r="K1249" t="s">
        <v>397</v>
      </c>
      <c r="L1249" t="s">
        <v>407</v>
      </c>
      <c r="M1249" s="3" t="s">
        <v>1224</v>
      </c>
    </row>
    <row r="1250" spans="1:13" hidden="1" x14ac:dyDescent="0.25">
      <c r="A1250" s="1" t="str">
        <f>VLOOKUP(Table2[[#This Row],[Prod Line ]],Lists!A:E,5,0)</f>
        <v>a</v>
      </c>
      <c r="B1250" s="1">
        <v>44354</v>
      </c>
      <c r="C1250" s="1">
        <v>44352</v>
      </c>
      <c r="D1250" s="1" t="s">
        <v>56</v>
      </c>
      <c r="E1250" s="2" t="s">
        <v>404</v>
      </c>
      <c r="F1250" s="1"/>
      <c r="G1250" s="2">
        <v>13</v>
      </c>
      <c r="H1250" s="1"/>
      <c r="I1250" t="s">
        <v>0</v>
      </c>
      <c r="J1250" t="s">
        <v>64</v>
      </c>
      <c r="K1250" t="s">
        <v>363</v>
      </c>
      <c r="L1250" t="s">
        <v>69</v>
      </c>
      <c r="M1250" s="3" t="s">
        <v>1292</v>
      </c>
    </row>
    <row r="1251" spans="1:13" hidden="1" x14ac:dyDescent="0.25">
      <c r="A1251" s="1" t="str">
        <f>VLOOKUP(Table2[[#This Row],[Prod Line ]],Lists!A:E,5,0)</f>
        <v>a</v>
      </c>
      <c r="B1251" s="1">
        <v>44354</v>
      </c>
      <c r="C1251" s="1">
        <v>44352</v>
      </c>
      <c r="D1251" s="1" t="s">
        <v>56</v>
      </c>
      <c r="E1251" s="2" t="s">
        <v>404</v>
      </c>
      <c r="F1251" s="1"/>
      <c r="G1251" s="2">
        <v>7</v>
      </c>
      <c r="H1251" s="1"/>
      <c r="I1251" t="s">
        <v>1</v>
      </c>
      <c r="J1251" t="s">
        <v>64</v>
      </c>
      <c r="K1251" t="s">
        <v>367</v>
      </c>
      <c r="L1251" t="s">
        <v>407</v>
      </c>
      <c r="M1251" s="3" t="s">
        <v>750</v>
      </c>
    </row>
    <row r="1252" spans="1:13" hidden="1" x14ac:dyDescent="0.25">
      <c r="A1252" s="1" t="str">
        <f>VLOOKUP(Table2[[#This Row],[Prod Line ]],Lists!A:E,5,0)</f>
        <v>b</v>
      </c>
      <c r="B1252" s="1">
        <v>44354</v>
      </c>
      <c r="C1252" s="1">
        <v>44352</v>
      </c>
      <c r="D1252" s="1" t="s">
        <v>58</v>
      </c>
      <c r="E1252" s="2" t="s">
        <v>406</v>
      </c>
      <c r="F1252" s="1"/>
      <c r="G1252" s="2">
        <v>11</v>
      </c>
      <c r="H1252" s="1"/>
      <c r="I1252" t="s">
        <v>1</v>
      </c>
      <c r="J1252" t="s">
        <v>2</v>
      </c>
      <c r="K1252" t="s">
        <v>19</v>
      </c>
      <c r="L1252" t="s">
        <v>349</v>
      </c>
      <c r="M1252" s="3" t="s">
        <v>575</v>
      </c>
    </row>
    <row r="1253" spans="1:13" hidden="1" x14ac:dyDescent="0.25">
      <c r="A1253" s="1" t="str">
        <f>VLOOKUP(Table2[[#This Row],[Prod Line ]],Lists!A:E,5,0)</f>
        <v>b</v>
      </c>
      <c r="B1253" s="1">
        <v>44354</v>
      </c>
      <c r="C1253" s="1">
        <v>44352</v>
      </c>
      <c r="D1253" s="1" t="s">
        <v>58</v>
      </c>
      <c r="E1253" s="2" t="s">
        <v>406</v>
      </c>
      <c r="F1253" s="1"/>
      <c r="G1253" s="2">
        <v>3</v>
      </c>
      <c r="H1253" s="1"/>
      <c r="I1253" t="s">
        <v>1</v>
      </c>
      <c r="J1253" t="s">
        <v>64</v>
      </c>
      <c r="K1253" t="s">
        <v>24</v>
      </c>
      <c r="L1253" t="s">
        <v>407</v>
      </c>
      <c r="M1253" s="3" t="s">
        <v>1293</v>
      </c>
    </row>
    <row r="1254" spans="1:13" hidden="1" x14ac:dyDescent="0.25">
      <c r="A1254" s="1" t="str">
        <f>VLOOKUP(Table2[[#This Row],[Prod Line ]],Lists!A:E,5,0)</f>
        <v>b</v>
      </c>
      <c r="B1254" s="1">
        <v>44355</v>
      </c>
      <c r="C1254" s="1">
        <v>44353</v>
      </c>
      <c r="D1254" s="1" t="s">
        <v>58</v>
      </c>
      <c r="E1254" s="2" t="s">
        <v>406</v>
      </c>
      <c r="F1254" s="1"/>
      <c r="G1254" s="2">
        <v>7</v>
      </c>
      <c r="H1254" s="1"/>
      <c r="I1254" t="s">
        <v>1</v>
      </c>
      <c r="J1254" t="s">
        <v>2</v>
      </c>
      <c r="K1254" t="s">
        <v>19</v>
      </c>
      <c r="L1254" t="s">
        <v>349</v>
      </c>
      <c r="M1254" s="3" t="s">
        <v>575</v>
      </c>
    </row>
    <row r="1255" spans="1:13" hidden="1" x14ac:dyDescent="0.25">
      <c r="A1255" s="1" t="str">
        <f>VLOOKUP(Table2[[#This Row],[Prod Line ]],Lists!A:E,5,0)</f>
        <v>c</v>
      </c>
      <c r="B1255" s="1">
        <v>44355</v>
      </c>
      <c r="C1255" s="1">
        <v>44353</v>
      </c>
      <c r="D1255" s="1" t="s">
        <v>60</v>
      </c>
      <c r="E1255" s="2" t="s">
        <v>405</v>
      </c>
      <c r="F1255" s="1"/>
      <c r="G1255" s="2">
        <v>20</v>
      </c>
      <c r="H1255" s="1"/>
      <c r="I1255" t="s">
        <v>1</v>
      </c>
      <c r="J1255" t="s">
        <v>64</v>
      </c>
      <c r="K1255" t="s">
        <v>381</v>
      </c>
      <c r="L1255" t="s">
        <v>407</v>
      </c>
      <c r="M1255" s="3" t="s">
        <v>750</v>
      </c>
    </row>
    <row r="1256" spans="1:13" hidden="1" x14ac:dyDescent="0.25">
      <c r="A1256" s="1" t="str">
        <f>VLOOKUP(Table2[[#This Row],[Prod Line ]],Lists!A:E,5,0)</f>
        <v>d</v>
      </c>
      <c r="B1256" s="1">
        <v>44355</v>
      </c>
      <c r="C1256" s="1">
        <v>44353</v>
      </c>
      <c r="D1256" s="1" t="s">
        <v>62</v>
      </c>
      <c r="E1256" s="2" t="s">
        <v>406</v>
      </c>
      <c r="F1256" s="1"/>
      <c r="G1256" s="2">
        <v>16</v>
      </c>
      <c r="H1256" s="1"/>
      <c r="I1256" t="s">
        <v>1</v>
      </c>
      <c r="J1256" t="s">
        <v>2</v>
      </c>
      <c r="K1256" t="s">
        <v>19</v>
      </c>
      <c r="L1256" t="s">
        <v>349</v>
      </c>
      <c r="M1256" s="3" t="s">
        <v>1294</v>
      </c>
    </row>
    <row r="1257" spans="1:13" hidden="1" x14ac:dyDescent="0.25">
      <c r="A1257" s="1" t="str">
        <f>VLOOKUP(Table2[[#This Row],[Prod Line ]],Lists!A:E,5,0)</f>
        <v>d</v>
      </c>
      <c r="B1257" s="1">
        <v>44355</v>
      </c>
      <c r="C1257" s="1">
        <v>44353</v>
      </c>
      <c r="D1257" s="1" t="s">
        <v>62</v>
      </c>
      <c r="E1257" s="2" t="s">
        <v>404</v>
      </c>
      <c r="F1257" s="1"/>
      <c r="G1257" s="2">
        <v>10</v>
      </c>
      <c r="H1257" s="1"/>
      <c r="I1257" t="s">
        <v>0</v>
      </c>
      <c r="J1257" t="s">
        <v>5</v>
      </c>
      <c r="K1257" t="s">
        <v>397</v>
      </c>
      <c r="L1257" t="s">
        <v>70</v>
      </c>
      <c r="M1257" s="3" t="s">
        <v>1295</v>
      </c>
    </row>
    <row r="1258" spans="1:13" hidden="1" x14ac:dyDescent="0.25">
      <c r="A1258" s="1" t="str">
        <f>VLOOKUP(Table2[[#This Row],[Prod Line ]],Lists!A:E,5,0)</f>
        <v>d</v>
      </c>
      <c r="B1258" s="1">
        <v>44355</v>
      </c>
      <c r="C1258" s="1">
        <v>44353</v>
      </c>
      <c r="D1258" s="1" t="s">
        <v>62</v>
      </c>
      <c r="E1258" s="2" t="s">
        <v>405</v>
      </c>
      <c r="F1258" s="1"/>
      <c r="G1258" s="2">
        <v>10</v>
      </c>
      <c r="H1258" s="1"/>
      <c r="I1258" t="s">
        <v>1</v>
      </c>
      <c r="J1258" t="s">
        <v>2</v>
      </c>
      <c r="K1258" t="s">
        <v>19</v>
      </c>
      <c r="L1258" t="s">
        <v>407</v>
      </c>
      <c r="M1258" s="3" t="s">
        <v>834</v>
      </c>
    </row>
    <row r="1259" spans="1:13" hidden="1" x14ac:dyDescent="0.25">
      <c r="A1259" s="1" t="str">
        <f>VLOOKUP(Table2[[#This Row],[Prod Line ]],Lists!A:E,5,0)</f>
        <v>b</v>
      </c>
      <c r="B1259" s="1">
        <v>44355</v>
      </c>
      <c r="C1259" s="1">
        <v>44353</v>
      </c>
      <c r="D1259" s="1" t="s">
        <v>58</v>
      </c>
      <c r="E1259" s="2" t="s">
        <v>404</v>
      </c>
      <c r="F1259" s="1"/>
      <c r="G1259" s="2">
        <v>21</v>
      </c>
      <c r="H1259" s="1"/>
      <c r="I1259" t="s">
        <v>0</v>
      </c>
      <c r="J1259" t="s">
        <v>65</v>
      </c>
      <c r="K1259" t="s">
        <v>28</v>
      </c>
      <c r="L1259" t="s">
        <v>69</v>
      </c>
      <c r="M1259" s="3" t="s">
        <v>1296</v>
      </c>
    </row>
    <row r="1260" spans="1:13" hidden="1" x14ac:dyDescent="0.25">
      <c r="A1260" s="1" t="str">
        <f>VLOOKUP(Table2[[#This Row],[Prod Line ]],Lists!A:E,5,0)</f>
        <v>d</v>
      </c>
      <c r="B1260" s="1">
        <v>44357</v>
      </c>
      <c r="C1260" s="1">
        <v>44355</v>
      </c>
      <c r="D1260" s="1" t="s">
        <v>62</v>
      </c>
      <c r="E1260" s="2" t="s">
        <v>404</v>
      </c>
      <c r="F1260" s="1"/>
      <c r="G1260" s="2">
        <v>10</v>
      </c>
      <c r="H1260" s="1"/>
      <c r="I1260" t="s">
        <v>0</v>
      </c>
      <c r="J1260" t="s">
        <v>5</v>
      </c>
      <c r="K1260" t="s">
        <v>396</v>
      </c>
      <c r="L1260" t="s">
        <v>70</v>
      </c>
      <c r="M1260" s="3" t="s">
        <v>1297</v>
      </c>
    </row>
    <row r="1261" spans="1:13" hidden="1" x14ac:dyDescent="0.25">
      <c r="A1261" s="1" t="str">
        <f>VLOOKUP(Table2[[#This Row],[Prod Line ]],Lists!A:E,5,0)</f>
        <v>d</v>
      </c>
      <c r="B1261" s="1">
        <v>44357</v>
      </c>
      <c r="C1261" s="1">
        <v>44355</v>
      </c>
      <c r="D1261" s="1" t="s">
        <v>62</v>
      </c>
      <c r="E1261" s="2" t="s">
        <v>405</v>
      </c>
      <c r="F1261" s="1"/>
      <c r="G1261" s="2">
        <v>12</v>
      </c>
      <c r="H1261" s="1"/>
      <c r="I1261" t="s">
        <v>1</v>
      </c>
      <c r="J1261" t="s">
        <v>2</v>
      </c>
      <c r="K1261" t="s">
        <v>19</v>
      </c>
      <c r="L1261" t="s">
        <v>349</v>
      </c>
      <c r="M1261" s="3" t="s">
        <v>1298</v>
      </c>
    </row>
    <row r="1262" spans="1:13" hidden="1" x14ac:dyDescent="0.25">
      <c r="A1262" s="1" t="str">
        <f>VLOOKUP(Table2[[#This Row],[Prod Line ]],Lists!A:E,5,0)</f>
        <v>c</v>
      </c>
      <c r="B1262" s="1">
        <v>44358</v>
      </c>
      <c r="C1262" s="1">
        <v>44356</v>
      </c>
      <c r="D1262" s="1" t="s">
        <v>60</v>
      </c>
      <c r="E1262" s="2" t="s">
        <v>404</v>
      </c>
      <c r="F1262" s="1"/>
      <c r="G1262" s="2">
        <v>3</v>
      </c>
      <c r="H1262" s="1"/>
      <c r="I1262" t="s">
        <v>1</v>
      </c>
      <c r="J1262" t="s">
        <v>64</v>
      </c>
      <c r="K1262" t="s">
        <v>381</v>
      </c>
      <c r="L1262" t="s">
        <v>407</v>
      </c>
      <c r="M1262" s="3" t="s">
        <v>833</v>
      </c>
    </row>
    <row r="1263" spans="1:13" hidden="1" x14ac:dyDescent="0.25">
      <c r="A1263" s="1" t="str">
        <f>VLOOKUP(Table2[[#This Row],[Prod Line ]],Lists!A:E,5,0)</f>
        <v>d</v>
      </c>
      <c r="B1263" s="1">
        <v>44358</v>
      </c>
      <c r="C1263" s="1">
        <v>44356</v>
      </c>
      <c r="D1263" s="1" t="s">
        <v>62</v>
      </c>
      <c r="E1263" s="2" t="s">
        <v>405</v>
      </c>
      <c r="F1263" s="1"/>
      <c r="G1263" s="2">
        <v>5</v>
      </c>
      <c r="H1263" s="1"/>
      <c r="I1263" t="s">
        <v>0</v>
      </c>
      <c r="J1263" t="s">
        <v>2</v>
      </c>
      <c r="K1263" t="s">
        <v>19</v>
      </c>
      <c r="L1263" t="s">
        <v>69</v>
      </c>
      <c r="M1263" s="3" t="s">
        <v>1299</v>
      </c>
    </row>
    <row r="1264" spans="1:13" hidden="1" x14ac:dyDescent="0.25">
      <c r="A1264" s="1" t="str">
        <f>VLOOKUP(Table2[[#This Row],[Prod Line ]],Lists!A:E,5,0)</f>
        <v>c</v>
      </c>
      <c r="B1264" s="1">
        <v>44358</v>
      </c>
      <c r="C1264" s="1">
        <v>44356</v>
      </c>
      <c r="D1264" s="1" t="s">
        <v>60</v>
      </c>
      <c r="E1264" s="2" t="s">
        <v>404</v>
      </c>
      <c r="F1264" s="1"/>
      <c r="G1264" s="2">
        <v>3</v>
      </c>
      <c r="H1264" s="1"/>
      <c r="I1264" t="s">
        <v>1</v>
      </c>
      <c r="J1264" t="s">
        <v>64</v>
      </c>
      <c r="K1264" t="s">
        <v>381</v>
      </c>
      <c r="L1264" t="s">
        <v>407</v>
      </c>
      <c r="M1264" s="3" t="s">
        <v>1301</v>
      </c>
    </row>
    <row r="1265" spans="1:14" hidden="1" x14ac:dyDescent="0.25">
      <c r="A1265" s="1" t="str">
        <f>VLOOKUP(Table2[[#This Row],[Prod Line ]],Lists!A:E,5,0)</f>
        <v>b</v>
      </c>
      <c r="B1265" s="1">
        <v>44359</v>
      </c>
      <c r="C1265" s="1">
        <v>44357</v>
      </c>
      <c r="D1265" s="1" t="s">
        <v>58</v>
      </c>
      <c r="E1265" s="2" t="s">
        <v>404</v>
      </c>
      <c r="F1265" s="1"/>
      <c r="G1265" s="2">
        <v>15</v>
      </c>
      <c r="H1265" s="1"/>
      <c r="I1265" t="s">
        <v>1</v>
      </c>
      <c r="J1265" t="s">
        <v>64</v>
      </c>
      <c r="K1265" t="s">
        <v>22</v>
      </c>
      <c r="L1265" t="s">
        <v>407</v>
      </c>
      <c r="M1265" s="3" t="s">
        <v>48</v>
      </c>
    </row>
    <row r="1266" spans="1:14" hidden="1" x14ac:dyDescent="0.25">
      <c r="A1266" s="1" t="str">
        <f>VLOOKUP(Table2[[#This Row],[Prod Line ]],Lists!A:E,5,0)</f>
        <v>b</v>
      </c>
      <c r="B1266" s="1">
        <v>44359</v>
      </c>
      <c r="C1266" s="1">
        <v>44357</v>
      </c>
      <c r="D1266" s="1" t="s">
        <v>58</v>
      </c>
      <c r="E1266" s="2" t="s">
        <v>405</v>
      </c>
      <c r="F1266" s="1"/>
      <c r="G1266" s="2">
        <v>20</v>
      </c>
      <c r="H1266" s="1"/>
      <c r="I1266" t="s">
        <v>1</v>
      </c>
      <c r="J1266" t="s">
        <v>64</v>
      </c>
      <c r="K1266" t="s">
        <v>21</v>
      </c>
      <c r="L1266" t="s">
        <v>407</v>
      </c>
      <c r="M1266" s="3" t="s">
        <v>1302</v>
      </c>
    </row>
    <row r="1267" spans="1:14" hidden="1" x14ac:dyDescent="0.25">
      <c r="A1267" s="1" t="str">
        <f>VLOOKUP(Table2[[#This Row],[Prod Line ]],Lists!A:E,5,0)</f>
        <v>b</v>
      </c>
      <c r="B1267" s="1">
        <v>44359</v>
      </c>
      <c r="C1267" s="1">
        <v>44357</v>
      </c>
      <c r="D1267" s="1" t="s">
        <v>58</v>
      </c>
      <c r="E1267" s="2" t="s">
        <v>404</v>
      </c>
      <c r="F1267" s="1"/>
      <c r="G1267" s="2">
        <v>6</v>
      </c>
      <c r="H1267" s="1"/>
      <c r="I1267" t="s">
        <v>1</v>
      </c>
      <c r="J1267" t="s">
        <v>5</v>
      </c>
      <c r="K1267" t="s">
        <v>37</v>
      </c>
      <c r="L1267" t="s">
        <v>407</v>
      </c>
      <c r="M1267" s="3" t="s">
        <v>1303</v>
      </c>
    </row>
    <row r="1268" spans="1:14" hidden="1" x14ac:dyDescent="0.25">
      <c r="A1268" s="1" t="str">
        <f>VLOOKUP(Table2[[#This Row],[Prod Line ]],Lists!A:E,5,0)</f>
        <v>d</v>
      </c>
      <c r="B1268" s="1">
        <v>44359</v>
      </c>
      <c r="C1268" s="1">
        <v>44357</v>
      </c>
      <c r="D1268" s="1" t="s">
        <v>62</v>
      </c>
      <c r="E1268" s="2" t="s">
        <v>406</v>
      </c>
      <c r="F1268" s="1"/>
      <c r="G1268" s="2">
        <v>15</v>
      </c>
      <c r="H1268" s="1"/>
      <c r="I1268" t="s">
        <v>0</v>
      </c>
      <c r="J1268" t="s">
        <v>2</v>
      </c>
      <c r="K1268" t="s">
        <v>19</v>
      </c>
      <c r="L1268" t="s">
        <v>69</v>
      </c>
      <c r="M1268" s="3" t="s">
        <v>1304</v>
      </c>
    </row>
    <row r="1269" spans="1:14" hidden="1" x14ac:dyDescent="0.25">
      <c r="A1269" s="1" t="str">
        <f>VLOOKUP(Table2[[#This Row],[Prod Line ]],Lists!A:E,5,0)</f>
        <v>b</v>
      </c>
      <c r="B1269" s="1">
        <v>44359</v>
      </c>
      <c r="C1269" s="1">
        <v>44357</v>
      </c>
      <c r="D1269" s="1" t="s">
        <v>58</v>
      </c>
      <c r="E1269" s="2" t="s">
        <v>405</v>
      </c>
      <c r="F1269" s="1"/>
      <c r="G1269" s="2">
        <v>41</v>
      </c>
      <c r="H1269" s="1"/>
      <c r="I1269" t="s">
        <v>1</v>
      </c>
      <c r="J1269" t="s">
        <v>64</v>
      </c>
      <c r="K1269" t="s">
        <v>21</v>
      </c>
      <c r="L1269" t="s">
        <v>407</v>
      </c>
      <c r="M1269" s="3" t="s">
        <v>1305</v>
      </c>
      <c r="N1269" s="20" t="s">
        <v>1306</v>
      </c>
    </row>
    <row r="1270" spans="1:14" hidden="1" x14ac:dyDescent="0.25">
      <c r="A1270" s="1" t="str">
        <f>VLOOKUP(Table2[[#This Row],[Prod Line ]],Lists!A:E,5,0)</f>
        <v>b</v>
      </c>
      <c r="B1270" s="1">
        <v>44359</v>
      </c>
      <c r="C1270" s="1">
        <v>44358</v>
      </c>
      <c r="D1270" s="1" t="s">
        <v>58</v>
      </c>
      <c r="E1270" s="2" t="s">
        <v>404</v>
      </c>
      <c r="F1270" s="1"/>
      <c r="G1270" s="2">
        <v>20</v>
      </c>
      <c r="H1270" s="1"/>
      <c r="I1270" t="s">
        <v>1</v>
      </c>
      <c r="J1270" t="s">
        <v>5</v>
      </c>
      <c r="K1270" t="s">
        <v>37</v>
      </c>
      <c r="L1270" t="s">
        <v>407</v>
      </c>
      <c r="M1270" s="3" t="s">
        <v>1185</v>
      </c>
    </row>
    <row r="1271" spans="1:14" hidden="1" x14ac:dyDescent="0.25">
      <c r="A1271" s="1" t="str">
        <f>VLOOKUP(Table2[[#This Row],[Prod Line ]],Lists!A:E,5,0)</f>
        <v>b</v>
      </c>
      <c r="B1271" s="1">
        <v>44359</v>
      </c>
      <c r="C1271" s="1">
        <v>44358</v>
      </c>
      <c r="D1271" s="1" t="s">
        <v>58</v>
      </c>
      <c r="E1271" s="2" t="s">
        <v>404</v>
      </c>
      <c r="F1271" s="1"/>
      <c r="G1271" s="2">
        <v>22</v>
      </c>
      <c r="H1271" s="1"/>
      <c r="I1271" t="s">
        <v>1</v>
      </c>
      <c r="J1271" t="s">
        <v>5</v>
      </c>
      <c r="K1271" t="s">
        <v>37</v>
      </c>
      <c r="L1271" t="s">
        <v>407</v>
      </c>
      <c r="M1271" s="3" t="s">
        <v>1307</v>
      </c>
    </row>
    <row r="1272" spans="1:14" hidden="1" x14ac:dyDescent="0.25">
      <c r="A1272" s="1" t="str">
        <f>VLOOKUP(Table2[[#This Row],[Prod Line ]],Lists!A:E,5,0)</f>
        <v>b</v>
      </c>
      <c r="B1272" s="1">
        <v>44359</v>
      </c>
      <c r="C1272" s="1">
        <v>44358</v>
      </c>
      <c r="D1272" s="1" t="s">
        <v>58</v>
      </c>
      <c r="E1272" s="2" t="s">
        <v>404</v>
      </c>
      <c r="F1272" s="1"/>
      <c r="G1272" s="2">
        <v>5</v>
      </c>
      <c r="H1272" s="1"/>
      <c r="I1272" t="s">
        <v>0</v>
      </c>
      <c r="J1272" t="s">
        <v>67</v>
      </c>
      <c r="K1272" t="s">
        <v>67</v>
      </c>
      <c r="L1272" t="s">
        <v>70</v>
      </c>
      <c r="M1272" s="3" t="s">
        <v>1308</v>
      </c>
    </row>
    <row r="1273" spans="1:14" hidden="1" x14ac:dyDescent="0.25">
      <c r="A1273" s="1" t="str">
        <f>VLOOKUP(Table2[[#This Row],[Prod Line ]],Lists!A:E,5,0)</f>
        <v>a</v>
      </c>
      <c r="B1273" s="1">
        <v>44361</v>
      </c>
      <c r="C1273" s="1">
        <v>44359</v>
      </c>
      <c r="D1273" s="1" t="s">
        <v>56</v>
      </c>
      <c r="E1273" s="2" t="s">
        <v>404</v>
      </c>
      <c r="F1273" s="1"/>
      <c r="G1273" s="2">
        <v>9</v>
      </c>
      <c r="H1273" s="1"/>
      <c r="I1273" t="s">
        <v>0</v>
      </c>
      <c r="J1273" t="s">
        <v>64</v>
      </c>
      <c r="K1273" t="s">
        <v>369</v>
      </c>
      <c r="L1273" t="s">
        <v>70</v>
      </c>
      <c r="M1273" s="3" t="s">
        <v>1309</v>
      </c>
    </row>
    <row r="1274" spans="1:14" hidden="1" x14ac:dyDescent="0.25">
      <c r="A1274" s="1" t="str">
        <f>VLOOKUP(Table2[[#This Row],[Prod Line ]],Lists!A:E,5,0)</f>
        <v>a</v>
      </c>
      <c r="B1274" s="1">
        <v>44361</v>
      </c>
      <c r="C1274" s="1">
        <v>44359</v>
      </c>
      <c r="D1274" s="1" t="s">
        <v>56</v>
      </c>
      <c r="E1274" s="2" t="s">
        <v>405</v>
      </c>
      <c r="F1274" s="1"/>
      <c r="G1274" s="2">
        <v>12</v>
      </c>
      <c r="H1274" s="1"/>
      <c r="I1274" t="s">
        <v>1</v>
      </c>
      <c r="J1274" t="s">
        <v>64</v>
      </c>
      <c r="K1274" t="s">
        <v>369</v>
      </c>
      <c r="L1274" t="s">
        <v>407</v>
      </c>
      <c r="M1274" s="3" t="s">
        <v>1310</v>
      </c>
    </row>
    <row r="1275" spans="1:14" hidden="1" x14ac:dyDescent="0.25">
      <c r="A1275" s="1" t="str">
        <f>VLOOKUP(Table2[[#This Row],[Prod Line ]],Lists!A:E,5,0)</f>
        <v>a</v>
      </c>
      <c r="B1275" s="1">
        <v>44361</v>
      </c>
      <c r="C1275" s="1">
        <v>44359</v>
      </c>
      <c r="D1275" s="1" t="s">
        <v>56</v>
      </c>
      <c r="E1275" s="2" t="s">
        <v>405</v>
      </c>
      <c r="F1275" s="1"/>
      <c r="G1275" s="2">
        <v>8</v>
      </c>
      <c r="H1275" s="1"/>
      <c r="I1275" t="s">
        <v>1</v>
      </c>
      <c r="J1275" t="s">
        <v>64</v>
      </c>
      <c r="K1275" t="s">
        <v>369</v>
      </c>
      <c r="L1275" t="s">
        <v>407</v>
      </c>
      <c r="M1275" s="3" t="s">
        <v>833</v>
      </c>
    </row>
    <row r="1276" spans="1:14" hidden="1" x14ac:dyDescent="0.25">
      <c r="A1276" s="1" t="str">
        <f>VLOOKUP(Table2[[#This Row],[Prod Line ]],Lists!A:E,5,0)</f>
        <v>a</v>
      </c>
      <c r="B1276" s="1">
        <v>44361</v>
      </c>
      <c r="C1276" s="1">
        <v>44359</v>
      </c>
      <c r="D1276" s="1" t="s">
        <v>56</v>
      </c>
      <c r="E1276" s="2" t="s">
        <v>405</v>
      </c>
      <c r="F1276" s="1"/>
      <c r="G1276" s="2">
        <v>10</v>
      </c>
      <c r="H1276" s="1"/>
      <c r="I1276" t="s">
        <v>0</v>
      </c>
      <c r="J1276" t="s">
        <v>64</v>
      </c>
      <c r="K1276" t="s">
        <v>369</v>
      </c>
      <c r="L1276" t="s">
        <v>70</v>
      </c>
      <c r="M1276" s="3" t="s">
        <v>1311</v>
      </c>
    </row>
    <row r="1277" spans="1:14" hidden="1" x14ac:dyDescent="0.25">
      <c r="A1277" s="1" t="str">
        <f>VLOOKUP(Table2[[#This Row],[Prod Line ]],Lists!A:E,5,0)</f>
        <v>b</v>
      </c>
      <c r="B1277" s="1">
        <v>44361</v>
      </c>
      <c r="C1277" s="1">
        <v>44359</v>
      </c>
      <c r="D1277" s="1" t="s">
        <v>58</v>
      </c>
      <c r="E1277" s="2" t="s">
        <v>404</v>
      </c>
      <c r="F1277" s="1"/>
      <c r="G1277" s="2">
        <v>5</v>
      </c>
      <c r="H1277" s="1"/>
      <c r="I1277" t="s">
        <v>0</v>
      </c>
      <c r="J1277" t="s">
        <v>65</v>
      </c>
      <c r="K1277" t="s">
        <v>27</v>
      </c>
      <c r="L1277" t="s">
        <v>70</v>
      </c>
      <c r="M1277" s="3" t="s">
        <v>1312</v>
      </c>
    </row>
    <row r="1278" spans="1:14" hidden="1" x14ac:dyDescent="0.25">
      <c r="A1278" s="1" t="str">
        <f>VLOOKUP(Table2[[#This Row],[Prod Line ]],Lists!A:E,5,0)</f>
        <v>b</v>
      </c>
      <c r="B1278" s="1">
        <v>44361</v>
      </c>
      <c r="C1278" s="1">
        <v>44359</v>
      </c>
      <c r="D1278" s="1" t="s">
        <v>58</v>
      </c>
      <c r="E1278" s="2" t="s">
        <v>404</v>
      </c>
      <c r="F1278" s="1"/>
      <c r="G1278" s="2">
        <v>8</v>
      </c>
      <c r="H1278" s="1"/>
      <c r="I1278" t="s">
        <v>1</v>
      </c>
      <c r="J1278" t="s">
        <v>2</v>
      </c>
      <c r="K1278" t="s">
        <v>19</v>
      </c>
      <c r="L1278" t="s">
        <v>349</v>
      </c>
      <c r="M1278" s="3" t="s">
        <v>575</v>
      </c>
    </row>
    <row r="1279" spans="1:14" hidden="1" x14ac:dyDescent="0.25">
      <c r="A1279" s="1" t="str">
        <f>VLOOKUP(Table2[[#This Row],[Prod Line ]],Lists!A:E,5,0)</f>
        <v>b</v>
      </c>
      <c r="B1279" s="1">
        <v>44361</v>
      </c>
      <c r="C1279" s="1">
        <v>44359</v>
      </c>
      <c r="D1279" s="1" t="s">
        <v>58</v>
      </c>
      <c r="E1279" s="2" t="s">
        <v>406</v>
      </c>
      <c r="F1279" s="1"/>
      <c r="G1279" s="2">
        <v>3</v>
      </c>
      <c r="H1279" s="1"/>
      <c r="I1279" t="s">
        <v>1</v>
      </c>
      <c r="J1279" t="s">
        <v>65</v>
      </c>
      <c r="K1279" t="s">
        <v>27</v>
      </c>
      <c r="L1279" t="s">
        <v>441</v>
      </c>
      <c r="M1279" s="3" t="s">
        <v>612</v>
      </c>
    </row>
    <row r="1280" spans="1:14" hidden="1" x14ac:dyDescent="0.25">
      <c r="A1280" s="1" t="str">
        <f>VLOOKUP(Table2[[#This Row],[Prod Line ]],Lists!A:E,5,0)</f>
        <v>d</v>
      </c>
      <c r="B1280" s="1">
        <v>44361</v>
      </c>
      <c r="C1280" s="1">
        <v>44359</v>
      </c>
      <c r="D1280" s="1" t="s">
        <v>62</v>
      </c>
      <c r="E1280" s="2" t="s">
        <v>405</v>
      </c>
      <c r="F1280" s="1"/>
      <c r="G1280" s="2">
        <v>7</v>
      </c>
      <c r="H1280" s="1"/>
      <c r="I1280" t="s">
        <v>1</v>
      </c>
      <c r="J1280" t="s">
        <v>64</v>
      </c>
      <c r="K1280" t="s">
        <v>379</v>
      </c>
      <c r="L1280" t="s">
        <v>407</v>
      </c>
      <c r="M1280" s="3" t="s">
        <v>750</v>
      </c>
    </row>
    <row r="1281" spans="1:14" hidden="1" x14ac:dyDescent="0.25">
      <c r="A1281" s="1" t="str">
        <f>VLOOKUP(Table2[[#This Row],[Prod Line ]],Lists!A:E,5,0)</f>
        <v>a</v>
      </c>
      <c r="B1281" s="1">
        <v>44362</v>
      </c>
      <c r="C1281" s="1">
        <v>44361</v>
      </c>
      <c r="D1281" s="1" t="s">
        <v>56</v>
      </c>
      <c r="E1281" s="2" t="s">
        <v>404</v>
      </c>
      <c r="F1281" s="1"/>
      <c r="G1281" s="2">
        <v>22</v>
      </c>
      <c r="H1281" s="1"/>
      <c r="I1281" t="s">
        <v>0</v>
      </c>
      <c r="J1281" t="s">
        <v>64</v>
      </c>
      <c r="K1281" t="s">
        <v>369</v>
      </c>
      <c r="L1281" t="s">
        <v>70</v>
      </c>
      <c r="M1281" s="3" t="s">
        <v>1220</v>
      </c>
    </row>
    <row r="1282" spans="1:14" hidden="1" x14ac:dyDescent="0.25">
      <c r="A1282" s="1" t="str">
        <f>VLOOKUP(Table2[[#This Row],[Prod Line ]],Lists!A:E,5,0)</f>
        <v>a</v>
      </c>
      <c r="B1282" s="1">
        <v>44362</v>
      </c>
      <c r="C1282" s="1">
        <v>44361</v>
      </c>
      <c r="D1282" s="1" t="s">
        <v>56</v>
      </c>
      <c r="E1282" s="2" t="s">
        <v>404</v>
      </c>
      <c r="F1282" s="1"/>
      <c r="G1282" s="2">
        <v>7</v>
      </c>
      <c r="H1282" s="1"/>
      <c r="I1282" t="s">
        <v>1</v>
      </c>
      <c r="J1282" t="s">
        <v>5</v>
      </c>
      <c r="K1282" t="s">
        <v>376</v>
      </c>
      <c r="L1282" t="s">
        <v>407</v>
      </c>
      <c r="M1282" s="3" t="s">
        <v>1313</v>
      </c>
    </row>
    <row r="1283" spans="1:14" hidden="1" x14ac:dyDescent="0.25">
      <c r="A1283" s="1" t="str">
        <f>VLOOKUP(Table2[[#This Row],[Prod Line ]],Lists!A:E,5,0)</f>
        <v>a</v>
      </c>
      <c r="B1283" s="1">
        <v>44362</v>
      </c>
      <c r="C1283" s="1">
        <v>44361</v>
      </c>
      <c r="D1283" s="1" t="s">
        <v>56</v>
      </c>
      <c r="E1283" s="2" t="s">
        <v>404</v>
      </c>
      <c r="F1283" s="1"/>
      <c r="G1283" s="2">
        <v>9</v>
      </c>
      <c r="H1283" s="1"/>
      <c r="I1283" t="s">
        <v>1</v>
      </c>
      <c r="J1283" t="s">
        <v>64</v>
      </c>
      <c r="K1283" t="s">
        <v>369</v>
      </c>
      <c r="L1283" t="s">
        <v>407</v>
      </c>
      <c r="M1283" s="3" t="s">
        <v>1314</v>
      </c>
    </row>
    <row r="1284" spans="1:14" hidden="1" x14ac:dyDescent="0.25">
      <c r="A1284" s="1" t="str">
        <f>VLOOKUP(Table2[[#This Row],[Prod Line ]],Lists!A:E,5,0)</f>
        <v>a</v>
      </c>
      <c r="B1284" s="1">
        <v>44362</v>
      </c>
      <c r="C1284" s="1">
        <v>44361</v>
      </c>
      <c r="D1284" s="1" t="s">
        <v>56</v>
      </c>
      <c r="E1284" s="2" t="s">
        <v>405</v>
      </c>
      <c r="F1284" s="1"/>
      <c r="G1284" s="2">
        <v>5</v>
      </c>
      <c r="H1284" s="1"/>
      <c r="I1284" t="s">
        <v>1</v>
      </c>
      <c r="J1284" t="s">
        <v>64</v>
      </c>
      <c r="K1284" t="s">
        <v>367</v>
      </c>
      <c r="L1284" t="s">
        <v>407</v>
      </c>
      <c r="M1284" s="3" t="s">
        <v>1315</v>
      </c>
    </row>
    <row r="1285" spans="1:14" hidden="1" x14ac:dyDescent="0.25">
      <c r="A1285" s="1" t="str">
        <f>VLOOKUP(Table2[[#This Row],[Prod Line ]],Lists!A:E,5,0)</f>
        <v>a</v>
      </c>
      <c r="B1285" s="1">
        <v>44362</v>
      </c>
      <c r="C1285" s="1">
        <v>44361</v>
      </c>
      <c r="D1285" s="1" t="s">
        <v>56</v>
      </c>
      <c r="E1285" s="2" t="s">
        <v>405</v>
      </c>
      <c r="F1285" s="1"/>
      <c r="G1285" s="2">
        <v>5</v>
      </c>
      <c r="H1285" s="1"/>
      <c r="I1285" t="s">
        <v>1</v>
      </c>
      <c r="J1285" t="s">
        <v>64</v>
      </c>
      <c r="K1285" t="s">
        <v>367</v>
      </c>
      <c r="L1285" t="s">
        <v>407</v>
      </c>
      <c r="M1285" s="3" t="s">
        <v>833</v>
      </c>
    </row>
    <row r="1286" spans="1:14" hidden="1" x14ac:dyDescent="0.25">
      <c r="A1286" s="1" t="str">
        <f>VLOOKUP(Table2[[#This Row],[Prod Line ]],Lists!A:E,5,0)</f>
        <v>b</v>
      </c>
      <c r="B1286" s="1">
        <v>44362</v>
      </c>
      <c r="C1286" s="1">
        <v>44361</v>
      </c>
      <c r="D1286" s="1" t="s">
        <v>58</v>
      </c>
      <c r="E1286" s="2" t="s">
        <v>406</v>
      </c>
      <c r="F1286" s="1"/>
      <c r="G1286" s="2">
        <v>12</v>
      </c>
      <c r="H1286" s="1"/>
      <c r="I1286" t="s">
        <v>1</v>
      </c>
      <c r="J1286" t="s">
        <v>26</v>
      </c>
      <c r="K1286" t="s">
        <v>25</v>
      </c>
      <c r="L1286" t="s">
        <v>441</v>
      </c>
      <c r="M1286" s="3" t="s">
        <v>612</v>
      </c>
    </row>
    <row r="1287" spans="1:14" hidden="1" x14ac:dyDescent="0.25">
      <c r="A1287" s="1" t="str">
        <f>VLOOKUP(Table2[[#This Row],[Prod Line ]],Lists!A:E,5,0)</f>
        <v>b</v>
      </c>
      <c r="B1287" s="1">
        <v>44362</v>
      </c>
      <c r="C1287" s="1">
        <v>44361</v>
      </c>
      <c r="D1287" s="1" t="s">
        <v>58</v>
      </c>
      <c r="E1287" s="2" t="s">
        <v>406</v>
      </c>
      <c r="F1287" s="1"/>
      <c r="G1287" s="2">
        <v>6</v>
      </c>
      <c r="H1287" s="1"/>
      <c r="I1287" t="s">
        <v>1</v>
      </c>
      <c r="J1287" t="s">
        <v>64</v>
      </c>
      <c r="K1287" t="s">
        <v>24</v>
      </c>
      <c r="L1287" t="s">
        <v>407</v>
      </c>
      <c r="M1287" s="3" t="s">
        <v>750</v>
      </c>
    </row>
    <row r="1288" spans="1:14" hidden="1" x14ac:dyDescent="0.25">
      <c r="A1288" s="1" t="str">
        <f>VLOOKUP(Table2[[#This Row],[Prod Line ]],Lists!A:E,5,0)</f>
        <v>b</v>
      </c>
      <c r="B1288" s="1">
        <v>44362</v>
      </c>
      <c r="C1288" s="1">
        <v>44361</v>
      </c>
      <c r="D1288" s="1" t="s">
        <v>58</v>
      </c>
      <c r="E1288" s="2" t="s">
        <v>404</v>
      </c>
      <c r="F1288" s="1"/>
      <c r="G1288" s="2">
        <v>75</v>
      </c>
      <c r="H1288" s="1"/>
      <c r="I1288" t="s">
        <v>1</v>
      </c>
      <c r="J1288" t="s">
        <v>64</v>
      </c>
      <c r="K1288" t="s">
        <v>20</v>
      </c>
      <c r="L1288" t="s">
        <v>407</v>
      </c>
      <c r="M1288" s="3" t="s">
        <v>750</v>
      </c>
    </row>
    <row r="1289" spans="1:14" hidden="1" x14ac:dyDescent="0.25">
      <c r="A1289" s="1" t="str">
        <f>VLOOKUP(Table2[[#This Row],[Prod Line ]],Lists!A:E,5,0)</f>
        <v>b</v>
      </c>
      <c r="B1289" s="1">
        <v>44362</v>
      </c>
      <c r="C1289" s="1">
        <v>44361</v>
      </c>
      <c r="D1289" s="1" t="s">
        <v>58</v>
      </c>
      <c r="E1289" s="2" t="s">
        <v>404</v>
      </c>
      <c r="F1289" s="1"/>
      <c r="G1289" s="2">
        <v>32</v>
      </c>
      <c r="H1289" s="1"/>
      <c r="I1289" t="s">
        <v>1</v>
      </c>
      <c r="J1289" t="s">
        <v>2</v>
      </c>
      <c r="K1289" t="s">
        <v>19</v>
      </c>
      <c r="L1289" t="s">
        <v>349</v>
      </c>
      <c r="M1289" s="3" t="s">
        <v>1316</v>
      </c>
    </row>
    <row r="1290" spans="1:14" hidden="1" x14ac:dyDescent="0.25">
      <c r="A1290" s="1" t="str">
        <f>VLOOKUP(Table2[[#This Row],[Prod Line ]],Lists!A:E,5,0)</f>
        <v>d</v>
      </c>
      <c r="B1290" s="1">
        <v>44362</v>
      </c>
      <c r="C1290" s="1">
        <v>44361</v>
      </c>
      <c r="D1290" s="1" t="s">
        <v>62</v>
      </c>
      <c r="E1290" s="2" t="s">
        <v>406</v>
      </c>
      <c r="F1290" s="1"/>
      <c r="G1290" s="2">
        <v>9</v>
      </c>
      <c r="H1290" s="1"/>
      <c r="I1290" t="s">
        <v>1</v>
      </c>
      <c r="J1290" t="s">
        <v>64</v>
      </c>
      <c r="K1290" t="s">
        <v>379</v>
      </c>
      <c r="L1290" t="s">
        <v>407</v>
      </c>
      <c r="M1290" s="3" t="s">
        <v>833</v>
      </c>
    </row>
    <row r="1291" spans="1:14" hidden="1" x14ac:dyDescent="0.25">
      <c r="A1291" s="1" t="str">
        <f>VLOOKUP(Table2[[#This Row],[Prod Line ]],Lists!A:E,5,0)</f>
        <v>b</v>
      </c>
      <c r="B1291" s="1">
        <v>44362</v>
      </c>
      <c r="C1291" s="1">
        <v>44361</v>
      </c>
      <c r="D1291" s="1" t="s">
        <v>58</v>
      </c>
      <c r="E1291" s="2" t="s">
        <v>404</v>
      </c>
      <c r="F1291" s="1"/>
      <c r="G1291" s="2">
        <v>25</v>
      </c>
      <c r="H1291" s="1"/>
      <c r="I1291" t="s">
        <v>1</v>
      </c>
      <c r="J1291" t="s">
        <v>64</v>
      </c>
      <c r="K1291" t="s">
        <v>22</v>
      </c>
      <c r="L1291" t="s">
        <v>407</v>
      </c>
      <c r="M1291" s="3" t="s">
        <v>1317</v>
      </c>
    </row>
    <row r="1292" spans="1:14" hidden="1" x14ac:dyDescent="0.25">
      <c r="A1292" s="1" t="str">
        <f>VLOOKUP(Table2[[#This Row],[Prod Line ]],Lists!A:E,5,0)</f>
        <v>b</v>
      </c>
      <c r="B1292" s="1">
        <v>44362</v>
      </c>
      <c r="C1292" s="1">
        <v>44361</v>
      </c>
      <c r="D1292" s="1" t="s">
        <v>58</v>
      </c>
      <c r="E1292" s="2" t="s">
        <v>404</v>
      </c>
      <c r="F1292" s="1"/>
      <c r="G1292" s="2">
        <v>8</v>
      </c>
      <c r="H1292" s="1"/>
      <c r="I1292" t="s">
        <v>0</v>
      </c>
      <c r="J1292" t="s">
        <v>66</v>
      </c>
      <c r="K1292" t="s">
        <v>4</v>
      </c>
      <c r="L1292" t="s">
        <v>70</v>
      </c>
      <c r="M1292" s="3" t="s">
        <v>769</v>
      </c>
    </row>
    <row r="1293" spans="1:14" hidden="1" x14ac:dyDescent="0.25">
      <c r="A1293" s="1" t="str">
        <f>VLOOKUP(Table2[[#This Row],[Prod Line ]],Lists!A:E,5,0)</f>
        <v>b</v>
      </c>
      <c r="B1293" s="1">
        <v>44362</v>
      </c>
      <c r="C1293" s="1">
        <v>44361</v>
      </c>
      <c r="D1293" s="1" t="s">
        <v>58</v>
      </c>
      <c r="E1293" s="2" t="s">
        <v>405</v>
      </c>
      <c r="F1293" s="1"/>
      <c r="G1293" s="2">
        <v>5</v>
      </c>
      <c r="H1293" s="1"/>
      <c r="I1293" t="s">
        <v>0</v>
      </c>
      <c r="J1293" t="s">
        <v>26</v>
      </c>
      <c r="K1293" t="s">
        <v>25</v>
      </c>
      <c r="L1293" t="s">
        <v>69</v>
      </c>
      <c r="M1293" s="3" t="s">
        <v>1318</v>
      </c>
    </row>
    <row r="1294" spans="1:14" hidden="1" x14ac:dyDescent="0.25">
      <c r="A1294" s="1" t="str">
        <f>VLOOKUP(Table2[[#This Row],[Prod Line ]],Lists!A:E,5,0)</f>
        <v>a</v>
      </c>
      <c r="B1294" s="1">
        <v>44362</v>
      </c>
      <c r="C1294" s="1">
        <v>44361</v>
      </c>
      <c r="D1294" s="1" t="s">
        <v>56</v>
      </c>
      <c r="E1294" s="2" t="s">
        <v>404</v>
      </c>
      <c r="F1294" s="1"/>
      <c r="G1294" s="2">
        <v>10</v>
      </c>
      <c r="H1294" s="1"/>
      <c r="I1294" t="s">
        <v>1</v>
      </c>
      <c r="J1294" t="s">
        <v>65</v>
      </c>
      <c r="K1294" t="s">
        <v>27</v>
      </c>
      <c r="L1294" t="s">
        <v>441</v>
      </c>
      <c r="M1294" s="3" t="s">
        <v>1319</v>
      </c>
    </row>
    <row r="1295" spans="1:14" hidden="1" x14ac:dyDescent="0.25">
      <c r="A1295" s="1" t="str">
        <f>VLOOKUP(Table2[[#This Row],[Prod Line ]],Lists!A:E,5,0)</f>
        <v>a</v>
      </c>
      <c r="B1295" s="1">
        <v>44362</v>
      </c>
      <c r="C1295" s="1">
        <v>44361</v>
      </c>
      <c r="D1295" s="1" t="s">
        <v>56</v>
      </c>
      <c r="E1295" s="2" t="s">
        <v>405</v>
      </c>
      <c r="F1295" s="1"/>
      <c r="G1295" s="2">
        <v>7</v>
      </c>
      <c r="H1295" s="1"/>
      <c r="I1295" t="s">
        <v>1</v>
      </c>
      <c r="J1295" t="s">
        <v>2</v>
      </c>
      <c r="K1295" t="s">
        <v>19</v>
      </c>
      <c r="L1295" t="s">
        <v>407</v>
      </c>
      <c r="M1295" s="3" t="s">
        <v>1320</v>
      </c>
    </row>
    <row r="1296" spans="1:14" ht="30" hidden="1" x14ac:dyDescent="0.25">
      <c r="A1296" s="1" t="str">
        <f>VLOOKUP(Table2[[#This Row],[Prod Line ]],Lists!A:E,5,0)</f>
        <v>d</v>
      </c>
      <c r="B1296" s="1">
        <v>44362</v>
      </c>
      <c r="C1296" s="1">
        <v>44361</v>
      </c>
      <c r="D1296" s="1" t="s">
        <v>62</v>
      </c>
      <c r="E1296" s="2" t="s">
        <v>404</v>
      </c>
      <c r="F1296" s="1"/>
      <c r="G1296" s="2">
        <v>50</v>
      </c>
      <c r="H1296" s="1"/>
      <c r="I1296" t="s">
        <v>0</v>
      </c>
      <c r="J1296" t="s">
        <v>65</v>
      </c>
      <c r="K1296" t="s">
        <v>3</v>
      </c>
      <c r="L1296" t="s">
        <v>69</v>
      </c>
      <c r="M1296" s="3" t="s">
        <v>1321</v>
      </c>
      <c r="N1296" s="20" t="s">
        <v>1357</v>
      </c>
    </row>
    <row r="1297" spans="1:14" hidden="1" x14ac:dyDescent="0.25">
      <c r="A1297" s="1" t="str">
        <f>VLOOKUP(Table2[[#This Row],[Prod Line ]],Lists!A:E,5,0)</f>
        <v>b</v>
      </c>
      <c r="B1297" s="1">
        <v>44364</v>
      </c>
      <c r="C1297" s="1">
        <v>44362</v>
      </c>
      <c r="D1297" s="1" t="s">
        <v>58</v>
      </c>
      <c r="E1297" s="2" t="s">
        <v>406</v>
      </c>
      <c r="F1297" s="1"/>
      <c r="G1297" s="2">
        <v>23</v>
      </c>
      <c r="H1297" s="1"/>
      <c r="I1297" t="s">
        <v>1</v>
      </c>
      <c r="J1297" t="s">
        <v>65</v>
      </c>
      <c r="K1297" t="s">
        <v>27</v>
      </c>
      <c r="L1297" t="s">
        <v>350</v>
      </c>
      <c r="M1297" s="3" t="s">
        <v>1011</v>
      </c>
    </row>
    <row r="1298" spans="1:14" hidden="1" x14ac:dyDescent="0.25">
      <c r="A1298" s="1" t="str">
        <f>VLOOKUP(Table2[[#This Row],[Prod Line ]],Lists!A:E,5,0)</f>
        <v>b</v>
      </c>
      <c r="B1298" s="1">
        <v>44364</v>
      </c>
      <c r="C1298" s="1">
        <v>44362</v>
      </c>
      <c r="D1298" s="1" t="s">
        <v>58</v>
      </c>
      <c r="E1298" s="2" t="s">
        <v>404</v>
      </c>
      <c r="F1298" s="1"/>
      <c r="G1298" s="2">
        <v>55</v>
      </c>
      <c r="H1298" s="1"/>
      <c r="I1298" t="s">
        <v>0</v>
      </c>
      <c r="J1298" t="s">
        <v>64</v>
      </c>
      <c r="K1298" t="s">
        <v>23</v>
      </c>
      <c r="L1298" t="s">
        <v>69</v>
      </c>
      <c r="M1298" s="3" t="s">
        <v>1322</v>
      </c>
      <c r="N1298" s="20" t="s">
        <v>1358</v>
      </c>
    </row>
    <row r="1299" spans="1:14" hidden="1" x14ac:dyDescent="0.25">
      <c r="A1299" s="1" t="str">
        <f>VLOOKUP(Table2[[#This Row],[Prod Line ]],Lists!A:E,5,0)</f>
        <v>a</v>
      </c>
      <c r="B1299" s="1">
        <v>44364</v>
      </c>
      <c r="C1299" s="1">
        <v>44362</v>
      </c>
      <c r="D1299" s="1" t="s">
        <v>56</v>
      </c>
      <c r="E1299" s="2" t="s">
        <v>404</v>
      </c>
      <c r="F1299" s="1"/>
      <c r="G1299" s="2">
        <v>2</v>
      </c>
      <c r="H1299" s="1"/>
      <c r="I1299" t="s">
        <v>1</v>
      </c>
      <c r="J1299" t="s">
        <v>2</v>
      </c>
      <c r="K1299" t="s">
        <v>19</v>
      </c>
      <c r="L1299" t="s">
        <v>349</v>
      </c>
      <c r="M1299" s="3" t="s">
        <v>575</v>
      </c>
    </row>
    <row r="1300" spans="1:14" hidden="1" x14ac:dyDescent="0.25">
      <c r="A1300" s="1" t="str">
        <f>VLOOKUP(Table2[[#This Row],[Prod Line ]],Lists!A:E,5,0)</f>
        <v>c</v>
      </c>
      <c r="B1300" s="1">
        <v>44364</v>
      </c>
      <c r="C1300" s="1">
        <v>44362</v>
      </c>
      <c r="D1300" s="1" t="s">
        <v>60</v>
      </c>
      <c r="E1300" s="2" t="s">
        <v>405</v>
      </c>
      <c r="F1300" s="1"/>
      <c r="G1300" s="2">
        <v>17</v>
      </c>
      <c r="H1300" s="1"/>
      <c r="I1300" t="s">
        <v>1</v>
      </c>
      <c r="J1300" t="s">
        <v>64</v>
      </c>
      <c r="K1300" t="s">
        <v>381</v>
      </c>
      <c r="L1300" t="s">
        <v>407</v>
      </c>
      <c r="M1300" s="3" t="s">
        <v>1323</v>
      </c>
    </row>
    <row r="1301" spans="1:14" hidden="1" x14ac:dyDescent="0.25">
      <c r="A1301" s="1" t="str">
        <f>VLOOKUP(Table2[[#This Row],[Prod Line ]],Lists!A:E,5,0)</f>
        <v>a</v>
      </c>
      <c r="B1301" s="1">
        <v>44365</v>
      </c>
      <c r="C1301" s="1">
        <v>44363</v>
      </c>
      <c r="D1301" s="1" t="s">
        <v>56</v>
      </c>
      <c r="E1301" s="2" t="s">
        <v>404</v>
      </c>
      <c r="F1301" s="1"/>
      <c r="G1301" s="2">
        <v>7</v>
      </c>
      <c r="H1301" s="1"/>
      <c r="I1301" t="s">
        <v>0</v>
      </c>
      <c r="J1301" t="s">
        <v>64</v>
      </c>
      <c r="K1301" t="s">
        <v>371</v>
      </c>
      <c r="L1301" t="s">
        <v>70</v>
      </c>
      <c r="M1301" s="3" t="s">
        <v>1324</v>
      </c>
    </row>
    <row r="1302" spans="1:14" hidden="1" x14ac:dyDescent="0.25">
      <c r="A1302" s="1" t="str">
        <f>VLOOKUP(Table2[[#This Row],[Prod Line ]],Lists!A:E,5,0)</f>
        <v>a</v>
      </c>
      <c r="B1302" s="1">
        <v>44365</v>
      </c>
      <c r="C1302" s="1">
        <v>44363</v>
      </c>
      <c r="D1302" s="1" t="s">
        <v>56</v>
      </c>
      <c r="E1302" s="2" t="s">
        <v>404</v>
      </c>
      <c r="F1302" s="1"/>
      <c r="G1302" s="2">
        <v>8</v>
      </c>
      <c r="H1302" s="1"/>
      <c r="I1302" t="s">
        <v>1</v>
      </c>
      <c r="J1302" t="s">
        <v>64</v>
      </c>
      <c r="K1302" t="s">
        <v>370</v>
      </c>
      <c r="L1302" t="s">
        <v>407</v>
      </c>
      <c r="M1302" s="3" t="s">
        <v>750</v>
      </c>
    </row>
    <row r="1303" spans="1:14" hidden="1" x14ac:dyDescent="0.25">
      <c r="A1303" s="1" t="str">
        <f>VLOOKUP(Table2[[#This Row],[Prod Line ]],Lists!A:E,5,0)</f>
        <v>b</v>
      </c>
      <c r="B1303" s="1">
        <v>44365</v>
      </c>
      <c r="C1303" s="1">
        <v>44363</v>
      </c>
      <c r="D1303" s="1" t="s">
        <v>58</v>
      </c>
      <c r="E1303" s="2" t="s">
        <v>404</v>
      </c>
      <c r="F1303" s="1"/>
      <c r="G1303" s="2">
        <v>38</v>
      </c>
      <c r="H1303" s="1"/>
      <c r="I1303" t="s">
        <v>0</v>
      </c>
      <c r="J1303" t="s">
        <v>5</v>
      </c>
      <c r="K1303" t="s">
        <v>38</v>
      </c>
      <c r="L1303" t="s">
        <v>69</v>
      </c>
      <c r="M1303" s="3" t="s">
        <v>1325</v>
      </c>
      <c r="N1303" s="20" t="s">
        <v>1358</v>
      </c>
    </row>
    <row r="1304" spans="1:14" hidden="1" x14ac:dyDescent="0.25">
      <c r="A1304" s="1" t="str">
        <f>VLOOKUP(Table2[[#This Row],[Prod Line ]],Lists!A:E,5,0)</f>
        <v>b</v>
      </c>
      <c r="B1304" s="1">
        <v>44365</v>
      </c>
      <c r="C1304" s="1">
        <v>44363</v>
      </c>
      <c r="D1304" s="1" t="s">
        <v>58</v>
      </c>
      <c r="E1304" s="2" t="s">
        <v>404</v>
      </c>
      <c r="F1304" s="1"/>
      <c r="G1304" s="2">
        <v>10</v>
      </c>
      <c r="H1304" s="1"/>
      <c r="I1304" t="s">
        <v>1</v>
      </c>
      <c r="J1304" t="s">
        <v>64</v>
      </c>
      <c r="K1304" t="s">
        <v>23</v>
      </c>
      <c r="L1304" t="s">
        <v>344</v>
      </c>
      <c r="M1304" s="3" t="s">
        <v>1326</v>
      </c>
    </row>
    <row r="1305" spans="1:14" hidden="1" x14ac:dyDescent="0.25">
      <c r="A1305" s="1" t="str">
        <f>VLOOKUP(Table2[[#This Row],[Prod Line ]],Lists!A:E,5,0)</f>
        <v>c</v>
      </c>
      <c r="B1305" s="1">
        <v>44365</v>
      </c>
      <c r="C1305" s="1">
        <v>44363</v>
      </c>
      <c r="D1305" s="1" t="s">
        <v>60</v>
      </c>
      <c r="E1305" s="2" t="s">
        <v>405</v>
      </c>
      <c r="F1305" s="1"/>
      <c r="G1305" s="2">
        <v>20</v>
      </c>
      <c r="H1305" s="1"/>
      <c r="I1305" t="s">
        <v>1</v>
      </c>
      <c r="J1305" t="s">
        <v>2</v>
      </c>
      <c r="K1305" t="s">
        <v>19</v>
      </c>
      <c r="L1305" t="s">
        <v>349</v>
      </c>
      <c r="M1305" s="3" t="s">
        <v>575</v>
      </c>
    </row>
    <row r="1306" spans="1:14" hidden="1" x14ac:dyDescent="0.25">
      <c r="A1306" s="1" t="str">
        <f>VLOOKUP(Table2[[#This Row],[Prod Line ]],Lists!A:E,5,0)</f>
        <v>a</v>
      </c>
      <c r="B1306" s="1">
        <v>44366</v>
      </c>
      <c r="C1306" s="1">
        <v>44364</v>
      </c>
      <c r="D1306" s="1" t="s">
        <v>56</v>
      </c>
      <c r="E1306" s="2" t="s">
        <v>404</v>
      </c>
      <c r="F1306" s="1"/>
      <c r="G1306" s="2">
        <v>4</v>
      </c>
      <c r="H1306" s="1"/>
      <c r="I1306" t="s">
        <v>1</v>
      </c>
      <c r="J1306" t="s">
        <v>2</v>
      </c>
      <c r="K1306" t="s">
        <v>19</v>
      </c>
      <c r="L1306" t="s">
        <v>349</v>
      </c>
      <c r="M1306" s="3" t="s">
        <v>575</v>
      </c>
    </row>
    <row r="1307" spans="1:14" hidden="1" x14ac:dyDescent="0.25">
      <c r="A1307" s="1" t="str">
        <f>VLOOKUP(Table2[[#This Row],[Prod Line ]],Lists!A:E,5,0)</f>
        <v>b</v>
      </c>
      <c r="B1307" s="1">
        <v>44366</v>
      </c>
      <c r="C1307" s="1">
        <v>44364</v>
      </c>
      <c r="D1307" s="1" t="s">
        <v>58</v>
      </c>
      <c r="E1307" s="2" t="s">
        <v>405</v>
      </c>
      <c r="F1307" s="1"/>
      <c r="G1307" s="2">
        <v>9</v>
      </c>
      <c r="H1307" s="1"/>
      <c r="I1307" t="s">
        <v>0</v>
      </c>
      <c r="J1307" t="s">
        <v>66</v>
      </c>
      <c r="K1307" t="s">
        <v>4</v>
      </c>
      <c r="L1307" t="s">
        <v>70</v>
      </c>
      <c r="M1307" s="3" t="s">
        <v>1327</v>
      </c>
    </row>
    <row r="1308" spans="1:14" hidden="1" x14ac:dyDescent="0.25">
      <c r="A1308" s="1" t="str">
        <f>VLOOKUP(Table2[[#This Row],[Prod Line ]],Lists!A:E,5,0)</f>
        <v>b</v>
      </c>
      <c r="B1308" s="1">
        <v>44366</v>
      </c>
      <c r="C1308" s="1">
        <v>44364</v>
      </c>
      <c r="D1308" s="1" t="s">
        <v>58</v>
      </c>
      <c r="E1308" s="2" t="s">
        <v>405</v>
      </c>
      <c r="F1308" s="1"/>
      <c r="G1308" s="2">
        <v>5</v>
      </c>
      <c r="H1308" s="1"/>
      <c r="I1308" t="s">
        <v>0</v>
      </c>
      <c r="J1308" t="s">
        <v>65</v>
      </c>
      <c r="K1308" t="s">
        <v>27</v>
      </c>
      <c r="L1308" t="s">
        <v>70</v>
      </c>
      <c r="M1308" s="3" t="s">
        <v>1328</v>
      </c>
    </row>
    <row r="1309" spans="1:14" hidden="1" x14ac:dyDescent="0.25">
      <c r="A1309" s="1" t="str">
        <f>VLOOKUP(Table2[[#This Row],[Prod Line ]],Lists!A:E,5,0)</f>
        <v>c</v>
      </c>
      <c r="B1309" s="1">
        <v>44366</v>
      </c>
      <c r="C1309" s="1">
        <v>44364</v>
      </c>
      <c r="D1309" s="1" t="s">
        <v>60</v>
      </c>
      <c r="E1309" s="2" t="s">
        <v>405</v>
      </c>
      <c r="F1309" s="1"/>
      <c r="G1309" s="2">
        <v>17</v>
      </c>
      <c r="H1309" s="1"/>
      <c r="I1309" t="s">
        <v>1</v>
      </c>
      <c r="J1309" t="s">
        <v>64</v>
      </c>
      <c r="K1309" t="s">
        <v>380</v>
      </c>
      <c r="L1309" t="s">
        <v>407</v>
      </c>
      <c r="M1309" s="3" t="s">
        <v>833</v>
      </c>
    </row>
    <row r="1310" spans="1:14" hidden="1" x14ac:dyDescent="0.25">
      <c r="A1310" s="1" t="str">
        <f>VLOOKUP(Table2[[#This Row],[Prod Line ]],Lists!A:E,5,0)</f>
        <v>c</v>
      </c>
      <c r="B1310" s="1">
        <v>44366</v>
      </c>
      <c r="C1310" s="1">
        <v>44364</v>
      </c>
      <c r="D1310" s="1" t="s">
        <v>60</v>
      </c>
      <c r="E1310" s="2" t="s">
        <v>405</v>
      </c>
      <c r="F1310" s="1"/>
      <c r="G1310" s="2">
        <v>6</v>
      </c>
      <c r="H1310" s="1"/>
      <c r="I1310" t="s">
        <v>1</v>
      </c>
      <c r="J1310" t="s">
        <v>2</v>
      </c>
      <c r="K1310" t="s">
        <v>19</v>
      </c>
      <c r="L1310" t="s">
        <v>349</v>
      </c>
      <c r="M1310" s="3" t="s">
        <v>575</v>
      </c>
    </row>
    <row r="1311" spans="1:14" hidden="1" x14ac:dyDescent="0.25">
      <c r="A1311" s="1" t="str">
        <f>VLOOKUP(Table2[[#This Row],[Prod Line ]],Lists!A:E,5,0)</f>
        <v>b</v>
      </c>
      <c r="B1311" s="1">
        <v>44366</v>
      </c>
      <c r="C1311" s="1">
        <v>44365</v>
      </c>
      <c r="D1311" s="1" t="s">
        <v>58</v>
      </c>
      <c r="E1311" s="2" t="s">
        <v>404</v>
      </c>
      <c r="F1311" s="1"/>
      <c r="G1311" s="2">
        <v>26</v>
      </c>
      <c r="H1311" s="1"/>
      <c r="I1311" t="s">
        <v>1</v>
      </c>
      <c r="J1311" t="s">
        <v>5</v>
      </c>
      <c r="K1311" t="s">
        <v>37</v>
      </c>
      <c r="L1311" t="s">
        <v>407</v>
      </c>
      <c r="M1311" s="3" t="s">
        <v>1329</v>
      </c>
    </row>
    <row r="1312" spans="1:14" hidden="1" x14ac:dyDescent="0.25">
      <c r="A1312" s="1" t="str">
        <f>VLOOKUP(Table2[[#This Row],[Prod Line ]],Lists!A:E,5,0)</f>
        <v>b</v>
      </c>
      <c r="B1312" s="1">
        <v>44366</v>
      </c>
      <c r="C1312" s="1">
        <v>44365</v>
      </c>
      <c r="D1312" s="1" t="s">
        <v>58</v>
      </c>
      <c r="E1312" s="2" t="s">
        <v>404</v>
      </c>
      <c r="F1312" s="1"/>
      <c r="G1312" s="2">
        <v>2</v>
      </c>
      <c r="H1312" s="1"/>
      <c r="I1312" t="s">
        <v>1</v>
      </c>
      <c r="J1312" t="s">
        <v>67</v>
      </c>
      <c r="K1312" t="s">
        <v>67</v>
      </c>
      <c r="L1312" t="s">
        <v>350</v>
      </c>
      <c r="M1312" s="3" t="s">
        <v>1208</v>
      </c>
    </row>
    <row r="1313" spans="1:13" hidden="1" x14ac:dyDescent="0.25">
      <c r="A1313" s="1" t="str">
        <f>VLOOKUP(Table2[[#This Row],[Prod Line ]],Lists!A:E,5,0)</f>
        <v>a</v>
      </c>
      <c r="B1313" s="1">
        <v>44368</v>
      </c>
      <c r="C1313" s="1">
        <v>44366</v>
      </c>
      <c r="D1313" s="1" t="s">
        <v>56</v>
      </c>
      <c r="E1313" s="2" t="s">
        <v>404</v>
      </c>
      <c r="F1313" s="1"/>
      <c r="G1313" s="2">
        <v>24</v>
      </c>
      <c r="H1313" s="1"/>
      <c r="I1313" t="s">
        <v>1</v>
      </c>
      <c r="J1313" t="s">
        <v>64</v>
      </c>
      <c r="K1313" t="s">
        <v>365</v>
      </c>
      <c r="L1313" t="s">
        <v>407</v>
      </c>
      <c r="M1313" s="3" t="s">
        <v>875</v>
      </c>
    </row>
    <row r="1314" spans="1:13" hidden="1" x14ac:dyDescent="0.25">
      <c r="A1314" s="1" t="str">
        <f>VLOOKUP(Table2[[#This Row],[Prod Line ]],Lists!A:E,5,0)</f>
        <v>a</v>
      </c>
      <c r="B1314" s="1">
        <v>44368</v>
      </c>
      <c r="C1314" s="1">
        <v>44366</v>
      </c>
      <c r="D1314" s="1" t="s">
        <v>56</v>
      </c>
      <c r="E1314" s="2" t="s">
        <v>404</v>
      </c>
      <c r="F1314" s="1"/>
      <c r="G1314" s="2">
        <v>10</v>
      </c>
      <c r="H1314" s="1"/>
      <c r="I1314" t="s">
        <v>1</v>
      </c>
      <c r="J1314" t="s">
        <v>2</v>
      </c>
      <c r="K1314" t="s">
        <v>19</v>
      </c>
      <c r="L1314" t="s">
        <v>407</v>
      </c>
      <c r="M1314" s="3" t="s">
        <v>834</v>
      </c>
    </row>
    <row r="1315" spans="1:13" hidden="1" x14ac:dyDescent="0.25">
      <c r="A1315" s="1" t="str">
        <f>VLOOKUP(Table2[[#This Row],[Prod Line ]],Lists!A:E,5,0)</f>
        <v>a</v>
      </c>
      <c r="B1315" s="1">
        <v>44368</v>
      </c>
      <c r="C1315" s="1">
        <v>44366</v>
      </c>
      <c r="D1315" s="1" t="s">
        <v>56</v>
      </c>
      <c r="E1315" s="2" t="s">
        <v>404</v>
      </c>
      <c r="F1315" s="1"/>
      <c r="G1315" s="2">
        <v>4</v>
      </c>
      <c r="H1315" s="1"/>
      <c r="I1315" t="s">
        <v>1</v>
      </c>
      <c r="J1315" t="s">
        <v>65</v>
      </c>
      <c r="K1315" t="s">
        <v>27</v>
      </c>
      <c r="L1315" t="s">
        <v>441</v>
      </c>
      <c r="M1315" s="3" t="s">
        <v>612</v>
      </c>
    </row>
    <row r="1316" spans="1:13" hidden="1" x14ac:dyDescent="0.25">
      <c r="A1316" s="1" t="str">
        <f>VLOOKUP(Table2[[#This Row],[Prod Line ]],Lists!A:E,5,0)</f>
        <v>a</v>
      </c>
      <c r="B1316" s="1">
        <v>44368</v>
      </c>
      <c r="C1316" s="1">
        <v>44366</v>
      </c>
      <c r="D1316" s="1" t="s">
        <v>56</v>
      </c>
      <c r="E1316" s="2" t="s">
        <v>404</v>
      </c>
      <c r="F1316" s="1"/>
      <c r="G1316" s="2">
        <v>7</v>
      </c>
      <c r="H1316" s="1"/>
      <c r="I1316" t="s">
        <v>0</v>
      </c>
      <c r="J1316" t="s">
        <v>65</v>
      </c>
      <c r="K1316" t="s">
        <v>372</v>
      </c>
      <c r="L1316" t="s">
        <v>70</v>
      </c>
      <c r="M1316" s="3" t="s">
        <v>1330</v>
      </c>
    </row>
    <row r="1317" spans="1:13" hidden="1" x14ac:dyDescent="0.25">
      <c r="A1317" s="1" t="str">
        <f>VLOOKUP(Table2[[#This Row],[Prod Line ]],Lists!A:E,5,0)</f>
        <v>a</v>
      </c>
      <c r="B1317" s="1">
        <v>44368</v>
      </c>
      <c r="C1317" s="1">
        <v>44366</v>
      </c>
      <c r="D1317" s="1" t="s">
        <v>56</v>
      </c>
      <c r="E1317" s="2" t="s">
        <v>404</v>
      </c>
      <c r="F1317" s="1"/>
      <c r="G1317" s="2">
        <v>8</v>
      </c>
      <c r="H1317" s="1"/>
      <c r="I1317" t="s">
        <v>0</v>
      </c>
      <c r="J1317" t="s">
        <v>65</v>
      </c>
      <c r="K1317" t="s">
        <v>27</v>
      </c>
      <c r="L1317" t="s">
        <v>70</v>
      </c>
      <c r="M1317" s="3" t="s">
        <v>469</v>
      </c>
    </row>
    <row r="1318" spans="1:13" hidden="1" x14ac:dyDescent="0.25">
      <c r="A1318" s="1" t="str">
        <f>VLOOKUP(Table2[[#This Row],[Prod Line ]],Lists!A:E,5,0)</f>
        <v>b</v>
      </c>
      <c r="B1318" s="1">
        <v>44368</v>
      </c>
      <c r="C1318" s="1">
        <v>44366</v>
      </c>
      <c r="D1318" s="1" t="s">
        <v>58</v>
      </c>
      <c r="E1318" s="2" t="s">
        <v>406</v>
      </c>
      <c r="F1318" s="1"/>
      <c r="G1318" s="2">
        <v>5</v>
      </c>
      <c r="H1318" s="1"/>
      <c r="I1318" t="s">
        <v>0</v>
      </c>
      <c r="J1318" t="s">
        <v>64</v>
      </c>
      <c r="K1318" t="s">
        <v>20</v>
      </c>
      <c r="L1318" t="s">
        <v>70</v>
      </c>
      <c r="M1318" s="3" t="s">
        <v>1331</v>
      </c>
    </row>
    <row r="1319" spans="1:13" hidden="1" x14ac:dyDescent="0.25">
      <c r="A1319" s="1" t="str">
        <f>VLOOKUP(Table2[[#This Row],[Prod Line ]],Lists!A:E,5,0)</f>
        <v>b</v>
      </c>
      <c r="B1319" s="1">
        <v>44368</v>
      </c>
      <c r="C1319" s="1">
        <v>44366</v>
      </c>
      <c r="D1319" s="1" t="s">
        <v>58</v>
      </c>
      <c r="E1319" s="2" t="s">
        <v>404</v>
      </c>
      <c r="F1319" s="1"/>
      <c r="G1319" s="2">
        <v>11</v>
      </c>
      <c r="H1319" s="1"/>
      <c r="I1319" t="s">
        <v>0</v>
      </c>
      <c r="J1319" t="s">
        <v>2</v>
      </c>
      <c r="K1319" t="s">
        <v>19</v>
      </c>
      <c r="L1319" t="s">
        <v>70</v>
      </c>
      <c r="M1319" s="3" t="s">
        <v>1266</v>
      </c>
    </row>
    <row r="1320" spans="1:13" hidden="1" x14ac:dyDescent="0.25">
      <c r="A1320" s="1" t="str">
        <f>VLOOKUP(Table2[[#This Row],[Prod Line ]],Lists!A:E,5,0)</f>
        <v>b</v>
      </c>
      <c r="B1320" s="1">
        <v>44368</v>
      </c>
      <c r="C1320" s="1">
        <v>44366</v>
      </c>
      <c r="D1320" s="1" t="s">
        <v>58</v>
      </c>
      <c r="E1320" s="2" t="s">
        <v>404</v>
      </c>
      <c r="F1320" s="1"/>
      <c r="G1320" s="2">
        <v>10</v>
      </c>
      <c r="H1320" s="1"/>
      <c r="I1320" t="s">
        <v>0</v>
      </c>
      <c r="J1320" t="s">
        <v>26</v>
      </c>
      <c r="K1320" t="s">
        <v>26</v>
      </c>
      <c r="L1320" t="s">
        <v>70</v>
      </c>
      <c r="M1320" s="3" t="s">
        <v>1330</v>
      </c>
    </row>
    <row r="1321" spans="1:13" hidden="1" x14ac:dyDescent="0.25">
      <c r="A1321" s="1" t="str">
        <f>VLOOKUP(Table2[[#This Row],[Prod Line ]],Lists!A:E,5,0)</f>
        <v>b</v>
      </c>
      <c r="B1321" s="1">
        <v>44368</v>
      </c>
      <c r="C1321" s="1">
        <v>44366</v>
      </c>
      <c r="D1321" s="1" t="s">
        <v>58</v>
      </c>
      <c r="E1321" s="2" t="s">
        <v>404</v>
      </c>
      <c r="F1321" s="1"/>
      <c r="G1321" s="2">
        <v>5</v>
      </c>
      <c r="H1321" s="1"/>
      <c r="I1321" t="s">
        <v>0</v>
      </c>
      <c r="J1321" t="s">
        <v>64</v>
      </c>
      <c r="K1321" t="s">
        <v>24</v>
      </c>
      <c r="L1321" t="s">
        <v>69</v>
      </c>
      <c r="M1321" s="3" t="s">
        <v>1332</v>
      </c>
    </row>
    <row r="1322" spans="1:13" hidden="1" x14ac:dyDescent="0.25">
      <c r="A1322" s="1" t="str">
        <f>VLOOKUP(Table2[[#This Row],[Prod Line ]],Lists!A:E,5,0)</f>
        <v>b</v>
      </c>
      <c r="B1322" s="1">
        <v>44368</v>
      </c>
      <c r="C1322" s="1">
        <v>44366</v>
      </c>
      <c r="D1322" s="1" t="s">
        <v>58</v>
      </c>
      <c r="E1322" s="2" t="s">
        <v>406</v>
      </c>
      <c r="F1322" s="1"/>
      <c r="G1322" s="2">
        <v>18</v>
      </c>
      <c r="H1322" s="1"/>
      <c r="I1322" t="s">
        <v>0</v>
      </c>
      <c r="J1322" t="s">
        <v>65</v>
      </c>
      <c r="K1322" t="s">
        <v>28</v>
      </c>
      <c r="L1322" t="s">
        <v>70</v>
      </c>
      <c r="M1322" s="3" t="s">
        <v>1333</v>
      </c>
    </row>
    <row r="1323" spans="1:13" hidden="1" x14ac:dyDescent="0.25">
      <c r="A1323" s="1" t="str">
        <f>VLOOKUP(Table2[[#This Row],[Prod Line ]],Lists!A:E,5,0)</f>
        <v>b</v>
      </c>
      <c r="B1323" s="1">
        <v>44368</v>
      </c>
      <c r="C1323" s="1">
        <v>44366</v>
      </c>
      <c r="D1323" s="1" t="s">
        <v>58</v>
      </c>
      <c r="E1323" s="2" t="s">
        <v>406</v>
      </c>
      <c r="F1323" s="1"/>
      <c r="G1323" s="2">
        <v>7</v>
      </c>
      <c r="H1323" s="1"/>
      <c r="I1323" t="s">
        <v>0</v>
      </c>
      <c r="J1323" t="s">
        <v>64</v>
      </c>
      <c r="K1323" t="s">
        <v>20</v>
      </c>
      <c r="L1323" t="s">
        <v>70</v>
      </c>
      <c r="M1323" s="3" t="s">
        <v>1331</v>
      </c>
    </row>
    <row r="1324" spans="1:13" hidden="1" x14ac:dyDescent="0.25">
      <c r="A1324" s="1" t="str">
        <f>VLOOKUP(Table2[[#This Row],[Prod Line ]],Lists!A:E,5,0)</f>
        <v>c</v>
      </c>
      <c r="B1324" s="1">
        <v>44368</v>
      </c>
      <c r="C1324" s="1">
        <v>44366</v>
      </c>
      <c r="D1324" s="1" t="s">
        <v>60</v>
      </c>
      <c r="E1324" s="2" t="s">
        <v>405</v>
      </c>
      <c r="F1324" s="1"/>
      <c r="G1324" s="2">
        <v>10</v>
      </c>
      <c r="H1324" s="1"/>
      <c r="I1324" t="s">
        <v>1</v>
      </c>
      <c r="J1324" t="s">
        <v>64</v>
      </c>
      <c r="K1324" t="s">
        <v>381</v>
      </c>
      <c r="L1324" t="s">
        <v>407</v>
      </c>
      <c r="M1324" s="3" t="s">
        <v>833</v>
      </c>
    </row>
    <row r="1325" spans="1:13" hidden="1" x14ac:dyDescent="0.25">
      <c r="A1325" s="1" t="str">
        <f>VLOOKUP(Table2[[#This Row],[Prod Line ]],Lists!A:E,5,0)</f>
        <v>c</v>
      </c>
      <c r="B1325" s="1">
        <v>44368</v>
      </c>
      <c r="C1325" s="1">
        <v>44366</v>
      </c>
      <c r="D1325" s="1" t="s">
        <v>60</v>
      </c>
      <c r="E1325" s="2" t="s">
        <v>405</v>
      </c>
      <c r="F1325" s="1"/>
      <c r="G1325" s="2">
        <v>12</v>
      </c>
      <c r="H1325" s="1"/>
      <c r="I1325" t="s">
        <v>1</v>
      </c>
      <c r="J1325" t="s">
        <v>2</v>
      </c>
      <c r="K1325" t="s">
        <v>378</v>
      </c>
      <c r="L1325" t="s">
        <v>349</v>
      </c>
      <c r="M1325" s="3" t="s">
        <v>1334</v>
      </c>
    </row>
    <row r="1326" spans="1:13" hidden="1" x14ac:dyDescent="0.25">
      <c r="A1326" s="1" t="str">
        <f>VLOOKUP(Table2[[#This Row],[Prod Line ]],Lists!A:E,5,0)</f>
        <v>b</v>
      </c>
      <c r="B1326" s="1">
        <v>44369</v>
      </c>
      <c r="C1326" s="1">
        <v>44367</v>
      </c>
      <c r="D1326" s="1" t="s">
        <v>58</v>
      </c>
      <c r="E1326" s="2" t="s">
        <v>406</v>
      </c>
      <c r="F1326" s="1"/>
      <c r="G1326" s="2">
        <v>11</v>
      </c>
      <c r="H1326" s="1"/>
      <c r="I1326" t="s">
        <v>1</v>
      </c>
      <c r="J1326" t="s">
        <v>64</v>
      </c>
      <c r="K1326" t="s">
        <v>24</v>
      </c>
      <c r="L1326" t="s">
        <v>407</v>
      </c>
      <c r="M1326" s="3" t="s">
        <v>1335</v>
      </c>
    </row>
    <row r="1327" spans="1:13" hidden="1" x14ac:dyDescent="0.25">
      <c r="A1327" s="1" t="str">
        <f>VLOOKUP(Table2[[#This Row],[Prod Line ]],Lists!A:E,5,0)</f>
        <v>b</v>
      </c>
      <c r="B1327" s="1">
        <v>44369</v>
      </c>
      <c r="C1327" s="1">
        <v>44367</v>
      </c>
      <c r="D1327" s="1" t="s">
        <v>58</v>
      </c>
      <c r="E1327" s="2" t="s">
        <v>406</v>
      </c>
      <c r="F1327" s="1"/>
      <c r="G1327" s="2">
        <v>6</v>
      </c>
      <c r="H1327" s="1"/>
      <c r="I1327" t="s">
        <v>1</v>
      </c>
      <c r="J1327" t="s">
        <v>5</v>
      </c>
      <c r="K1327" t="s">
        <v>37</v>
      </c>
      <c r="L1327" t="s">
        <v>407</v>
      </c>
      <c r="M1327" s="3" t="s">
        <v>1336</v>
      </c>
    </row>
    <row r="1328" spans="1:13" hidden="1" x14ac:dyDescent="0.25">
      <c r="A1328" s="1" t="str">
        <f>VLOOKUP(Table2[[#This Row],[Prod Line ]],Lists!A:E,5,0)</f>
        <v>c</v>
      </c>
      <c r="B1328" s="1">
        <v>44369</v>
      </c>
      <c r="C1328" s="1">
        <v>44367</v>
      </c>
      <c r="D1328" s="1" t="s">
        <v>60</v>
      </c>
      <c r="E1328" s="2" t="s">
        <v>404</v>
      </c>
      <c r="F1328" s="1"/>
      <c r="G1328" s="2">
        <v>52</v>
      </c>
      <c r="H1328" s="1"/>
      <c r="I1328" t="s">
        <v>1</v>
      </c>
      <c r="J1328" t="s">
        <v>2</v>
      </c>
      <c r="K1328" t="s">
        <v>378</v>
      </c>
      <c r="L1328" t="s">
        <v>349</v>
      </c>
      <c r="M1328" s="3" t="s">
        <v>1334</v>
      </c>
    </row>
    <row r="1329" spans="1:14" hidden="1" x14ac:dyDescent="0.25">
      <c r="A1329" s="1" t="str">
        <f>VLOOKUP(Table2[[#This Row],[Prod Line ]],Lists!A:E,5,0)</f>
        <v>b</v>
      </c>
      <c r="B1329" s="1">
        <v>44369</v>
      </c>
      <c r="C1329" s="1">
        <v>44367</v>
      </c>
      <c r="D1329" s="1" t="s">
        <v>58</v>
      </c>
      <c r="E1329" s="2" t="s">
        <v>405</v>
      </c>
      <c r="F1329" s="1"/>
      <c r="G1329" s="2">
        <v>12</v>
      </c>
      <c r="H1329" s="1"/>
      <c r="I1329" t="s">
        <v>0</v>
      </c>
      <c r="J1329" t="s">
        <v>64</v>
      </c>
      <c r="K1329" t="s">
        <v>20</v>
      </c>
      <c r="L1329" t="s">
        <v>70</v>
      </c>
      <c r="M1329" s="3" t="s">
        <v>1337</v>
      </c>
    </row>
    <row r="1330" spans="1:14" hidden="1" x14ac:dyDescent="0.25">
      <c r="A1330" s="1" t="str">
        <f>VLOOKUP(Table2[[#This Row],[Prod Line ]],Lists!A:E,5,0)</f>
        <v>b</v>
      </c>
      <c r="B1330" s="1">
        <v>44371</v>
      </c>
      <c r="C1330" s="1">
        <v>44369</v>
      </c>
      <c r="D1330" s="1" t="s">
        <v>58</v>
      </c>
      <c r="E1330" s="2" t="s">
        <v>406</v>
      </c>
      <c r="F1330" s="1"/>
      <c r="G1330" s="2">
        <v>133</v>
      </c>
      <c r="H1330" s="1"/>
      <c r="I1330" t="s">
        <v>0</v>
      </c>
      <c r="J1330" t="s">
        <v>66</v>
      </c>
      <c r="K1330" t="s">
        <v>34</v>
      </c>
      <c r="L1330" t="s">
        <v>70</v>
      </c>
      <c r="M1330" s="3" t="s">
        <v>1338</v>
      </c>
      <c r="N1330" s="20" t="s">
        <v>1358</v>
      </c>
    </row>
    <row r="1331" spans="1:14" hidden="1" x14ac:dyDescent="0.25">
      <c r="A1331" s="1" t="str">
        <f>VLOOKUP(Table2[[#This Row],[Prod Line ]],Lists!A:E,5,0)</f>
        <v>c</v>
      </c>
      <c r="B1331" s="1">
        <v>44371</v>
      </c>
      <c r="C1331" s="1">
        <v>44369</v>
      </c>
      <c r="D1331" s="1" t="s">
        <v>60</v>
      </c>
      <c r="E1331" s="2" t="s">
        <v>405</v>
      </c>
      <c r="F1331" s="1"/>
      <c r="G1331" s="2">
        <v>16</v>
      </c>
      <c r="H1331" s="1"/>
      <c r="I1331" t="s">
        <v>1</v>
      </c>
      <c r="J1331" t="s">
        <v>64</v>
      </c>
      <c r="K1331" t="s">
        <v>379</v>
      </c>
      <c r="L1331" t="s">
        <v>407</v>
      </c>
      <c r="M1331" s="3" t="s">
        <v>1339</v>
      </c>
    </row>
    <row r="1332" spans="1:14" hidden="1" x14ac:dyDescent="0.25">
      <c r="A1332" s="1" t="str">
        <f>VLOOKUP(Table2[[#This Row],[Prod Line ]],Lists!A:E,5,0)</f>
        <v>d</v>
      </c>
      <c r="B1332" s="1">
        <v>44371</v>
      </c>
      <c r="C1332" s="1">
        <v>44369</v>
      </c>
      <c r="D1332" s="1" t="s">
        <v>62</v>
      </c>
      <c r="E1332" s="2" t="s">
        <v>404</v>
      </c>
      <c r="F1332" s="1"/>
      <c r="G1332" s="2">
        <v>70</v>
      </c>
      <c r="H1332" s="1"/>
      <c r="I1332" t="s">
        <v>1</v>
      </c>
      <c r="J1332" t="s">
        <v>67</v>
      </c>
      <c r="K1332" t="s">
        <v>67</v>
      </c>
      <c r="L1332" t="s">
        <v>72</v>
      </c>
      <c r="M1332" s="3" t="s">
        <v>1340</v>
      </c>
    </row>
    <row r="1333" spans="1:14" hidden="1" x14ac:dyDescent="0.25">
      <c r="A1333" s="1" t="str">
        <f>VLOOKUP(Table2[[#This Row],[Prod Line ]],Lists!A:E,5,0)</f>
        <v>b</v>
      </c>
      <c r="B1333" s="1">
        <v>44372</v>
      </c>
      <c r="C1333" s="1">
        <v>44370</v>
      </c>
      <c r="D1333" s="1" t="s">
        <v>58</v>
      </c>
      <c r="E1333" s="2" t="s">
        <v>404</v>
      </c>
      <c r="F1333" s="1"/>
      <c r="G1333" s="2">
        <v>47</v>
      </c>
      <c r="H1333" s="1"/>
      <c r="I1333" t="s">
        <v>0</v>
      </c>
      <c r="J1333" t="s">
        <v>65</v>
      </c>
      <c r="K1333" t="s">
        <v>3</v>
      </c>
      <c r="L1333" t="s">
        <v>69</v>
      </c>
      <c r="M1333" s="3" t="s">
        <v>1318</v>
      </c>
      <c r="N1333" s="20" t="s">
        <v>1359</v>
      </c>
    </row>
    <row r="1334" spans="1:14" hidden="1" x14ac:dyDescent="0.25">
      <c r="A1334" s="1" t="str">
        <f>VLOOKUP(Table2[[#This Row],[Prod Line ]],Lists!A:E,5,0)</f>
        <v>b</v>
      </c>
      <c r="B1334" s="1">
        <v>44372</v>
      </c>
      <c r="C1334" s="1">
        <v>44370</v>
      </c>
      <c r="D1334" s="1" t="s">
        <v>58</v>
      </c>
      <c r="E1334" s="2" t="s">
        <v>404</v>
      </c>
      <c r="F1334" s="1"/>
      <c r="G1334" s="2">
        <v>9</v>
      </c>
      <c r="H1334" s="1"/>
      <c r="I1334" t="s">
        <v>1</v>
      </c>
      <c r="J1334" t="s">
        <v>2</v>
      </c>
      <c r="K1334" t="s">
        <v>19</v>
      </c>
      <c r="L1334" t="s">
        <v>349</v>
      </c>
      <c r="M1334" s="3" t="s">
        <v>575</v>
      </c>
    </row>
    <row r="1335" spans="1:14" hidden="1" x14ac:dyDescent="0.25">
      <c r="A1335" s="1" t="str">
        <f>VLOOKUP(Table2[[#This Row],[Prod Line ]],Lists!A:E,5,0)</f>
        <v>c</v>
      </c>
      <c r="B1335" s="1">
        <v>44372</v>
      </c>
      <c r="C1335" s="1">
        <v>44370</v>
      </c>
      <c r="D1335" s="1" t="s">
        <v>60</v>
      </c>
      <c r="E1335" s="2" t="s">
        <v>405</v>
      </c>
      <c r="F1335" s="1"/>
      <c r="G1335" s="2">
        <v>10</v>
      </c>
      <c r="H1335" s="1"/>
      <c r="I1335" t="s">
        <v>1</v>
      </c>
      <c r="J1335" t="s">
        <v>26</v>
      </c>
      <c r="K1335" t="s">
        <v>26</v>
      </c>
      <c r="L1335" t="s">
        <v>430</v>
      </c>
      <c r="M1335" s="3" t="s">
        <v>1341</v>
      </c>
    </row>
    <row r="1336" spans="1:14" hidden="1" x14ac:dyDescent="0.25">
      <c r="A1336" s="1" t="str">
        <f>VLOOKUP(Table2[[#This Row],[Prod Line ]],Lists!A:E,5,0)</f>
        <v>b</v>
      </c>
      <c r="B1336" s="1">
        <v>44373</v>
      </c>
      <c r="C1336" s="1">
        <v>44371</v>
      </c>
      <c r="D1336" s="1" t="s">
        <v>58</v>
      </c>
      <c r="E1336" s="2" t="s">
        <v>405</v>
      </c>
      <c r="F1336" s="1"/>
      <c r="G1336" s="2">
        <v>9</v>
      </c>
      <c r="H1336" s="1"/>
      <c r="I1336" t="s">
        <v>0</v>
      </c>
      <c r="J1336" t="s">
        <v>65</v>
      </c>
      <c r="K1336" t="s">
        <v>27</v>
      </c>
      <c r="L1336" t="s">
        <v>70</v>
      </c>
      <c r="M1336" s="3" t="s">
        <v>1342</v>
      </c>
    </row>
    <row r="1337" spans="1:14" hidden="1" x14ac:dyDescent="0.25">
      <c r="A1337" s="1" t="str">
        <f>VLOOKUP(Table2[[#This Row],[Prod Line ]],Lists!A:E,5,0)</f>
        <v>c</v>
      </c>
      <c r="B1337" s="1">
        <v>44373</v>
      </c>
      <c r="C1337" s="1">
        <v>44371</v>
      </c>
      <c r="D1337" s="1" t="s">
        <v>60</v>
      </c>
      <c r="E1337" s="2" t="s">
        <v>405</v>
      </c>
      <c r="F1337" s="1"/>
      <c r="G1337" s="2">
        <v>10</v>
      </c>
      <c r="H1337" s="1"/>
      <c r="I1337" t="s">
        <v>0</v>
      </c>
      <c r="J1337" t="s">
        <v>2</v>
      </c>
      <c r="K1337" t="s">
        <v>14</v>
      </c>
      <c r="L1337" t="s">
        <v>70</v>
      </c>
      <c r="M1337" s="3" t="s">
        <v>1343</v>
      </c>
    </row>
    <row r="1338" spans="1:14" hidden="1" x14ac:dyDescent="0.25">
      <c r="A1338" s="1" t="str">
        <f>VLOOKUP(Table2[[#This Row],[Prod Line ]],Lists!A:E,5,0)</f>
        <v>c</v>
      </c>
      <c r="B1338" s="1">
        <v>44373</v>
      </c>
      <c r="C1338" s="1">
        <v>44371</v>
      </c>
      <c r="D1338" s="1" t="s">
        <v>60</v>
      </c>
      <c r="E1338" s="2" t="s">
        <v>405</v>
      </c>
      <c r="F1338" s="1"/>
      <c r="G1338" s="2">
        <v>10</v>
      </c>
      <c r="H1338" s="1"/>
      <c r="I1338" t="s">
        <v>1</v>
      </c>
      <c r="J1338" t="s">
        <v>64</v>
      </c>
      <c r="K1338" t="s">
        <v>379</v>
      </c>
      <c r="L1338" t="s">
        <v>344</v>
      </c>
      <c r="M1338" s="3" t="s">
        <v>1344</v>
      </c>
    </row>
    <row r="1339" spans="1:14" hidden="1" x14ac:dyDescent="0.25">
      <c r="A1339" s="1" t="str">
        <f>VLOOKUP(Table2[[#This Row],[Prod Line ]],Lists!A:E,5,0)</f>
        <v>c</v>
      </c>
      <c r="B1339" s="1">
        <v>44373</v>
      </c>
      <c r="C1339" s="1">
        <v>44371</v>
      </c>
      <c r="D1339" s="1" t="s">
        <v>60</v>
      </c>
      <c r="E1339" s="2" t="s">
        <v>405</v>
      </c>
      <c r="F1339" s="1"/>
      <c r="G1339" s="2">
        <v>22</v>
      </c>
      <c r="H1339" s="1"/>
      <c r="I1339" t="s">
        <v>1</v>
      </c>
      <c r="J1339" t="s">
        <v>2</v>
      </c>
      <c r="K1339" t="s">
        <v>19</v>
      </c>
      <c r="L1339" t="s">
        <v>349</v>
      </c>
      <c r="M1339" s="3" t="s">
        <v>575</v>
      </c>
    </row>
    <row r="1340" spans="1:14" hidden="1" x14ac:dyDescent="0.25">
      <c r="A1340" s="1" t="str">
        <f>VLOOKUP(Table2[[#This Row],[Prod Line ]],Lists!A:E,5,0)</f>
        <v>d</v>
      </c>
      <c r="B1340" s="1">
        <v>44373</v>
      </c>
      <c r="C1340" s="1">
        <v>44371</v>
      </c>
      <c r="D1340" s="1" t="s">
        <v>62</v>
      </c>
      <c r="E1340" s="2" t="s">
        <v>406</v>
      </c>
      <c r="F1340" s="1"/>
      <c r="G1340" s="2">
        <v>8</v>
      </c>
      <c r="H1340" s="1"/>
      <c r="I1340" t="s">
        <v>1</v>
      </c>
      <c r="J1340" t="s">
        <v>64</v>
      </c>
      <c r="K1340" t="s">
        <v>379</v>
      </c>
      <c r="L1340" t="s">
        <v>407</v>
      </c>
      <c r="M1340" s="3" t="s">
        <v>1345</v>
      </c>
    </row>
    <row r="1341" spans="1:14" hidden="1" x14ac:dyDescent="0.25">
      <c r="A1341" s="1" t="str">
        <f>VLOOKUP(Table2[[#This Row],[Prod Line ]],Lists!A:E,5,0)</f>
        <v>a</v>
      </c>
      <c r="B1341" s="1">
        <v>44375</v>
      </c>
      <c r="C1341" s="1">
        <v>44373</v>
      </c>
      <c r="D1341" s="1" t="s">
        <v>56</v>
      </c>
      <c r="E1341" s="2" t="s">
        <v>404</v>
      </c>
      <c r="F1341" s="1"/>
      <c r="G1341" s="2">
        <v>5</v>
      </c>
      <c r="H1341" s="1"/>
      <c r="I1341" t="s">
        <v>1</v>
      </c>
      <c r="J1341" t="s">
        <v>65</v>
      </c>
      <c r="K1341" t="s">
        <v>27</v>
      </c>
      <c r="L1341" t="s">
        <v>407</v>
      </c>
      <c r="M1341" s="3" t="s">
        <v>884</v>
      </c>
    </row>
    <row r="1342" spans="1:14" hidden="1" x14ac:dyDescent="0.25">
      <c r="A1342" s="1" t="str">
        <f>VLOOKUP(Table2[[#This Row],[Prod Line ]],Lists!A:E,5,0)</f>
        <v>a</v>
      </c>
      <c r="B1342" s="1">
        <v>44375</v>
      </c>
      <c r="C1342" s="1">
        <v>44373</v>
      </c>
      <c r="D1342" s="1" t="s">
        <v>56</v>
      </c>
      <c r="E1342" s="2" t="s">
        <v>404</v>
      </c>
      <c r="F1342" s="1"/>
      <c r="G1342" s="2">
        <v>20</v>
      </c>
      <c r="H1342" s="1"/>
      <c r="I1342" t="s">
        <v>1</v>
      </c>
      <c r="J1342" t="s">
        <v>64</v>
      </c>
      <c r="K1342" t="s">
        <v>367</v>
      </c>
      <c r="L1342" t="s">
        <v>407</v>
      </c>
      <c r="M1342" s="3" t="s">
        <v>833</v>
      </c>
    </row>
    <row r="1343" spans="1:14" hidden="1" x14ac:dyDescent="0.25">
      <c r="A1343" s="1" t="str">
        <f>VLOOKUP(Table2[[#This Row],[Prod Line ]],Lists!A:E,5,0)</f>
        <v>a</v>
      </c>
      <c r="B1343" s="1">
        <v>44375</v>
      </c>
      <c r="C1343" s="1">
        <v>44373</v>
      </c>
      <c r="D1343" s="1" t="s">
        <v>56</v>
      </c>
      <c r="E1343" s="2" t="s">
        <v>404</v>
      </c>
      <c r="F1343" s="1"/>
      <c r="G1343" s="2">
        <v>15</v>
      </c>
      <c r="H1343" s="1"/>
      <c r="I1343" t="s">
        <v>1</v>
      </c>
      <c r="J1343" t="s">
        <v>64</v>
      </c>
      <c r="K1343" t="s">
        <v>371</v>
      </c>
      <c r="L1343" t="s">
        <v>407</v>
      </c>
      <c r="M1343" s="3" t="s">
        <v>1346</v>
      </c>
    </row>
    <row r="1344" spans="1:14" hidden="1" x14ac:dyDescent="0.25">
      <c r="A1344" s="1" t="str">
        <f>VLOOKUP(Table2[[#This Row],[Prod Line ]],Lists!A:E,5,0)</f>
        <v>a</v>
      </c>
      <c r="B1344" s="1">
        <v>44375</v>
      </c>
      <c r="C1344" s="1">
        <v>44373</v>
      </c>
      <c r="D1344" s="1" t="s">
        <v>56</v>
      </c>
      <c r="E1344" s="2" t="s">
        <v>404</v>
      </c>
      <c r="F1344" s="1"/>
      <c r="G1344" s="2">
        <v>10</v>
      </c>
      <c r="H1344" s="1"/>
      <c r="I1344" t="s">
        <v>0</v>
      </c>
      <c r="J1344" t="s">
        <v>5</v>
      </c>
      <c r="K1344" t="s">
        <v>376</v>
      </c>
      <c r="L1344" t="s">
        <v>70</v>
      </c>
      <c r="M1344" s="3" t="s">
        <v>1347</v>
      </c>
    </row>
    <row r="1345" spans="1:14" hidden="1" x14ac:dyDescent="0.25">
      <c r="A1345" s="1" t="str">
        <f>VLOOKUP(Table2[[#This Row],[Prod Line ]],Lists!A:E,5,0)</f>
        <v>a</v>
      </c>
      <c r="B1345" s="1">
        <v>44375</v>
      </c>
      <c r="C1345" s="1">
        <v>44373</v>
      </c>
      <c r="D1345" s="1" t="s">
        <v>56</v>
      </c>
      <c r="E1345" s="2" t="s">
        <v>405</v>
      </c>
      <c r="F1345" s="1"/>
      <c r="G1345" s="2">
        <v>78</v>
      </c>
      <c r="H1345" s="1"/>
      <c r="I1345" t="s">
        <v>67</v>
      </c>
      <c r="J1345" t="s">
        <v>67</v>
      </c>
      <c r="K1345" t="s">
        <v>41</v>
      </c>
      <c r="L1345" t="s">
        <v>71</v>
      </c>
      <c r="M1345" s="3" t="s">
        <v>1348</v>
      </c>
    </row>
    <row r="1346" spans="1:14" hidden="1" x14ac:dyDescent="0.25">
      <c r="A1346" s="1" t="str">
        <f>VLOOKUP(Table2[[#This Row],[Prod Line ]],Lists!A:E,5,0)</f>
        <v>a</v>
      </c>
      <c r="B1346" s="1">
        <v>44375</v>
      </c>
      <c r="C1346" s="1">
        <v>44373</v>
      </c>
      <c r="D1346" s="1" t="s">
        <v>56</v>
      </c>
      <c r="E1346" s="2" t="s">
        <v>405</v>
      </c>
      <c r="F1346" s="1"/>
      <c r="G1346" s="2">
        <v>12</v>
      </c>
      <c r="H1346" s="1"/>
      <c r="I1346" t="s">
        <v>1</v>
      </c>
      <c r="J1346" t="s">
        <v>64</v>
      </c>
      <c r="K1346" t="s">
        <v>368</v>
      </c>
      <c r="L1346" t="s">
        <v>407</v>
      </c>
      <c r="M1346" s="3" t="s">
        <v>833</v>
      </c>
    </row>
    <row r="1347" spans="1:14" hidden="1" x14ac:dyDescent="0.25">
      <c r="A1347" s="1" t="str">
        <f>VLOOKUP(Table2[[#This Row],[Prod Line ]],Lists!A:E,5,0)</f>
        <v>b</v>
      </c>
      <c r="B1347" s="1">
        <v>44375</v>
      </c>
      <c r="C1347" s="1">
        <v>44373</v>
      </c>
      <c r="D1347" s="1" t="s">
        <v>58</v>
      </c>
      <c r="E1347" s="2" t="s">
        <v>404</v>
      </c>
      <c r="F1347" s="1"/>
      <c r="G1347" s="2">
        <v>10</v>
      </c>
      <c r="H1347" s="1"/>
      <c r="I1347" t="s">
        <v>1</v>
      </c>
      <c r="J1347" t="s">
        <v>65</v>
      </c>
      <c r="K1347" t="s">
        <v>3</v>
      </c>
      <c r="L1347" t="s">
        <v>441</v>
      </c>
      <c r="M1347" s="3" t="s">
        <v>1011</v>
      </c>
    </row>
    <row r="1348" spans="1:14" hidden="1" x14ac:dyDescent="0.25">
      <c r="A1348" s="1" t="str">
        <f>VLOOKUP(Table2[[#This Row],[Prod Line ]],Lists!A:E,5,0)</f>
        <v>b</v>
      </c>
      <c r="B1348" s="1">
        <v>44375</v>
      </c>
      <c r="C1348" s="1">
        <v>44373</v>
      </c>
      <c r="D1348" s="1" t="s">
        <v>58</v>
      </c>
      <c r="E1348" s="2" t="s">
        <v>404</v>
      </c>
      <c r="F1348" s="1"/>
      <c r="G1348" s="2">
        <v>20</v>
      </c>
      <c r="H1348" s="1"/>
      <c r="I1348" t="s">
        <v>1</v>
      </c>
      <c r="J1348" t="s">
        <v>5</v>
      </c>
      <c r="K1348" t="s">
        <v>36</v>
      </c>
      <c r="L1348" t="s">
        <v>72</v>
      </c>
      <c r="M1348" s="3" t="s">
        <v>1126</v>
      </c>
    </row>
    <row r="1349" spans="1:14" hidden="1" x14ac:dyDescent="0.25">
      <c r="A1349" s="1" t="str">
        <f>VLOOKUP(Table2[[#This Row],[Prod Line ]],Lists!A:E,5,0)</f>
        <v>b</v>
      </c>
      <c r="B1349" s="1">
        <v>44375</v>
      </c>
      <c r="C1349" s="1">
        <v>44373</v>
      </c>
      <c r="D1349" s="1" t="s">
        <v>58</v>
      </c>
      <c r="E1349" s="2" t="s">
        <v>405</v>
      </c>
      <c r="F1349" s="1"/>
      <c r="G1349" s="2">
        <v>6</v>
      </c>
      <c r="H1349" s="1"/>
      <c r="I1349" t="s">
        <v>67</v>
      </c>
      <c r="J1349" t="s">
        <v>67</v>
      </c>
      <c r="K1349" t="s">
        <v>41</v>
      </c>
      <c r="L1349" t="s">
        <v>71</v>
      </c>
      <c r="M1349" s="3" t="s">
        <v>1348</v>
      </c>
    </row>
    <row r="1350" spans="1:14" hidden="1" x14ac:dyDescent="0.25">
      <c r="A1350" s="1" t="str">
        <f>VLOOKUP(Table2[[#This Row],[Prod Line ]],Lists!A:E,5,0)</f>
        <v>b</v>
      </c>
      <c r="B1350" s="1">
        <v>44375</v>
      </c>
      <c r="C1350" s="1">
        <v>44373</v>
      </c>
      <c r="D1350" s="1" t="s">
        <v>58</v>
      </c>
      <c r="E1350" s="2" t="s">
        <v>405</v>
      </c>
      <c r="F1350" s="1"/>
      <c r="G1350" s="2">
        <v>5</v>
      </c>
      <c r="H1350" s="1"/>
      <c r="I1350" t="s">
        <v>0</v>
      </c>
      <c r="J1350" t="s">
        <v>65</v>
      </c>
      <c r="K1350" t="s">
        <v>3</v>
      </c>
      <c r="L1350" t="s">
        <v>70</v>
      </c>
      <c r="M1350" s="3" t="s">
        <v>1264</v>
      </c>
    </row>
    <row r="1351" spans="1:14" hidden="1" x14ac:dyDescent="0.25">
      <c r="A1351" s="1" t="str">
        <f>VLOOKUP(Table2[[#This Row],[Prod Line ]],Lists!A:E,5,0)</f>
        <v>b</v>
      </c>
      <c r="B1351" s="1">
        <v>44375</v>
      </c>
      <c r="C1351" s="1">
        <v>44373</v>
      </c>
      <c r="D1351" s="1" t="s">
        <v>58</v>
      </c>
      <c r="E1351" s="2" t="s">
        <v>405</v>
      </c>
      <c r="F1351" s="1"/>
      <c r="G1351" s="2">
        <v>2</v>
      </c>
      <c r="H1351" s="1"/>
      <c r="I1351" t="s">
        <v>1</v>
      </c>
      <c r="J1351" t="s">
        <v>65</v>
      </c>
      <c r="K1351" t="s">
        <v>3</v>
      </c>
      <c r="L1351" t="s">
        <v>441</v>
      </c>
      <c r="M1351" s="3" t="s">
        <v>1011</v>
      </c>
    </row>
    <row r="1352" spans="1:14" hidden="1" x14ac:dyDescent="0.25">
      <c r="A1352" s="1" t="str">
        <f>VLOOKUP(Table2[[#This Row],[Prod Line ]],Lists!A:E,5,0)</f>
        <v>b</v>
      </c>
      <c r="B1352" s="1">
        <v>44375</v>
      </c>
      <c r="C1352" s="1">
        <v>44373</v>
      </c>
      <c r="D1352" s="1" t="s">
        <v>58</v>
      </c>
      <c r="E1352" s="2" t="s">
        <v>406</v>
      </c>
      <c r="F1352" s="1"/>
      <c r="G1352" s="2">
        <v>20</v>
      </c>
      <c r="H1352" s="1"/>
      <c r="I1352" t="s">
        <v>1</v>
      </c>
      <c r="J1352" t="s">
        <v>2</v>
      </c>
      <c r="K1352" t="s">
        <v>19</v>
      </c>
      <c r="L1352" t="s">
        <v>407</v>
      </c>
      <c r="M1352" s="3" t="s">
        <v>834</v>
      </c>
    </row>
    <row r="1353" spans="1:14" hidden="1" x14ac:dyDescent="0.25">
      <c r="A1353" s="1" t="str">
        <f>VLOOKUP(Table2[[#This Row],[Prod Line ]],Lists!A:E,5,0)</f>
        <v>b</v>
      </c>
      <c r="B1353" s="1">
        <v>44375</v>
      </c>
      <c r="C1353" s="1">
        <v>44373</v>
      </c>
      <c r="D1353" s="1" t="s">
        <v>58</v>
      </c>
      <c r="E1353" s="2" t="s">
        <v>406</v>
      </c>
      <c r="F1353" s="1"/>
      <c r="G1353" s="2">
        <v>6</v>
      </c>
      <c r="H1353" s="1"/>
      <c r="I1353" t="s">
        <v>1</v>
      </c>
      <c r="J1353" t="s">
        <v>65</v>
      </c>
      <c r="K1353" t="s">
        <v>3</v>
      </c>
      <c r="L1353" t="s">
        <v>441</v>
      </c>
      <c r="M1353" s="3" t="s">
        <v>1011</v>
      </c>
    </row>
    <row r="1354" spans="1:14" hidden="1" x14ac:dyDescent="0.25">
      <c r="A1354" s="1" t="str">
        <f>VLOOKUP(Table2[[#This Row],[Prod Line ]],Lists!A:E,5,0)</f>
        <v>c</v>
      </c>
      <c r="B1354" s="1">
        <v>44375</v>
      </c>
      <c r="C1354" s="1">
        <v>44373</v>
      </c>
      <c r="D1354" s="1" t="s">
        <v>60</v>
      </c>
      <c r="E1354" s="2" t="s">
        <v>404</v>
      </c>
      <c r="F1354" s="1"/>
      <c r="G1354" s="2">
        <v>35</v>
      </c>
      <c r="H1354" s="1"/>
      <c r="I1354" t="s">
        <v>1</v>
      </c>
      <c r="J1354" t="s">
        <v>2</v>
      </c>
      <c r="K1354" t="s">
        <v>19</v>
      </c>
      <c r="L1354" t="s">
        <v>349</v>
      </c>
      <c r="M1354" s="3" t="s">
        <v>575</v>
      </c>
    </row>
    <row r="1355" spans="1:14" hidden="1" x14ac:dyDescent="0.25">
      <c r="A1355" s="1" t="str">
        <f>VLOOKUP(Table2[[#This Row],[Prod Line ]],Lists!A:E,5,0)</f>
        <v>c</v>
      </c>
      <c r="B1355" s="1">
        <v>44375</v>
      </c>
      <c r="C1355" s="1">
        <v>44373</v>
      </c>
      <c r="D1355" s="1" t="s">
        <v>60</v>
      </c>
      <c r="E1355" s="2" t="s">
        <v>404</v>
      </c>
      <c r="F1355" s="1"/>
      <c r="G1355" s="2">
        <v>17</v>
      </c>
      <c r="H1355" s="1"/>
      <c r="I1355" t="s">
        <v>1</v>
      </c>
      <c r="J1355" t="s">
        <v>64</v>
      </c>
      <c r="K1355" t="s">
        <v>368</v>
      </c>
      <c r="L1355" t="s">
        <v>407</v>
      </c>
      <c r="M1355" s="3" t="s">
        <v>833</v>
      </c>
    </row>
    <row r="1356" spans="1:14" hidden="1" x14ac:dyDescent="0.25">
      <c r="A1356" s="1" t="str">
        <f>VLOOKUP(Table2[[#This Row],[Prod Line ]],Lists!A:E,5,0)</f>
        <v>c</v>
      </c>
      <c r="B1356" s="1">
        <v>44375</v>
      </c>
      <c r="C1356" s="1">
        <v>44373</v>
      </c>
      <c r="D1356" s="1" t="s">
        <v>60</v>
      </c>
      <c r="E1356" s="2" t="s">
        <v>405</v>
      </c>
      <c r="F1356" s="1"/>
      <c r="G1356" s="2">
        <v>20</v>
      </c>
      <c r="H1356" s="1"/>
      <c r="I1356" t="s">
        <v>67</v>
      </c>
      <c r="J1356" t="s">
        <v>67</v>
      </c>
      <c r="K1356" t="s">
        <v>41</v>
      </c>
      <c r="L1356" t="s">
        <v>71</v>
      </c>
      <c r="M1356" s="3" t="s">
        <v>1348</v>
      </c>
    </row>
    <row r="1357" spans="1:14" hidden="1" x14ac:dyDescent="0.25">
      <c r="A1357" s="1" t="str">
        <f>VLOOKUP(Table2[[#This Row],[Prod Line ]],Lists!A:E,5,0)</f>
        <v>c</v>
      </c>
      <c r="B1357" s="1">
        <v>44375</v>
      </c>
      <c r="C1357" s="1">
        <v>44373</v>
      </c>
      <c r="D1357" s="1" t="s">
        <v>60</v>
      </c>
      <c r="E1357" s="2" t="s">
        <v>405</v>
      </c>
      <c r="F1357" s="1"/>
      <c r="G1357" s="2">
        <v>14</v>
      </c>
      <c r="H1357" s="1"/>
      <c r="I1357" t="s">
        <v>1</v>
      </c>
      <c r="J1357" t="s">
        <v>65</v>
      </c>
      <c r="K1357" t="s">
        <v>3</v>
      </c>
      <c r="L1357" t="s">
        <v>430</v>
      </c>
      <c r="M1357" s="3" t="s">
        <v>1349</v>
      </c>
    </row>
    <row r="1358" spans="1:14" hidden="1" x14ac:dyDescent="0.25">
      <c r="A1358" s="1" t="str">
        <f>VLOOKUP(Table2[[#This Row],[Prod Line ]],Lists!A:E,5,0)</f>
        <v>d</v>
      </c>
      <c r="B1358" s="1">
        <v>44375</v>
      </c>
      <c r="C1358" s="1">
        <v>44373</v>
      </c>
      <c r="D1358" s="1" t="s">
        <v>62</v>
      </c>
      <c r="E1358" s="2" t="s">
        <v>406</v>
      </c>
      <c r="F1358" s="1"/>
      <c r="G1358" s="2">
        <v>91</v>
      </c>
      <c r="H1358" s="1"/>
      <c r="I1358" t="s">
        <v>0</v>
      </c>
      <c r="J1358" t="s">
        <v>66</v>
      </c>
      <c r="K1358" t="s">
        <v>4</v>
      </c>
      <c r="L1358" t="s">
        <v>69</v>
      </c>
      <c r="M1358" s="3" t="s">
        <v>1350</v>
      </c>
      <c r="N1358" s="20" t="s">
        <v>1360</v>
      </c>
    </row>
    <row r="1359" spans="1:14" hidden="1" x14ac:dyDescent="0.25">
      <c r="A1359" s="1" t="str">
        <f>VLOOKUP(Table2[[#This Row],[Prod Line ]],Lists!A:E,5,0)</f>
        <v>d</v>
      </c>
      <c r="B1359" s="1">
        <v>44375</v>
      </c>
      <c r="C1359" s="1">
        <v>44373</v>
      </c>
      <c r="D1359" s="1" t="s">
        <v>62</v>
      </c>
      <c r="E1359" s="2" t="s">
        <v>404</v>
      </c>
      <c r="F1359" s="1"/>
      <c r="G1359" s="2">
        <v>9</v>
      </c>
      <c r="H1359" s="1"/>
      <c r="I1359" t="s">
        <v>1</v>
      </c>
      <c r="J1359" t="s">
        <v>2</v>
      </c>
      <c r="K1359" t="s">
        <v>19</v>
      </c>
      <c r="L1359" t="s">
        <v>407</v>
      </c>
      <c r="M1359" s="3" t="s">
        <v>834</v>
      </c>
    </row>
    <row r="1360" spans="1:14" hidden="1" x14ac:dyDescent="0.25">
      <c r="A1360" s="1" t="str">
        <f>VLOOKUP(Table2[[#This Row],[Prod Line ]],Lists!A:E,5,0)</f>
        <v>d</v>
      </c>
      <c r="B1360" s="1">
        <v>44375</v>
      </c>
      <c r="C1360" s="1">
        <v>44373</v>
      </c>
      <c r="D1360" s="1" t="s">
        <v>62</v>
      </c>
      <c r="E1360" s="2" t="s">
        <v>405</v>
      </c>
      <c r="F1360" s="1"/>
      <c r="G1360" s="2">
        <v>10</v>
      </c>
      <c r="H1360" s="1"/>
      <c r="I1360" t="s">
        <v>1</v>
      </c>
      <c r="J1360" t="s">
        <v>2</v>
      </c>
      <c r="K1360" t="s">
        <v>19</v>
      </c>
      <c r="L1360" t="s">
        <v>407</v>
      </c>
      <c r="M1360" s="3" t="s">
        <v>834</v>
      </c>
    </row>
    <row r="1361" spans="1:14" hidden="1" x14ac:dyDescent="0.25">
      <c r="A1361" s="1" t="str">
        <f>VLOOKUP(Table2[[#This Row],[Prod Line ]],Lists!A:E,5,0)</f>
        <v>d</v>
      </c>
      <c r="B1361" s="1">
        <v>44375</v>
      </c>
      <c r="C1361" s="1">
        <v>44373</v>
      </c>
      <c r="D1361" s="1" t="s">
        <v>62</v>
      </c>
      <c r="E1361" s="2" t="s">
        <v>405</v>
      </c>
      <c r="F1361" s="1"/>
      <c r="G1361" s="2">
        <v>41</v>
      </c>
      <c r="H1361" s="1"/>
      <c r="I1361" t="s">
        <v>1</v>
      </c>
      <c r="J1361" t="s">
        <v>5</v>
      </c>
      <c r="K1361" t="s">
        <v>397</v>
      </c>
      <c r="L1361" t="s">
        <v>407</v>
      </c>
      <c r="M1361" s="3" t="s">
        <v>1225</v>
      </c>
    </row>
    <row r="1362" spans="1:14" hidden="1" x14ac:dyDescent="0.25">
      <c r="A1362" s="1" t="str">
        <f>VLOOKUP(Table2[[#This Row],[Prod Line ]],Lists!A:E,5,0)</f>
        <v>a</v>
      </c>
      <c r="B1362" s="1">
        <v>44376</v>
      </c>
      <c r="C1362" s="1">
        <v>44374</v>
      </c>
      <c r="D1362" s="1" t="s">
        <v>56</v>
      </c>
      <c r="E1362" s="2" t="s">
        <v>404</v>
      </c>
      <c r="F1362" s="1"/>
      <c r="G1362" s="2">
        <v>28</v>
      </c>
      <c r="H1362" s="1"/>
      <c r="I1362" t="s">
        <v>1</v>
      </c>
      <c r="J1362" t="s">
        <v>64</v>
      </c>
      <c r="K1362" t="s">
        <v>368</v>
      </c>
      <c r="L1362" t="s">
        <v>407</v>
      </c>
      <c r="M1362" s="3" t="s">
        <v>833</v>
      </c>
    </row>
    <row r="1363" spans="1:14" hidden="1" x14ac:dyDescent="0.25">
      <c r="A1363" s="1" t="str">
        <f>VLOOKUP(Table2[[#This Row],[Prod Line ]],Lists!A:E,5,0)</f>
        <v>a</v>
      </c>
      <c r="B1363" s="1">
        <v>44376</v>
      </c>
      <c r="C1363" s="1">
        <v>44374</v>
      </c>
      <c r="D1363" s="1" t="s">
        <v>56</v>
      </c>
      <c r="E1363" s="2" t="s">
        <v>404</v>
      </c>
      <c r="F1363" s="1"/>
      <c r="G1363" s="2">
        <v>28</v>
      </c>
      <c r="H1363" s="1"/>
      <c r="I1363" t="s">
        <v>1</v>
      </c>
      <c r="J1363" t="s">
        <v>65</v>
      </c>
      <c r="K1363" t="s">
        <v>27</v>
      </c>
      <c r="L1363" t="s">
        <v>350</v>
      </c>
      <c r="M1363" s="3" t="s">
        <v>884</v>
      </c>
    </row>
    <row r="1364" spans="1:14" hidden="1" x14ac:dyDescent="0.25">
      <c r="A1364" s="1" t="str">
        <f>VLOOKUP(Table2[[#This Row],[Prod Line ]],Lists!A:E,5,0)</f>
        <v>b</v>
      </c>
      <c r="B1364" s="1">
        <v>44376</v>
      </c>
      <c r="C1364" s="1">
        <v>44374</v>
      </c>
      <c r="D1364" s="1" t="s">
        <v>58</v>
      </c>
      <c r="E1364" s="2" t="s">
        <v>405</v>
      </c>
      <c r="F1364" s="1"/>
      <c r="G1364" s="2">
        <v>52</v>
      </c>
      <c r="H1364" s="1"/>
      <c r="I1364" t="s">
        <v>0</v>
      </c>
      <c r="J1364" t="s">
        <v>64</v>
      </c>
      <c r="K1364" t="s">
        <v>23</v>
      </c>
      <c r="L1364" t="s">
        <v>69</v>
      </c>
      <c r="M1364" s="3" t="s">
        <v>1351</v>
      </c>
      <c r="N1364" s="20" t="s">
        <v>1360</v>
      </c>
    </row>
    <row r="1365" spans="1:14" hidden="1" x14ac:dyDescent="0.25">
      <c r="A1365" s="1" t="str">
        <f>VLOOKUP(Table2[[#This Row],[Prod Line ]],Lists!A:E,5,0)</f>
        <v>c</v>
      </c>
      <c r="B1365" s="1">
        <v>44376</v>
      </c>
      <c r="C1365" s="1">
        <v>44374</v>
      </c>
      <c r="D1365" s="1" t="s">
        <v>60</v>
      </c>
      <c r="E1365" s="2" t="s">
        <v>404</v>
      </c>
      <c r="F1365" s="1"/>
      <c r="G1365" s="2">
        <v>46</v>
      </c>
      <c r="H1365" s="1"/>
      <c r="I1365" t="s">
        <v>1</v>
      </c>
      <c r="J1365" t="s">
        <v>2</v>
      </c>
      <c r="K1365" t="s">
        <v>19</v>
      </c>
      <c r="L1365" t="s">
        <v>349</v>
      </c>
      <c r="M1365" s="3" t="s">
        <v>575</v>
      </c>
    </row>
    <row r="1366" spans="1:14" hidden="1" x14ac:dyDescent="0.25">
      <c r="A1366" s="1" t="str">
        <f>VLOOKUP(Table2[[#This Row],[Prod Line ]],Lists!A:E,5,0)</f>
        <v>a</v>
      </c>
      <c r="B1366" s="1">
        <v>44376</v>
      </c>
      <c r="C1366" s="1">
        <v>44374</v>
      </c>
      <c r="D1366" s="1" t="s">
        <v>56</v>
      </c>
      <c r="E1366" s="2" t="s">
        <v>404</v>
      </c>
      <c r="F1366" s="1"/>
      <c r="G1366" s="2">
        <v>20</v>
      </c>
      <c r="H1366" s="1"/>
      <c r="I1366" t="s">
        <v>0</v>
      </c>
      <c r="J1366" t="s">
        <v>2</v>
      </c>
      <c r="K1366" t="s">
        <v>14</v>
      </c>
      <c r="L1366" t="s">
        <v>69</v>
      </c>
      <c r="M1366" s="3" t="s">
        <v>1352</v>
      </c>
      <c r="N1366" s="20" t="s">
        <v>1360</v>
      </c>
    </row>
    <row r="1367" spans="1:14" hidden="1" x14ac:dyDescent="0.25">
      <c r="A1367" s="1" t="str">
        <f>VLOOKUP(Table2[[#This Row],[Prod Line ]],Lists!A:E,5,0)</f>
        <v>a</v>
      </c>
      <c r="B1367" s="1">
        <v>44376</v>
      </c>
      <c r="C1367" s="1">
        <v>44374</v>
      </c>
      <c r="D1367" s="1" t="s">
        <v>56</v>
      </c>
      <c r="E1367" s="2" t="s">
        <v>405</v>
      </c>
      <c r="F1367" s="1"/>
      <c r="G1367" s="2">
        <v>130</v>
      </c>
      <c r="H1367" s="1"/>
      <c r="I1367" t="s">
        <v>0</v>
      </c>
      <c r="J1367" t="s">
        <v>65</v>
      </c>
      <c r="K1367" t="s">
        <v>27</v>
      </c>
      <c r="L1367" t="s">
        <v>69</v>
      </c>
      <c r="M1367" s="3" t="s">
        <v>1354</v>
      </c>
      <c r="N1367" s="20" t="s">
        <v>1360</v>
      </c>
    </row>
    <row r="1368" spans="1:14" hidden="1" x14ac:dyDescent="0.25">
      <c r="A1368" s="1" t="e">
        <f>VLOOKUP(Table2[[#This Row],[Prod Line ]],Lists!A:E,5,0)</f>
        <v>#N/A</v>
      </c>
      <c r="B1368" s="1"/>
      <c r="C1368" s="1"/>
      <c r="D1368" s="1"/>
      <c r="E1368" s="2"/>
      <c r="F1368" s="1"/>
      <c r="G1368" s="2" t="s">
        <v>1353</v>
      </c>
      <c r="H1368" s="1"/>
      <c r="M1368" s="3"/>
    </row>
    <row r="1369" spans="1:14" hidden="1" x14ac:dyDescent="0.25">
      <c r="A1369" s="1" t="str">
        <f>VLOOKUP(Table2[[#This Row],[Prod Line ]],Lists!A:E,5,0)</f>
        <v>b</v>
      </c>
      <c r="B1369" s="1">
        <v>44376</v>
      </c>
      <c r="C1369" s="1">
        <v>44374</v>
      </c>
      <c r="D1369" s="1" t="s">
        <v>58</v>
      </c>
      <c r="E1369" s="2" t="s">
        <v>404</v>
      </c>
      <c r="F1369" s="1"/>
      <c r="G1369" s="2">
        <v>17</v>
      </c>
      <c r="H1369" s="1"/>
      <c r="I1369" t="s">
        <v>0</v>
      </c>
      <c r="J1369" t="s">
        <v>66</v>
      </c>
      <c r="K1369" t="s">
        <v>34</v>
      </c>
      <c r="L1369" t="s">
        <v>70</v>
      </c>
      <c r="M1369" s="3" t="s">
        <v>1355</v>
      </c>
    </row>
    <row r="1370" spans="1:14" hidden="1" x14ac:dyDescent="0.25">
      <c r="A1370" s="1" t="str">
        <f>VLOOKUP(Table2[[#This Row],[Prod Line ]],Lists!A:E,5,0)</f>
        <v>b</v>
      </c>
      <c r="B1370" s="1">
        <v>44376</v>
      </c>
      <c r="C1370" s="1">
        <v>44374</v>
      </c>
      <c r="D1370" s="1" t="s">
        <v>58</v>
      </c>
      <c r="E1370" s="2" t="s">
        <v>404</v>
      </c>
      <c r="F1370" s="1"/>
      <c r="G1370" s="2">
        <v>5</v>
      </c>
      <c r="H1370" s="1"/>
      <c r="I1370" t="s">
        <v>0</v>
      </c>
      <c r="J1370" t="s">
        <v>64</v>
      </c>
      <c r="K1370" t="s">
        <v>23</v>
      </c>
      <c r="L1370" t="s">
        <v>83</v>
      </c>
      <c r="M1370" s="3" t="s">
        <v>1356</v>
      </c>
    </row>
    <row r="1371" spans="1:14" hidden="1" x14ac:dyDescent="0.25">
      <c r="A1371" s="1" t="str">
        <f>VLOOKUP(Table2[[#This Row],[Prod Line ]],Lists!A:E,5,0)</f>
        <v>b</v>
      </c>
      <c r="B1371" s="1">
        <v>44376</v>
      </c>
      <c r="C1371" s="1">
        <v>44374</v>
      </c>
      <c r="D1371" s="1" t="s">
        <v>58</v>
      </c>
      <c r="E1371" s="2" t="s">
        <v>404</v>
      </c>
      <c r="F1371" s="1"/>
      <c r="G1371" s="2">
        <v>36</v>
      </c>
      <c r="H1371" s="1"/>
      <c r="I1371" t="s">
        <v>1</v>
      </c>
      <c r="J1371" t="s">
        <v>64</v>
      </c>
      <c r="K1371" t="s">
        <v>368</v>
      </c>
      <c r="L1371" t="s">
        <v>407</v>
      </c>
      <c r="M1371" s="3" t="s">
        <v>833</v>
      </c>
    </row>
    <row r="1372" spans="1:14" hidden="1" x14ac:dyDescent="0.25">
      <c r="A1372" s="1" t="str">
        <f>VLOOKUP(Table2[[#This Row],[Prod Line ]],Lists!A:E,5,0)</f>
        <v>b</v>
      </c>
      <c r="B1372" s="1">
        <v>44376</v>
      </c>
      <c r="C1372" s="1">
        <v>44374</v>
      </c>
      <c r="D1372" s="1" t="s">
        <v>58</v>
      </c>
      <c r="E1372" s="2" t="s">
        <v>404</v>
      </c>
      <c r="F1372" s="1"/>
      <c r="G1372" s="2">
        <v>6</v>
      </c>
      <c r="H1372" s="1"/>
      <c r="I1372" t="s">
        <v>1</v>
      </c>
      <c r="J1372" t="s">
        <v>65</v>
      </c>
      <c r="K1372" t="s">
        <v>3</v>
      </c>
      <c r="L1372" t="s">
        <v>441</v>
      </c>
      <c r="M1372" s="3" t="s">
        <v>1011</v>
      </c>
    </row>
    <row r="1373" spans="1:14" hidden="1" x14ac:dyDescent="0.25">
      <c r="A1373" s="1" t="str">
        <f>VLOOKUP(Table2[[#This Row],[Prod Line ]],Lists!A:E,5,0)</f>
        <v>b</v>
      </c>
      <c r="B1373" s="1">
        <v>44376</v>
      </c>
      <c r="C1373" s="1">
        <v>44374</v>
      </c>
      <c r="D1373" s="1" t="s">
        <v>58</v>
      </c>
      <c r="E1373" s="2" t="s">
        <v>406</v>
      </c>
      <c r="F1373" s="1"/>
      <c r="G1373" s="2">
        <v>36</v>
      </c>
      <c r="H1373" s="1"/>
      <c r="I1373" t="s">
        <v>1</v>
      </c>
      <c r="J1373" t="s">
        <v>2</v>
      </c>
      <c r="K1373" t="s">
        <v>19</v>
      </c>
      <c r="L1373" t="s">
        <v>407</v>
      </c>
      <c r="M1373" s="3" t="s">
        <v>834</v>
      </c>
    </row>
    <row r="1374" spans="1:14" hidden="1" x14ac:dyDescent="0.25">
      <c r="A1374" s="1" t="str">
        <f>VLOOKUP(Table2[[#This Row],[Prod Line ]],Lists!A:E,5,0)</f>
        <v>a</v>
      </c>
      <c r="B1374" s="1">
        <v>44378</v>
      </c>
      <c r="C1374" s="1">
        <v>44377</v>
      </c>
      <c r="D1374" s="1" t="s">
        <v>56</v>
      </c>
      <c r="E1374" s="2" t="s">
        <v>405</v>
      </c>
      <c r="F1374" s="1"/>
      <c r="G1374" s="2">
        <v>101</v>
      </c>
      <c r="H1374" s="1"/>
      <c r="I1374" t="s">
        <v>0</v>
      </c>
      <c r="J1374" t="s">
        <v>64</v>
      </c>
      <c r="K1374" t="s">
        <v>367</v>
      </c>
      <c r="L1374" t="s">
        <v>69</v>
      </c>
      <c r="M1374" s="3" t="s">
        <v>1361</v>
      </c>
      <c r="N1374" s="20" t="s">
        <v>1376</v>
      </c>
    </row>
    <row r="1375" spans="1:14" hidden="1" x14ac:dyDescent="0.25">
      <c r="A1375" s="1" t="str">
        <f>VLOOKUP(Table2[[#This Row],[Prod Line ]],Lists!A:E,5,0)</f>
        <v>a</v>
      </c>
      <c r="B1375" s="1">
        <v>44378</v>
      </c>
      <c r="C1375" s="1">
        <v>44377</v>
      </c>
      <c r="D1375" s="1" t="s">
        <v>56</v>
      </c>
      <c r="E1375" s="2"/>
      <c r="F1375" s="1"/>
      <c r="G1375" s="2"/>
      <c r="H1375" s="1"/>
      <c r="M1375" s="3"/>
    </row>
    <row r="1376" spans="1:14" hidden="1" x14ac:dyDescent="0.25">
      <c r="A1376" s="1" t="e">
        <f>VLOOKUP(Table2[[#This Row],[Prod Line ]],Lists!A:E,5,0)</f>
        <v>#N/A</v>
      </c>
      <c r="B1376" s="1">
        <v>44378</v>
      </c>
      <c r="C1376" s="1">
        <v>44377</v>
      </c>
      <c r="D1376" s="1"/>
      <c r="E1376" s="2"/>
      <c r="F1376" s="1"/>
      <c r="G1376" s="2"/>
      <c r="H1376" s="1"/>
      <c r="M1376" s="3"/>
    </row>
    <row r="1377" spans="1:14" hidden="1" x14ac:dyDescent="0.25">
      <c r="A1377" s="1" t="e">
        <f>VLOOKUP(Table2[[#This Row],[Prod Line ]],Lists!A:E,5,0)</f>
        <v>#N/A</v>
      </c>
      <c r="B1377" s="1">
        <v>44378</v>
      </c>
      <c r="C1377" s="1">
        <v>44377</v>
      </c>
      <c r="D1377" s="1"/>
      <c r="E1377" s="2"/>
      <c r="F1377" s="1"/>
      <c r="G1377" s="2"/>
      <c r="H1377" s="1"/>
      <c r="M1377" s="3"/>
    </row>
    <row r="1378" spans="1:14" hidden="1" x14ac:dyDescent="0.25">
      <c r="A1378" s="1" t="e">
        <f>VLOOKUP(Table2[[#This Row],[Prod Line ]],Lists!A:E,5,0)</f>
        <v>#N/A</v>
      </c>
      <c r="B1378" s="1">
        <v>44378</v>
      </c>
      <c r="C1378" s="1">
        <v>44377</v>
      </c>
      <c r="D1378" s="1"/>
      <c r="E1378" s="2"/>
      <c r="F1378" s="1"/>
      <c r="G1378" s="2"/>
      <c r="H1378" s="1"/>
      <c r="M1378" s="3"/>
    </row>
    <row r="1379" spans="1:14" hidden="1" x14ac:dyDescent="0.25">
      <c r="A1379" s="1" t="e">
        <f>VLOOKUP(Table2[[#This Row],[Prod Line ]],Lists!A:E,5,0)</f>
        <v>#N/A</v>
      </c>
      <c r="B1379" s="1">
        <v>44378</v>
      </c>
      <c r="C1379" s="1">
        <v>44377</v>
      </c>
      <c r="D1379" s="1"/>
      <c r="E1379" s="2"/>
      <c r="F1379" s="1"/>
      <c r="G1379" s="2"/>
      <c r="H1379" s="1"/>
      <c r="M1379" s="3"/>
    </row>
    <row r="1380" spans="1:14" hidden="1" x14ac:dyDescent="0.25">
      <c r="A1380" s="1" t="e">
        <f>VLOOKUP(Table2[[#This Row],[Prod Line ]],Lists!A:E,5,0)</f>
        <v>#N/A</v>
      </c>
      <c r="B1380" s="1">
        <v>44378</v>
      </c>
      <c r="C1380" s="1">
        <v>44377</v>
      </c>
      <c r="D1380" s="1"/>
      <c r="E1380" s="2"/>
      <c r="F1380" s="1"/>
      <c r="G1380" s="2"/>
      <c r="H1380" s="1"/>
      <c r="M1380" s="3"/>
    </row>
    <row r="1381" spans="1:14" hidden="1" x14ac:dyDescent="0.25">
      <c r="A1381" s="1" t="str">
        <f>VLOOKUP(Table2[[#This Row],[Prod Line ]],Lists!A:E,5,0)</f>
        <v>a</v>
      </c>
      <c r="B1381" s="1">
        <v>44378</v>
      </c>
      <c r="C1381" s="1">
        <v>44377</v>
      </c>
      <c r="D1381" s="1" t="s">
        <v>56</v>
      </c>
      <c r="E1381" s="2" t="s">
        <v>405</v>
      </c>
      <c r="F1381" s="1"/>
      <c r="G1381" s="2">
        <v>12</v>
      </c>
      <c r="H1381" s="1"/>
      <c r="I1381" t="s">
        <v>1</v>
      </c>
      <c r="J1381" t="s">
        <v>64</v>
      </c>
      <c r="K1381" t="s">
        <v>367</v>
      </c>
      <c r="L1381" t="s">
        <v>407</v>
      </c>
      <c r="M1381" s="3" t="s">
        <v>833</v>
      </c>
    </row>
    <row r="1382" spans="1:14" hidden="1" x14ac:dyDescent="0.25">
      <c r="A1382" s="1" t="str">
        <f>VLOOKUP(Table2[[#This Row],[Prod Line ]],Lists!A:E,5,0)</f>
        <v>a</v>
      </c>
      <c r="B1382" s="1">
        <v>44378</v>
      </c>
      <c r="C1382" s="1">
        <v>44377</v>
      </c>
      <c r="D1382" s="1" t="s">
        <v>56</v>
      </c>
      <c r="E1382" s="2" t="s">
        <v>404</v>
      </c>
      <c r="F1382" s="1"/>
      <c r="G1382" s="2">
        <v>30</v>
      </c>
      <c r="H1382" s="1"/>
      <c r="I1382" t="s">
        <v>0</v>
      </c>
      <c r="J1382" t="s">
        <v>65</v>
      </c>
      <c r="K1382" t="s">
        <v>30</v>
      </c>
      <c r="L1382" t="s">
        <v>69</v>
      </c>
      <c r="M1382" s="3" t="s">
        <v>1354</v>
      </c>
      <c r="N1382" s="20" t="s">
        <v>1377</v>
      </c>
    </row>
    <row r="1383" spans="1:14" hidden="1" x14ac:dyDescent="0.25">
      <c r="A1383" s="1" t="str">
        <f>VLOOKUP(Table2[[#This Row],[Prod Line ]],Lists!A:E,5,0)</f>
        <v>a</v>
      </c>
      <c r="B1383" s="1">
        <v>44378</v>
      </c>
      <c r="C1383" s="1">
        <v>44377</v>
      </c>
      <c r="D1383" s="1" t="s">
        <v>56</v>
      </c>
      <c r="E1383" s="2" t="s">
        <v>404</v>
      </c>
      <c r="F1383" s="1"/>
      <c r="G1383" s="2">
        <v>56</v>
      </c>
      <c r="H1383" s="1"/>
      <c r="I1383" t="s">
        <v>0</v>
      </c>
      <c r="J1383" t="s">
        <v>64</v>
      </c>
      <c r="K1383" t="s">
        <v>367</v>
      </c>
      <c r="L1383" t="s">
        <v>69</v>
      </c>
      <c r="M1383" s="3" t="s">
        <v>1361</v>
      </c>
      <c r="N1383" s="20" t="s">
        <v>1378</v>
      </c>
    </row>
    <row r="1384" spans="1:14" hidden="1" x14ac:dyDescent="0.25">
      <c r="A1384" s="1" t="str">
        <f>VLOOKUP(Table2[[#This Row],[Prod Line ]],Lists!A:E,5,0)</f>
        <v>b</v>
      </c>
      <c r="B1384" s="1">
        <v>44378</v>
      </c>
      <c r="C1384" s="1">
        <v>44377</v>
      </c>
      <c r="D1384" s="1" t="s">
        <v>58</v>
      </c>
      <c r="E1384" s="2" t="s">
        <v>404</v>
      </c>
      <c r="F1384" s="1"/>
      <c r="G1384" s="2">
        <v>14</v>
      </c>
      <c r="H1384" s="1"/>
      <c r="I1384" t="s">
        <v>0</v>
      </c>
      <c r="J1384" t="s">
        <v>65</v>
      </c>
      <c r="K1384" t="s">
        <v>28</v>
      </c>
      <c r="L1384" t="s">
        <v>70</v>
      </c>
      <c r="M1384" s="3" t="s">
        <v>1362</v>
      </c>
    </row>
    <row r="1385" spans="1:14" hidden="1" x14ac:dyDescent="0.25">
      <c r="A1385" s="1" t="str">
        <f>VLOOKUP(Table2[[#This Row],[Prod Line ]],Lists!A:E,5,0)</f>
        <v>b</v>
      </c>
      <c r="B1385" s="1">
        <v>44378</v>
      </c>
      <c r="C1385" s="1">
        <v>44377</v>
      </c>
      <c r="D1385" s="1" t="s">
        <v>58</v>
      </c>
      <c r="E1385" s="2" t="s">
        <v>404</v>
      </c>
      <c r="F1385" s="1"/>
      <c r="G1385" s="2">
        <v>6</v>
      </c>
      <c r="H1385" s="1"/>
      <c r="I1385" t="s">
        <v>1</v>
      </c>
      <c r="J1385" t="s">
        <v>2</v>
      </c>
      <c r="K1385" t="s">
        <v>587</v>
      </c>
      <c r="L1385" t="s">
        <v>349</v>
      </c>
      <c r="M1385" s="3" t="s">
        <v>575</v>
      </c>
    </row>
    <row r="1386" spans="1:14" hidden="1" x14ac:dyDescent="0.25">
      <c r="A1386" s="1" t="str">
        <f>VLOOKUP(Table2[[#This Row],[Prod Line ]],Lists!A:E,5,0)</f>
        <v>b</v>
      </c>
      <c r="B1386" s="1">
        <v>44378</v>
      </c>
      <c r="C1386" s="1">
        <v>44377</v>
      </c>
      <c r="D1386" s="1" t="s">
        <v>58</v>
      </c>
      <c r="E1386" s="2" t="s">
        <v>405</v>
      </c>
      <c r="F1386" s="1"/>
      <c r="G1386" s="2">
        <v>39</v>
      </c>
      <c r="H1386" s="1"/>
      <c r="I1386" t="s">
        <v>1</v>
      </c>
      <c r="J1386" t="s">
        <v>65</v>
      </c>
      <c r="K1386" t="s">
        <v>1363</v>
      </c>
      <c r="L1386" t="s">
        <v>441</v>
      </c>
      <c r="M1386" s="3" t="s">
        <v>1011</v>
      </c>
    </row>
    <row r="1387" spans="1:14" hidden="1" x14ac:dyDescent="0.25">
      <c r="A1387" s="1" t="str">
        <f>VLOOKUP(Table2[[#This Row],[Prod Line ]],Lists!A:E,5,0)</f>
        <v>b</v>
      </c>
      <c r="B1387" s="1">
        <v>44378</v>
      </c>
      <c r="C1387" s="1">
        <v>44377</v>
      </c>
      <c r="D1387" s="1" t="s">
        <v>58</v>
      </c>
      <c r="E1387" s="2" t="s">
        <v>405</v>
      </c>
      <c r="F1387" s="1"/>
      <c r="G1387" s="2">
        <v>30</v>
      </c>
      <c r="H1387" s="1"/>
      <c r="I1387" t="s">
        <v>1</v>
      </c>
      <c r="J1387" t="s">
        <v>2</v>
      </c>
      <c r="K1387" t="s">
        <v>587</v>
      </c>
      <c r="L1387" t="s">
        <v>349</v>
      </c>
      <c r="M1387" s="3" t="s">
        <v>575</v>
      </c>
    </row>
    <row r="1388" spans="1:14" hidden="1" x14ac:dyDescent="0.25">
      <c r="A1388" s="1" t="str">
        <f>VLOOKUP(Table2[[#This Row],[Prod Line ]],Lists!A:E,5,0)</f>
        <v>c</v>
      </c>
      <c r="B1388" s="1">
        <v>44378</v>
      </c>
      <c r="C1388" s="1">
        <v>44377</v>
      </c>
      <c r="D1388" s="1" t="s">
        <v>60</v>
      </c>
      <c r="E1388" s="2" t="s">
        <v>405</v>
      </c>
      <c r="F1388" s="1"/>
      <c r="G1388" s="2">
        <v>130</v>
      </c>
      <c r="H1388" s="1"/>
      <c r="I1388" t="s">
        <v>0</v>
      </c>
      <c r="J1388" t="s">
        <v>65</v>
      </c>
      <c r="K1388" t="s">
        <v>1364</v>
      </c>
      <c r="L1388" t="s">
        <v>69</v>
      </c>
      <c r="M1388" s="3" t="s">
        <v>1365</v>
      </c>
      <c r="N1388" s="20" t="s">
        <v>1380</v>
      </c>
    </row>
    <row r="1389" spans="1:14" hidden="1" x14ac:dyDescent="0.25">
      <c r="A1389" s="1" t="str">
        <f>VLOOKUP(Table2[[#This Row],[Prod Line ]],Lists!A:E,5,0)</f>
        <v>d</v>
      </c>
      <c r="B1389" s="1">
        <v>44378</v>
      </c>
      <c r="C1389" s="1">
        <v>44377</v>
      </c>
      <c r="D1389" s="1" t="s">
        <v>62</v>
      </c>
      <c r="E1389" s="2" t="s">
        <v>406</v>
      </c>
      <c r="F1389" s="1"/>
      <c r="G1389" s="2">
        <v>13</v>
      </c>
      <c r="H1389" s="1"/>
      <c r="I1389" t="s">
        <v>1</v>
      </c>
      <c r="J1389" t="s">
        <v>2</v>
      </c>
      <c r="K1389" t="s">
        <v>587</v>
      </c>
      <c r="L1389" t="s">
        <v>349</v>
      </c>
      <c r="M1389" s="3" t="s">
        <v>575</v>
      </c>
    </row>
    <row r="1390" spans="1:14" hidden="1" x14ac:dyDescent="0.25">
      <c r="A1390" s="1" t="str">
        <f>VLOOKUP(Table2[[#This Row],[Prod Line ]],Lists!A:E,5,0)</f>
        <v>d</v>
      </c>
      <c r="B1390" s="1">
        <v>44378</v>
      </c>
      <c r="C1390" s="1">
        <v>44377</v>
      </c>
      <c r="D1390" s="1" t="s">
        <v>62</v>
      </c>
      <c r="E1390" s="2" t="s">
        <v>406</v>
      </c>
      <c r="F1390" s="1"/>
      <c r="G1390" s="2">
        <v>2</v>
      </c>
      <c r="H1390" s="1"/>
      <c r="I1390" t="s">
        <v>1</v>
      </c>
      <c r="J1390" t="s">
        <v>64</v>
      </c>
      <c r="K1390" t="s">
        <v>379</v>
      </c>
      <c r="L1390" t="s">
        <v>407</v>
      </c>
      <c r="M1390" s="3" t="s">
        <v>833</v>
      </c>
    </row>
    <row r="1391" spans="1:14" hidden="1" x14ac:dyDescent="0.25">
      <c r="A1391" s="1" t="str">
        <f>VLOOKUP(Table2[[#This Row],[Prod Line ]],Lists!A:E,5,0)</f>
        <v>d</v>
      </c>
      <c r="B1391" s="1">
        <v>44378</v>
      </c>
      <c r="C1391" s="1">
        <v>44377</v>
      </c>
      <c r="D1391" s="1" t="s">
        <v>62</v>
      </c>
      <c r="E1391" s="2" t="s">
        <v>406</v>
      </c>
      <c r="F1391" s="1"/>
      <c r="G1391" s="2">
        <v>8</v>
      </c>
      <c r="H1391" s="1"/>
      <c r="I1391" t="s">
        <v>1</v>
      </c>
      <c r="J1391" t="s">
        <v>5</v>
      </c>
      <c r="K1391" t="s">
        <v>1366</v>
      </c>
      <c r="L1391" t="s">
        <v>407</v>
      </c>
      <c r="M1391" s="3" t="s">
        <v>1189</v>
      </c>
    </row>
    <row r="1392" spans="1:14" hidden="1" x14ac:dyDescent="0.25">
      <c r="A1392" s="1" t="str">
        <f>VLOOKUP(Table2[[#This Row],[Prod Line ]],Lists!A:E,5,0)</f>
        <v>d</v>
      </c>
      <c r="B1392" s="1">
        <v>44378</v>
      </c>
      <c r="C1392" s="1">
        <v>44377</v>
      </c>
      <c r="D1392" s="1" t="s">
        <v>62</v>
      </c>
      <c r="E1392" s="2" t="s">
        <v>405</v>
      </c>
      <c r="F1392" s="1"/>
      <c r="G1392" s="2">
        <v>25</v>
      </c>
      <c r="H1392" s="1"/>
      <c r="I1392" t="s">
        <v>1</v>
      </c>
      <c r="J1392" t="s">
        <v>5</v>
      </c>
      <c r="K1392" t="s">
        <v>1366</v>
      </c>
      <c r="L1392" t="s">
        <v>407</v>
      </c>
      <c r="M1392" s="3" t="s">
        <v>1189</v>
      </c>
    </row>
    <row r="1393" spans="1:14" hidden="1" x14ac:dyDescent="0.25">
      <c r="A1393" s="1" t="str">
        <f>VLOOKUP(Table2[[#This Row],[Prod Line ]],Lists!A:E,5,0)</f>
        <v>a</v>
      </c>
      <c r="B1393" s="1">
        <v>44379</v>
      </c>
      <c r="C1393" s="1">
        <v>44378</v>
      </c>
      <c r="D1393" s="1" t="s">
        <v>56</v>
      </c>
      <c r="E1393" s="2" t="s">
        <v>404</v>
      </c>
      <c r="F1393" s="1"/>
      <c r="G1393" s="2">
        <v>70</v>
      </c>
      <c r="H1393" s="1"/>
      <c r="I1393" t="s">
        <v>0</v>
      </c>
      <c r="J1393" t="s">
        <v>64</v>
      </c>
      <c r="K1393" t="s">
        <v>367</v>
      </c>
      <c r="L1393" t="s">
        <v>69</v>
      </c>
      <c r="M1393" s="3" t="s">
        <v>1361</v>
      </c>
      <c r="N1393" s="20" t="s">
        <v>1378</v>
      </c>
    </row>
    <row r="1394" spans="1:14" hidden="1" x14ac:dyDescent="0.25">
      <c r="A1394" s="1" t="str">
        <f>VLOOKUP(Table2[[#This Row],[Prod Line ]],Lists!A:E,5,0)</f>
        <v>a</v>
      </c>
      <c r="B1394" s="1">
        <v>44379</v>
      </c>
      <c r="C1394" s="1">
        <v>44378</v>
      </c>
      <c r="D1394" s="1" t="s">
        <v>56</v>
      </c>
      <c r="E1394" s="2" t="s">
        <v>404</v>
      </c>
      <c r="F1394" s="1"/>
      <c r="G1394" s="2">
        <v>3</v>
      </c>
      <c r="H1394" s="1"/>
      <c r="I1394" t="s">
        <v>1</v>
      </c>
      <c r="J1394" t="s">
        <v>64</v>
      </c>
      <c r="K1394" t="s">
        <v>381</v>
      </c>
      <c r="L1394" t="s">
        <v>407</v>
      </c>
      <c r="M1394" s="3" t="s">
        <v>1367</v>
      </c>
    </row>
    <row r="1395" spans="1:14" hidden="1" x14ac:dyDescent="0.25">
      <c r="A1395" s="1" t="str">
        <f>VLOOKUP(Table2[[#This Row],[Prod Line ]],Lists!A:E,5,0)</f>
        <v>b</v>
      </c>
      <c r="B1395" s="1">
        <v>44379</v>
      </c>
      <c r="C1395" s="1">
        <v>44378</v>
      </c>
      <c r="D1395" s="1" t="s">
        <v>58</v>
      </c>
      <c r="E1395" s="2" t="s">
        <v>405</v>
      </c>
      <c r="F1395" s="1"/>
      <c r="G1395" s="2">
        <v>34</v>
      </c>
      <c r="H1395" s="1"/>
      <c r="I1395" t="s">
        <v>1</v>
      </c>
      <c r="J1395" t="s">
        <v>65</v>
      </c>
      <c r="K1395" t="s">
        <v>1363</v>
      </c>
      <c r="L1395" t="s">
        <v>441</v>
      </c>
      <c r="M1395" s="3" t="s">
        <v>1011</v>
      </c>
    </row>
    <row r="1396" spans="1:14" hidden="1" x14ac:dyDescent="0.25">
      <c r="A1396" s="1" t="str">
        <f>VLOOKUP(Table2[[#This Row],[Prod Line ]],Lists!A:E,5,0)</f>
        <v>b</v>
      </c>
      <c r="B1396" s="1">
        <v>44379</v>
      </c>
      <c r="C1396" s="1">
        <v>44378</v>
      </c>
      <c r="D1396" s="1" t="s">
        <v>58</v>
      </c>
      <c r="E1396" s="2" t="s">
        <v>405</v>
      </c>
      <c r="F1396" s="1"/>
      <c r="G1396" s="2">
        <v>12</v>
      </c>
      <c r="H1396" s="1"/>
      <c r="I1396" t="s">
        <v>1</v>
      </c>
      <c r="J1396" t="s">
        <v>64</v>
      </c>
      <c r="K1396" t="s">
        <v>1368</v>
      </c>
      <c r="L1396" t="s">
        <v>407</v>
      </c>
      <c r="M1396" s="3" t="s">
        <v>768</v>
      </c>
    </row>
    <row r="1397" spans="1:14" hidden="1" x14ac:dyDescent="0.25">
      <c r="A1397" s="1" t="str">
        <f>VLOOKUP(Table2[[#This Row],[Prod Line ]],Lists!A:E,5,0)</f>
        <v>b</v>
      </c>
      <c r="B1397" s="1">
        <v>44379</v>
      </c>
      <c r="C1397" s="1">
        <v>44378</v>
      </c>
      <c r="D1397" s="1" t="s">
        <v>58</v>
      </c>
      <c r="E1397" s="2" t="s">
        <v>405</v>
      </c>
      <c r="F1397" s="1"/>
      <c r="G1397" s="2">
        <v>17</v>
      </c>
      <c r="H1397" s="1"/>
      <c r="I1397" t="s">
        <v>1</v>
      </c>
      <c r="J1397" t="s">
        <v>2</v>
      </c>
      <c r="K1397" t="s">
        <v>587</v>
      </c>
      <c r="L1397" t="s">
        <v>349</v>
      </c>
      <c r="M1397" s="3" t="s">
        <v>575</v>
      </c>
    </row>
    <row r="1398" spans="1:14" hidden="1" x14ac:dyDescent="0.25">
      <c r="A1398" s="1" t="str">
        <f>VLOOKUP(Table2[[#This Row],[Prod Line ]],Lists!A:E,5,0)</f>
        <v>b</v>
      </c>
      <c r="B1398" s="1">
        <v>44379</v>
      </c>
      <c r="C1398" s="1">
        <v>44378</v>
      </c>
      <c r="D1398" s="1" t="s">
        <v>58</v>
      </c>
      <c r="E1398" s="2" t="s">
        <v>405</v>
      </c>
      <c r="F1398" s="1"/>
      <c r="G1398" s="2">
        <v>27</v>
      </c>
      <c r="H1398" s="1"/>
      <c r="I1398" t="s">
        <v>0</v>
      </c>
      <c r="J1398" t="s">
        <v>64</v>
      </c>
      <c r="K1398" t="s">
        <v>20</v>
      </c>
      <c r="L1398" t="s">
        <v>70</v>
      </c>
      <c r="M1398" s="3" t="s">
        <v>1369</v>
      </c>
      <c r="N1398" s="20" t="s">
        <v>1379</v>
      </c>
    </row>
    <row r="1399" spans="1:14" hidden="1" x14ac:dyDescent="0.25">
      <c r="A1399" s="1" t="str">
        <f>VLOOKUP(Table2[[#This Row],[Prod Line ]],Lists!A:E,5,0)</f>
        <v>b</v>
      </c>
      <c r="B1399" s="1">
        <v>44379</v>
      </c>
      <c r="C1399" s="1">
        <v>44378</v>
      </c>
      <c r="D1399" s="1" t="s">
        <v>58</v>
      </c>
      <c r="E1399" s="2" t="s">
        <v>405</v>
      </c>
      <c r="F1399" s="1"/>
      <c r="G1399" s="2">
        <v>6</v>
      </c>
      <c r="H1399" s="1"/>
      <c r="I1399" t="s">
        <v>0</v>
      </c>
      <c r="J1399" t="s">
        <v>64</v>
      </c>
      <c r="K1399" t="s">
        <v>23</v>
      </c>
      <c r="L1399" t="s">
        <v>83</v>
      </c>
      <c r="M1399" s="3" t="s">
        <v>1356</v>
      </c>
    </row>
    <row r="1400" spans="1:14" hidden="1" x14ac:dyDescent="0.25">
      <c r="A1400" s="1" t="str">
        <f>VLOOKUP(Table2[[#This Row],[Prod Line ]],Lists!A:E,5,0)</f>
        <v>c</v>
      </c>
      <c r="B1400" s="1">
        <v>44379</v>
      </c>
      <c r="C1400" s="1">
        <v>44378</v>
      </c>
      <c r="D1400" s="1" t="s">
        <v>60</v>
      </c>
      <c r="E1400" s="2" t="s">
        <v>404</v>
      </c>
      <c r="F1400" s="1"/>
      <c r="G1400" s="2">
        <v>13</v>
      </c>
      <c r="H1400" s="1"/>
      <c r="I1400" t="s">
        <v>0</v>
      </c>
      <c r="J1400" t="s">
        <v>64</v>
      </c>
      <c r="K1400" t="s">
        <v>1370</v>
      </c>
      <c r="L1400" t="s">
        <v>70</v>
      </c>
      <c r="M1400" s="3" t="s">
        <v>1371</v>
      </c>
    </row>
    <row r="1401" spans="1:14" hidden="1" x14ac:dyDescent="0.25">
      <c r="A1401" s="1" t="str">
        <f>VLOOKUP(Table2[[#This Row],[Prod Line ]],Lists!A:E,5,0)</f>
        <v>c</v>
      </c>
      <c r="B1401" s="1">
        <v>44379</v>
      </c>
      <c r="C1401" s="1">
        <v>44378</v>
      </c>
      <c r="D1401" s="1" t="s">
        <v>60</v>
      </c>
      <c r="E1401" s="2" t="s">
        <v>405</v>
      </c>
      <c r="F1401" s="1"/>
      <c r="G1401" s="2">
        <v>10</v>
      </c>
      <c r="H1401" s="1"/>
      <c r="I1401" t="s">
        <v>1</v>
      </c>
      <c r="J1401" t="s">
        <v>2</v>
      </c>
      <c r="K1401" t="s">
        <v>2</v>
      </c>
      <c r="L1401" t="s">
        <v>407</v>
      </c>
      <c r="M1401" s="3" t="s">
        <v>1372</v>
      </c>
    </row>
    <row r="1402" spans="1:14" hidden="1" x14ac:dyDescent="0.25">
      <c r="A1402" s="1" t="str">
        <f>VLOOKUP(Table2[[#This Row],[Prod Line ]],Lists!A:E,5,0)</f>
        <v>c</v>
      </c>
      <c r="B1402" s="1">
        <v>44379</v>
      </c>
      <c r="C1402" s="1">
        <v>44378</v>
      </c>
      <c r="D1402" s="1" t="s">
        <v>60</v>
      </c>
      <c r="E1402" s="2" t="s">
        <v>405</v>
      </c>
      <c r="F1402" s="1"/>
      <c r="G1402" s="2">
        <v>15</v>
      </c>
      <c r="H1402" s="1"/>
      <c r="I1402" t="s">
        <v>1</v>
      </c>
      <c r="J1402" t="s">
        <v>2</v>
      </c>
      <c r="K1402" t="s">
        <v>587</v>
      </c>
      <c r="L1402" t="s">
        <v>349</v>
      </c>
      <c r="M1402" s="3" t="s">
        <v>575</v>
      </c>
    </row>
    <row r="1403" spans="1:14" hidden="1" x14ac:dyDescent="0.25">
      <c r="A1403" s="1" t="str">
        <f>VLOOKUP(Table2[[#This Row],[Prod Line ]],Lists!A:E,5,0)</f>
        <v>d</v>
      </c>
      <c r="B1403" s="1">
        <v>44379</v>
      </c>
      <c r="C1403" s="1">
        <v>44378</v>
      </c>
      <c r="D1403" s="1" t="s">
        <v>62</v>
      </c>
      <c r="E1403" s="2" t="s">
        <v>404</v>
      </c>
      <c r="F1403" s="1"/>
      <c r="G1403" s="2">
        <v>31</v>
      </c>
      <c r="H1403" s="1"/>
      <c r="I1403" t="s">
        <v>1</v>
      </c>
      <c r="J1403" t="s">
        <v>2</v>
      </c>
      <c r="K1403" t="s">
        <v>587</v>
      </c>
      <c r="L1403" t="s">
        <v>407</v>
      </c>
      <c r="M1403" s="3" t="s">
        <v>834</v>
      </c>
    </row>
    <row r="1404" spans="1:14" hidden="1" x14ac:dyDescent="0.25">
      <c r="A1404" s="1" t="str">
        <f>VLOOKUP(Table2[[#This Row],[Prod Line ]],Lists!A:E,5,0)</f>
        <v>d</v>
      </c>
      <c r="B1404" s="1">
        <v>44379</v>
      </c>
      <c r="C1404" s="1">
        <v>44378</v>
      </c>
      <c r="D1404" s="1" t="s">
        <v>62</v>
      </c>
      <c r="E1404" s="2" t="s">
        <v>406</v>
      </c>
      <c r="F1404" s="1"/>
      <c r="G1404" s="2">
        <v>20</v>
      </c>
      <c r="H1404" s="1"/>
      <c r="I1404" t="s">
        <v>1</v>
      </c>
      <c r="J1404" t="s">
        <v>64</v>
      </c>
      <c r="K1404" t="s">
        <v>1373</v>
      </c>
      <c r="L1404" t="s">
        <v>407</v>
      </c>
      <c r="M1404" s="3" t="s">
        <v>1374</v>
      </c>
    </row>
    <row r="1405" spans="1:14" hidden="1" x14ac:dyDescent="0.25">
      <c r="A1405" s="1" t="str">
        <f>VLOOKUP(Table2[[#This Row],[Prod Line ]],Lists!A:E,5,0)</f>
        <v>b</v>
      </c>
      <c r="B1405" s="1">
        <v>44380</v>
      </c>
      <c r="C1405" s="1">
        <v>44379</v>
      </c>
      <c r="D1405" s="1" t="s">
        <v>58</v>
      </c>
      <c r="E1405" s="2" t="s">
        <v>405</v>
      </c>
      <c r="F1405" s="1"/>
      <c r="G1405" s="2">
        <v>20</v>
      </c>
      <c r="H1405" s="1"/>
      <c r="I1405" t="s">
        <v>1</v>
      </c>
      <c r="J1405" t="s">
        <v>64</v>
      </c>
      <c r="K1405" t="s">
        <v>1375</v>
      </c>
      <c r="L1405" t="s">
        <v>407</v>
      </c>
      <c r="M1405" s="3" t="s">
        <v>750</v>
      </c>
    </row>
    <row r="1406" spans="1:14" hidden="1" x14ac:dyDescent="0.25">
      <c r="A1406" s="1" t="str">
        <f>VLOOKUP(Table2[[#This Row],[Prod Line ]],Lists!A:E,5,0)</f>
        <v>b</v>
      </c>
      <c r="B1406" s="1">
        <v>44380</v>
      </c>
      <c r="C1406" s="1">
        <v>44379</v>
      </c>
      <c r="D1406" s="1" t="s">
        <v>58</v>
      </c>
      <c r="E1406" s="2" t="s">
        <v>405</v>
      </c>
      <c r="F1406" s="1"/>
      <c r="G1406" s="2">
        <v>1</v>
      </c>
      <c r="H1406" s="1"/>
      <c r="I1406" t="s">
        <v>1</v>
      </c>
      <c r="J1406" t="s">
        <v>65</v>
      </c>
      <c r="K1406" t="s">
        <v>3</v>
      </c>
      <c r="L1406" t="s">
        <v>350</v>
      </c>
      <c r="M1406" s="3" t="s">
        <v>884</v>
      </c>
    </row>
    <row r="1407" spans="1:14" hidden="1" x14ac:dyDescent="0.25">
      <c r="A1407" s="1" t="str">
        <f>VLOOKUP(Table2[[#This Row],[Prod Line ]],Lists!A:E,5,0)</f>
        <v>d</v>
      </c>
      <c r="B1407" s="1">
        <v>44383</v>
      </c>
      <c r="C1407" s="1">
        <v>44380</v>
      </c>
      <c r="D1407" s="1" t="s">
        <v>62</v>
      </c>
      <c r="E1407" s="2" t="s">
        <v>404</v>
      </c>
      <c r="F1407" s="1"/>
      <c r="G1407" s="2">
        <v>15</v>
      </c>
      <c r="H1407" s="1"/>
      <c r="I1407" t="s">
        <v>0</v>
      </c>
      <c r="J1407" t="s">
        <v>2</v>
      </c>
      <c r="K1407" t="s">
        <v>14</v>
      </c>
      <c r="L1407" t="s">
        <v>70</v>
      </c>
      <c r="M1407" s="3" t="s">
        <v>1381</v>
      </c>
      <c r="N1407" s="20" t="s">
        <v>1415</v>
      </c>
    </row>
    <row r="1408" spans="1:14" hidden="1" x14ac:dyDescent="0.25">
      <c r="A1408" s="1" t="str">
        <f>VLOOKUP(Table2[[#This Row],[Prod Line ]],Lists!A:E,5,0)</f>
        <v>d</v>
      </c>
      <c r="B1408" s="1">
        <v>44384</v>
      </c>
      <c r="C1408" s="1">
        <v>44382</v>
      </c>
      <c r="D1408" s="1" t="s">
        <v>62</v>
      </c>
      <c r="E1408" s="2" t="s">
        <v>1382</v>
      </c>
      <c r="F1408" s="1"/>
      <c r="G1408" s="2">
        <v>13</v>
      </c>
      <c r="H1408" s="1"/>
      <c r="I1408" t="s">
        <v>0</v>
      </c>
      <c r="J1408" t="s">
        <v>5</v>
      </c>
      <c r="K1408" t="s">
        <v>395</v>
      </c>
      <c r="L1408" t="s">
        <v>69</v>
      </c>
      <c r="M1408" s="3" t="s">
        <v>1383</v>
      </c>
      <c r="N1408" s="20" t="s">
        <v>1414</v>
      </c>
    </row>
    <row r="1409" spans="1:14" hidden="1" x14ac:dyDescent="0.25">
      <c r="A1409" s="1" t="str">
        <f>VLOOKUP(Table2[[#This Row],[Prod Line ]],Lists!A:E,5,0)</f>
        <v>d</v>
      </c>
      <c r="B1409" s="1">
        <v>44384</v>
      </c>
      <c r="C1409" s="1">
        <v>44382</v>
      </c>
      <c r="D1409" s="1" t="s">
        <v>62</v>
      </c>
      <c r="E1409" s="2" t="s">
        <v>1382</v>
      </c>
      <c r="F1409" s="1"/>
      <c r="G1409" s="2">
        <v>15</v>
      </c>
      <c r="H1409" s="1"/>
      <c r="I1409" t="s">
        <v>0</v>
      </c>
      <c r="J1409" t="s">
        <v>64</v>
      </c>
      <c r="K1409" t="s">
        <v>379</v>
      </c>
      <c r="L1409" t="s">
        <v>69</v>
      </c>
      <c r="M1409" s="3" t="s">
        <v>1384</v>
      </c>
    </row>
    <row r="1410" spans="1:14" ht="45" hidden="1" x14ac:dyDescent="0.25">
      <c r="A1410" s="1" t="str">
        <f>VLOOKUP(Table2[[#This Row],[Prod Line ]],Lists!A:E,5,0)</f>
        <v>d</v>
      </c>
      <c r="B1410" s="1">
        <v>44386</v>
      </c>
      <c r="C1410" s="1">
        <v>44384</v>
      </c>
      <c r="D1410" s="1" t="s">
        <v>62</v>
      </c>
      <c r="E1410" s="2" t="s">
        <v>404</v>
      </c>
      <c r="F1410" s="1"/>
      <c r="G1410" s="2">
        <v>137</v>
      </c>
      <c r="H1410" s="1"/>
      <c r="I1410" t="s">
        <v>0</v>
      </c>
      <c r="J1410" t="s">
        <v>64</v>
      </c>
      <c r="K1410" t="s">
        <v>379</v>
      </c>
      <c r="L1410" t="s">
        <v>70</v>
      </c>
      <c r="M1410" s="3" t="s">
        <v>1385</v>
      </c>
      <c r="N1410" s="20" t="s">
        <v>1413</v>
      </c>
    </row>
    <row r="1411" spans="1:14" hidden="1" x14ac:dyDescent="0.25">
      <c r="A1411" s="1" t="str">
        <f>VLOOKUP(Table2[[#This Row],[Prod Line ]],Lists!A:E,5,0)</f>
        <v>d</v>
      </c>
      <c r="B1411" s="1">
        <v>44386</v>
      </c>
      <c r="C1411" s="1">
        <v>44384</v>
      </c>
      <c r="D1411" s="1" t="s">
        <v>62</v>
      </c>
      <c r="E1411" s="2" t="s">
        <v>774</v>
      </c>
      <c r="F1411" s="1"/>
      <c r="G1411" s="2">
        <v>10</v>
      </c>
      <c r="H1411" s="1"/>
      <c r="I1411" t="s">
        <v>1</v>
      </c>
      <c r="J1411" t="s">
        <v>2</v>
      </c>
      <c r="K1411" t="s">
        <v>19</v>
      </c>
      <c r="L1411" t="s">
        <v>349</v>
      </c>
      <c r="M1411" s="3"/>
    </row>
    <row r="1412" spans="1:14" hidden="1" x14ac:dyDescent="0.25">
      <c r="A1412" s="1" t="str">
        <f>VLOOKUP(Table2[[#This Row],[Prod Line ]],Lists!A:E,5,0)</f>
        <v>d</v>
      </c>
      <c r="B1412" s="1">
        <v>44386</v>
      </c>
      <c r="C1412" s="1">
        <v>44384</v>
      </c>
      <c r="D1412" s="1" t="s">
        <v>62</v>
      </c>
      <c r="E1412" s="2" t="s">
        <v>406</v>
      </c>
      <c r="F1412" s="1"/>
      <c r="G1412" s="2">
        <v>35</v>
      </c>
      <c r="H1412" s="1"/>
      <c r="I1412" t="s">
        <v>1</v>
      </c>
      <c r="J1412" t="s">
        <v>2</v>
      </c>
      <c r="K1412" t="s">
        <v>19</v>
      </c>
      <c r="L1412" t="s">
        <v>349</v>
      </c>
      <c r="M1412" s="3"/>
    </row>
    <row r="1413" spans="1:14" hidden="1" x14ac:dyDescent="0.25">
      <c r="A1413" s="1" t="str">
        <f>VLOOKUP(Table2[[#This Row],[Prod Line ]],Lists!A:E,5,0)</f>
        <v>d</v>
      </c>
      <c r="B1413" s="1">
        <v>44387</v>
      </c>
      <c r="C1413" s="1">
        <v>44385</v>
      </c>
      <c r="D1413" s="1" t="s">
        <v>62</v>
      </c>
      <c r="E1413" s="2" t="s">
        <v>406</v>
      </c>
      <c r="F1413" s="1"/>
      <c r="G1413" s="2">
        <v>15</v>
      </c>
      <c r="H1413" s="1"/>
      <c r="I1413" t="s">
        <v>1</v>
      </c>
      <c r="J1413" t="s">
        <v>2</v>
      </c>
      <c r="K1413" t="s">
        <v>19</v>
      </c>
      <c r="L1413" t="s">
        <v>349</v>
      </c>
      <c r="M1413" s="3"/>
    </row>
    <row r="1414" spans="1:14" hidden="1" x14ac:dyDescent="0.25">
      <c r="A1414" s="1" t="str">
        <f>VLOOKUP(Table2[[#This Row],[Prod Line ]],Lists!A:E,5,0)</f>
        <v>d</v>
      </c>
      <c r="B1414" s="1">
        <v>44387</v>
      </c>
      <c r="C1414" s="1">
        <v>44385</v>
      </c>
      <c r="D1414" s="1" t="s">
        <v>62</v>
      </c>
      <c r="E1414" s="2" t="s">
        <v>404</v>
      </c>
      <c r="F1414" s="1"/>
      <c r="G1414" s="2">
        <v>15</v>
      </c>
      <c r="H1414" s="1"/>
      <c r="I1414" t="s">
        <v>1</v>
      </c>
      <c r="J1414" t="s">
        <v>67</v>
      </c>
      <c r="K1414" t="s">
        <v>67</v>
      </c>
      <c r="L1414" t="s">
        <v>72</v>
      </c>
      <c r="M1414" s="3" t="s">
        <v>1386</v>
      </c>
    </row>
    <row r="1415" spans="1:14" hidden="1" x14ac:dyDescent="0.25">
      <c r="A1415" s="1" t="str">
        <f>VLOOKUP(Table2[[#This Row],[Prod Line ]],Lists!A:E,5,0)</f>
        <v>c</v>
      </c>
      <c r="B1415" s="1">
        <v>44383</v>
      </c>
      <c r="C1415" s="1">
        <v>44380</v>
      </c>
      <c r="D1415" s="1" t="s">
        <v>60</v>
      </c>
      <c r="E1415" s="2" t="s">
        <v>404</v>
      </c>
      <c r="F1415" s="1"/>
      <c r="G1415" s="2">
        <v>7</v>
      </c>
      <c r="H1415" s="1"/>
      <c r="I1415" t="s">
        <v>1</v>
      </c>
      <c r="J1415" t="s">
        <v>64</v>
      </c>
      <c r="K1415" t="s">
        <v>368</v>
      </c>
      <c r="L1415" t="s">
        <v>72</v>
      </c>
      <c r="M1415" s="3" t="s">
        <v>1387</v>
      </c>
    </row>
    <row r="1416" spans="1:14" hidden="1" x14ac:dyDescent="0.25">
      <c r="A1416" s="1" t="str">
        <f>VLOOKUP(Table2[[#This Row],[Prod Line ]],Lists!A:E,5,0)</f>
        <v>c</v>
      </c>
      <c r="B1416" s="1">
        <v>44383</v>
      </c>
      <c r="C1416" s="1">
        <v>44380</v>
      </c>
      <c r="D1416" s="1" t="s">
        <v>60</v>
      </c>
      <c r="E1416" s="2" t="s">
        <v>405</v>
      </c>
      <c r="F1416" s="1"/>
      <c r="G1416" s="2">
        <v>15</v>
      </c>
      <c r="H1416" s="1"/>
      <c r="I1416" t="s">
        <v>1</v>
      </c>
      <c r="J1416" t="s">
        <v>26</v>
      </c>
      <c r="K1416" t="s">
        <v>26</v>
      </c>
      <c r="L1416" t="s">
        <v>344</v>
      </c>
      <c r="M1416" s="3" t="s">
        <v>1388</v>
      </c>
    </row>
    <row r="1417" spans="1:14" hidden="1" x14ac:dyDescent="0.25">
      <c r="A1417" s="1" t="str">
        <f>VLOOKUP(Table2[[#This Row],[Prod Line ]],Lists!A:E,5,0)</f>
        <v>c</v>
      </c>
      <c r="B1417" s="1">
        <v>44384</v>
      </c>
      <c r="C1417" s="1">
        <v>44382</v>
      </c>
      <c r="D1417" s="1" t="s">
        <v>60</v>
      </c>
      <c r="E1417" s="2" t="s">
        <v>404</v>
      </c>
      <c r="F1417" s="1"/>
      <c r="G1417" s="2">
        <v>8</v>
      </c>
      <c r="H1417" s="1"/>
      <c r="I1417" t="s">
        <v>1</v>
      </c>
      <c r="J1417" t="s">
        <v>2</v>
      </c>
      <c r="K1417" t="s">
        <v>378</v>
      </c>
      <c r="L1417" t="s">
        <v>345</v>
      </c>
      <c r="M1417" s="3" t="s">
        <v>1389</v>
      </c>
    </row>
    <row r="1418" spans="1:14" hidden="1" x14ac:dyDescent="0.25">
      <c r="A1418" s="1" t="str">
        <f>VLOOKUP(Table2[[#This Row],[Prod Line ]],Lists!A:E,5,0)</f>
        <v>c</v>
      </c>
      <c r="B1418" s="1">
        <v>44384</v>
      </c>
      <c r="C1418" s="1">
        <v>44382</v>
      </c>
      <c r="D1418" s="1" t="s">
        <v>60</v>
      </c>
      <c r="E1418" s="2" t="s">
        <v>404</v>
      </c>
      <c r="F1418" s="1"/>
      <c r="G1418" s="2">
        <v>20</v>
      </c>
      <c r="H1418" s="1"/>
      <c r="I1418" t="s">
        <v>1</v>
      </c>
      <c r="J1418" t="s">
        <v>2</v>
      </c>
      <c r="K1418" t="s">
        <v>378</v>
      </c>
      <c r="L1418" t="s">
        <v>349</v>
      </c>
      <c r="M1418" s="3" t="s">
        <v>604</v>
      </c>
    </row>
    <row r="1419" spans="1:14" hidden="1" x14ac:dyDescent="0.25">
      <c r="A1419" s="1" t="str">
        <f>VLOOKUP(Table2[[#This Row],[Prod Line ]],Lists!A:E,5,0)</f>
        <v>c</v>
      </c>
      <c r="B1419" s="1">
        <v>44384</v>
      </c>
      <c r="C1419" s="1">
        <v>44382</v>
      </c>
      <c r="D1419" s="1" t="s">
        <v>60</v>
      </c>
      <c r="E1419" s="2" t="s">
        <v>404</v>
      </c>
      <c r="F1419" s="1"/>
      <c r="G1419" s="2">
        <v>77</v>
      </c>
      <c r="H1419" s="1"/>
      <c r="I1419" t="s">
        <v>1</v>
      </c>
      <c r="J1419" t="s">
        <v>2</v>
      </c>
      <c r="K1419" t="s">
        <v>378</v>
      </c>
      <c r="L1419" t="s">
        <v>345</v>
      </c>
      <c r="M1419" s="3" t="s">
        <v>1390</v>
      </c>
    </row>
    <row r="1420" spans="1:14" hidden="1" x14ac:dyDescent="0.25">
      <c r="A1420" s="1" t="str">
        <f>VLOOKUP(Table2[[#This Row],[Prod Line ]],Lists!A:E,5,0)</f>
        <v>c</v>
      </c>
      <c r="B1420" s="1">
        <v>44387</v>
      </c>
      <c r="C1420" s="1">
        <v>44385</v>
      </c>
      <c r="D1420" s="1" t="s">
        <v>60</v>
      </c>
      <c r="E1420" s="2" t="s">
        <v>405</v>
      </c>
      <c r="F1420" s="1"/>
      <c r="G1420" s="2">
        <v>15</v>
      </c>
      <c r="H1420" s="1"/>
      <c r="I1420" t="s">
        <v>1</v>
      </c>
      <c r="J1420" t="s">
        <v>2</v>
      </c>
      <c r="K1420" t="s">
        <v>378</v>
      </c>
      <c r="L1420" t="s">
        <v>349</v>
      </c>
      <c r="M1420" s="3" t="s">
        <v>557</v>
      </c>
    </row>
    <row r="1421" spans="1:14" hidden="1" x14ac:dyDescent="0.25">
      <c r="A1421" s="1" t="str">
        <f>VLOOKUP(Table2[[#This Row],[Prod Line ]],Lists!A:E,5,0)</f>
        <v>b</v>
      </c>
      <c r="B1421" s="1">
        <v>44383</v>
      </c>
      <c r="C1421" s="1">
        <v>44380</v>
      </c>
      <c r="D1421" s="1" t="s">
        <v>58</v>
      </c>
      <c r="E1421" s="2" t="s">
        <v>406</v>
      </c>
      <c r="F1421" s="1"/>
      <c r="G1421" s="2">
        <v>16</v>
      </c>
      <c r="H1421" s="1"/>
      <c r="I1421" t="s">
        <v>0</v>
      </c>
      <c r="J1421" t="s">
        <v>26</v>
      </c>
      <c r="K1421" t="s">
        <v>26</v>
      </c>
      <c r="L1421" t="s">
        <v>70</v>
      </c>
      <c r="M1421" s="3" t="s">
        <v>1391</v>
      </c>
    </row>
    <row r="1422" spans="1:14" hidden="1" x14ac:dyDescent="0.25">
      <c r="A1422" s="1" t="str">
        <f>VLOOKUP(Table2[[#This Row],[Prod Line ]],Lists!A:E,5,0)</f>
        <v>b</v>
      </c>
      <c r="B1422" s="1">
        <v>44383</v>
      </c>
      <c r="C1422" s="1">
        <v>44380</v>
      </c>
      <c r="D1422" s="1" t="s">
        <v>58</v>
      </c>
      <c r="E1422" s="2" t="s">
        <v>406</v>
      </c>
      <c r="F1422" s="1"/>
      <c r="G1422" s="2">
        <v>15</v>
      </c>
      <c r="H1422" s="1"/>
      <c r="I1422" t="s">
        <v>0</v>
      </c>
      <c r="J1422" t="s">
        <v>64</v>
      </c>
      <c r="K1422" t="s">
        <v>20</v>
      </c>
      <c r="L1422" t="s">
        <v>70</v>
      </c>
      <c r="M1422" s="3" t="s">
        <v>1392</v>
      </c>
    </row>
    <row r="1423" spans="1:14" ht="45" hidden="1" x14ac:dyDescent="0.25">
      <c r="A1423" s="1" t="str">
        <f>VLOOKUP(Table2[[#This Row],[Prod Line ]],Lists!A:E,5,0)</f>
        <v>b</v>
      </c>
      <c r="B1423" s="1">
        <v>44383</v>
      </c>
      <c r="C1423" s="1">
        <v>44380</v>
      </c>
      <c r="D1423" s="1" t="s">
        <v>58</v>
      </c>
      <c r="E1423" s="2" t="s">
        <v>404</v>
      </c>
      <c r="F1423" s="1"/>
      <c r="G1423" s="2">
        <v>81</v>
      </c>
      <c r="H1423" s="1"/>
      <c r="I1423" t="s">
        <v>0</v>
      </c>
      <c r="J1423" t="s">
        <v>64</v>
      </c>
      <c r="K1423" t="s">
        <v>21</v>
      </c>
      <c r="L1423" t="s">
        <v>70</v>
      </c>
      <c r="M1423" s="3" t="s">
        <v>1393</v>
      </c>
      <c r="N1423" s="20" t="s">
        <v>1412</v>
      </c>
    </row>
    <row r="1424" spans="1:14" hidden="1" x14ac:dyDescent="0.25">
      <c r="A1424" s="1" t="str">
        <f>VLOOKUP(Table2[[#This Row],[Prod Line ]],Lists!A:E,5,0)</f>
        <v>b</v>
      </c>
      <c r="B1424" s="1">
        <v>44383</v>
      </c>
      <c r="C1424" s="1">
        <v>44380</v>
      </c>
      <c r="D1424" s="1" t="s">
        <v>58</v>
      </c>
      <c r="E1424" s="2" t="s">
        <v>405</v>
      </c>
      <c r="F1424" s="1"/>
      <c r="G1424" s="2">
        <v>11</v>
      </c>
      <c r="H1424" s="1"/>
      <c r="I1424" t="s">
        <v>1</v>
      </c>
      <c r="J1424" t="s">
        <v>26</v>
      </c>
      <c r="K1424" t="s">
        <v>25</v>
      </c>
      <c r="L1424" t="s">
        <v>441</v>
      </c>
      <c r="M1424" s="3"/>
    </row>
    <row r="1425" spans="1:14" hidden="1" x14ac:dyDescent="0.25">
      <c r="A1425" s="1" t="str">
        <f>VLOOKUP(Table2[[#This Row],[Prod Line ]],Lists!A:E,5,0)</f>
        <v>b</v>
      </c>
      <c r="B1425" s="1">
        <v>44383</v>
      </c>
      <c r="C1425" s="1">
        <v>44380</v>
      </c>
      <c r="D1425" s="1" t="s">
        <v>58</v>
      </c>
      <c r="E1425" s="2" t="s">
        <v>406</v>
      </c>
      <c r="F1425" s="1"/>
      <c r="G1425" s="2">
        <v>12</v>
      </c>
      <c r="H1425" s="1"/>
      <c r="I1425" t="s">
        <v>1</v>
      </c>
      <c r="J1425" t="s">
        <v>66</v>
      </c>
      <c r="K1425" t="s">
        <v>4</v>
      </c>
      <c r="L1425" t="s">
        <v>72</v>
      </c>
      <c r="M1425" s="3" t="s">
        <v>1394</v>
      </c>
    </row>
    <row r="1426" spans="1:14" hidden="1" x14ac:dyDescent="0.25">
      <c r="A1426" s="1" t="str">
        <f>VLOOKUP(Table2[[#This Row],[Prod Line ]],Lists!A:E,5,0)</f>
        <v>b</v>
      </c>
      <c r="B1426" s="1">
        <v>44383</v>
      </c>
      <c r="C1426" s="1">
        <v>44380</v>
      </c>
      <c r="D1426" s="1" t="s">
        <v>58</v>
      </c>
      <c r="E1426" s="2" t="s">
        <v>406</v>
      </c>
      <c r="F1426" s="1"/>
      <c r="G1426" s="2">
        <v>18</v>
      </c>
      <c r="H1426" s="1"/>
      <c r="I1426" t="s">
        <v>1</v>
      </c>
      <c r="J1426" t="s">
        <v>2</v>
      </c>
      <c r="K1426" t="s">
        <v>19</v>
      </c>
      <c r="L1426" t="s">
        <v>72</v>
      </c>
      <c r="M1426" s="3" t="s">
        <v>1395</v>
      </c>
    </row>
    <row r="1427" spans="1:14" hidden="1" x14ac:dyDescent="0.25">
      <c r="A1427" s="1" t="str">
        <f>VLOOKUP(Table2[[#This Row],[Prod Line ]],Lists!A:E,5,0)</f>
        <v>b</v>
      </c>
      <c r="B1427" s="1">
        <v>44383</v>
      </c>
      <c r="C1427" s="1">
        <v>44380</v>
      </c>
      <c r="D1427" s="1" t="s">
        <v>58</v>
      </c>
      <c r="E1427" s="2" t="s">
        <v>404</v>
      </c>
      <c r="F1427" s="1"/>
      <c r="G1427" s="2">
        <v>30</v>
      </c>
      <c r="H1427" s="1"/>
      <c r="I1427" t="s">
        <v>1</v>
      </c>
      <c r="J1427" t="s">
        <v>26</v>
      </c>
      <c r="K1427" t="s">
        <v>25</v>
      </c>
      <c r="L1427" t="s">
        <v>441</v>
      </c>
      <c r="M1427" s="3" t="s">
        <v>1396</v>
      </c>
    </row>
    <row r="1428" spans="1:14" hidden="1" x14ac:dyDescent="0.25">
      <c r="A1428" s="1" t="str">
        <f>VLOOKUP(Table2[[#This Row],[Prod Line ]],Lists!A:E,5,0)</f>
        <v>b</v>
      </c>
      <c r="B1428" s="1">
        <v>44383</v>
      </c>
      <c r="C1428" s="1">
        <v>44380</v>
      </c>
      <c r="D1428" s="1" t="s">
        <v>58</v>
      </c>
      <c r="E1428" s="2" t="s">
        <v>404</v>
      </c>
      <c r="F1428" s="1"/>
      <c r="G1428" s="2">
        <v>35</v>
      </c>
      <c r="H1428" s="1"/>
      <c r="I1428" t="s">
        <v>1</v>
      </c>
      <c r="J1428" t="s">
        <v>2</v>
      </c>
      <c r="K1428" t="s">
        <v>19</v>
      </c>
      <c r="L1428" t="s">
        <v>72</v>
      </c>
      <c r="M1428" s="3" t="s">
        <v>1397</v>
      </c>
    </row>
    <row r="1429" spans="1:14" hidden="1" x14ac:dyDescent="0.25">
      <c r="A1429" s="1" t="str">
        <f>VLOOKUP(Table2[[#This Row],[Prod Line ]],Lists!A:E,5,0)</f>
        <v>b</v>
      </c>
      <c r="B1429" s="1">
        <v>44384</v>
      </c>
      <c r="C1429" s="1">
        <v>44382</v>
      </c>
      <c r="D1429" s="1" t="s">
        <v>58</v>
      </c>
      <c r="E1429" s="2" t="s">
        <v>405</v>
      </c>
      <c r="F1429" s="1"/>
      <c r="G1429" s="2">
        <v>11</v>
      </c>
      <c r="H1429" s="1"/>
      <c r="I1429" t="s">
        <v>0</v>
      </c>
      <c r="J1429" t="s">
        <v>64</v>
      </c>
      <c r="K1429" t="s">
        <v>24</v>
      </c>
      <c r="L1429" t="s">
        <v>69</v>
      </c>
      <c r="M1429" s="3" t="s">
        <v>1398</v>
      </c>
    </row>
    <row r="1430" spans="1:14" hidden="1" x14ac:dyDescent="0.25">
      <c r="A1430" s="1" t="str">
        <f>VLOOKUP(Table2[[#This Row],[Prod Line ]],Lists!A:E,5,0)</f>
        <v>b</v>
      </c>
      <c r="B1430" s="1">
        <v>44386</v>
      </c>
      <c r="C1430" s="1">
        <v>44384</v>
      </c>
      <c r="D1430" s="1" t="s">
        <v>58</v>
      </c>
      <c r="E1430" s="2" t="s">
        <v>406</v>
      </c>
      <c r="F1430" s="1"/>
      <c r="G1430" s="2">
        <v>22</v>
      </c>
      <c r="H1430" s="1"/>
      <c r="I1430" t="s">
        <v>1</v>
      </c>
      <c r="J1430" t="s">
        <v>2</v>
      </c>
      <c r="K1430" t="s">
        <v>19</v>
      </c>
      <c r="L1430" t="s">
        <v>349</v>
      </c>
      <c r="M1430" s="3" t="s">
        <v>557</v>
      </c>
    </row>
    <row r="1431" spans="1:14" hidden="1" x14ac:dyDescent="0.25">
      <c r="A1431" s="1" t="str">
        <f>VLOOKUP(Table2[[#This Row],[Prod Line ]],Lists!A:E,5,0)</f>
        <v>b</v>
      </c>
      <c r="B1431" s="1">
        <v>44386</v>
      </c>
      <c r="C1431" s="1">
        <v>44384</v>
      </c>
      <c r="D1431" s="1" t="s">
        <v>58</v>
      </c>
      <c r="E1431" s="2" t="s">
        <v>406</v>
      </c>
      <c r="F1431" s="1"/>
      <c r="G1431" s="2">
        <v>10</v>
      </c>
      <c r="H1431" s="1"/>
      <c r="I1431" t="s">
        <v>0</v>
      </c>
      <c r="J1431" t="s">
        <v>64</v>
      </c>
      <c r="K1431" t="s">
        <v>24</v>
      </c>
      <c r="L1431" t="s">
        <v>70</v>
      </c>
      <c r="M1431" s="3" t="s">
        <v>1399</v>
      </c>
    </row>
    <row r="1432" spans="1:14" hidden="1" x14ac:dyDescent="0.25">
      <c r="A1432" s="1" t="str">
        <f>VLOOKUP(Table2[[#This Row],[Prod Line ]],Lists!A:E,5,0)</f>
        <v>b</v>
      </c>
      <c r="B1432" s="1">
        <v>44387</v>
      </c>
      <c r="C1432" s="1">
        <v>44385</v>
      </c>
      <c r="D1432" s="1" t="s">
        <v>58</v>
      </c>
      <c r="E1432" s="2" t="s">
        <v>404</v>
      </c>
      <c r="F1432" s="1"/>
      <c r="G1432" s="2">
        <v>9</v>
      </c>
      <c r="H1432" s="1"/>
      <c r="I1432" t="s">
        <v>1</v>
      </c>
      <c r="J1432" t="s">
        <v>2</v>
      </c>
      <c r="K1432" t="s">
        <v>19</v>
      </c>
      <c r="L1432" t="s">
        <v>349</v>
      </c>
      <c r="M1432" s="3" t="s">
        <v>557</v>
      </c>
    </row>
    <row r="1433" spans="1:14" hidden="1" x14ac:dyDescent="0.25">
      <c r="A1433" s="1" t="str">
        <f>VLOOKUP(Table2[[#This Row],[Prod Line ]],Lists!A:E,5,0)</f>
        <v>a</v>
      </c>
      <c r="B1433" s="1">
        <v>44383</v>
      </c>
      <c r="C1433" s="1">
        <v>44380</v>
      </c>
      <c r="D1433" s="1" t="s">
        <v>56</v>
      </c>
      <c r="E1433" s="2" t="s">
        <v>404</v>
      </c>
      <c r="F1433" s="1"/>
      <c r="G1433" s="2">
        <v>19</v>
      </c>
      <c r="H1433" s="1"/>
      <c r="I1433" t="s">
        <v>0</v>
      </c>
      <c r="J1433" t="s">
        <v>65</v>
      </c>
      <c r="K1433" t="s">
        <v>3</v>
      </c>
      <c r="L1433" t="s">
        <v>69</v>
      </c>
      <c r="M1433" s="3" t="s">
        <v>1400</v>
      </c>
      <c r="N1433" s="20" t="s">
        <v>1411</v>
      </c>
    </row>
    <row r="1434" spans="1:14" hidden="1" x14ac:dyDescent="0.25">
      <c r="A1434" s="1" t="str">
        <f>VLOOKUP(Table2[[#This Row],[Prod Line ]],Lists!A:E,5,0)</f>
        <v>a</v>
      </c>
      <c r="B1434" s="1">
        <v>44383</v>
      </c>
      <c r="C1434" s="1">
        <v>44380</v>
      </c>
      <c r="D1434" s="1" t="s">
        <v>56</v>
      </c>
      <c r="E1434" s="2" t="s">
        <v>404</v>
      </c>
      <c r="F1434" s="1"/>
      <c r="G1434" s="2">
        <v>11</v>
      </c>
      <c r="H1434" s="1"/>
      <c r="I1434" t="s">
        <v>1</v>
      </c>
      <c r="J1434" t="s">
        <v>64</v>
      </c>
      <c r="K1434" t="s">
        <v>370</v>
      </c>
      <c r="L1434" t="s">
        <v>350</v>
      </c>
      <c r="M1434" s="3" t="s">
        <v>1401</v>
      </c>
    </row>
    <row r="1435" spans="1:14" hidden="1" x14ac:dyDescent="0.25">
      <c r="A1435" s="1" t="str">
        <f>VLOOKUP(Table2[[#This Row],[Prod Line ]],Lists!A:E,5,0)</f>
        <v>a</v>
      </c>
      <c r="B1435" s="1">
        <v>44383</v>
      </c>
      <c r="C1435" s="1">
        <v>44380</v>
      </c>
      <c r="D1435" s="1" t="s">
        <v>56</v>
      </c>
      <c r="E1435" s="2" t="s">
        <v>405</v>
      </c>
      <c r="F1435" s="1"/>
      <c r="G1435" s="2">
        <v>225</v>
      </c>
      <c r="H1435" s="1"/>
      <c r="I1435" t="s">
        <v>0</v>
      </c>
      <c r="J1435" t="s">
        <v>64</v>
      </c>
      <c r="K1435" t="s">
        <v>367</v>
      </c>
      <c r="L1435" t="s">
        <v>82</v>
      </c>
      <c r="M1435" s="3" t="s">
        <v>1407</v>
      </c>
      <c r="N1435" s="20" t="s">
        <v>1408</v>
      </c>
    </row>
    <row r="1436" spans="1:14" hidden="1" x14ac:dyDescent="0.25">
      <c r="A1436" s="1" t="str">
        <f>VLOOKUP(Table2[[#This Row],[Prod Line ]],Lists!A:E,5,0)</f>
        <v>a</v>
      </c>
      <c r="B1436" s="1">
        <v>44383</v>
      </c>
      <c r="C1436" s="1">
        <v>44380</v>
      </c>
      <c r="D1436" s="1" t="s">
        <v>56</v>
      </c>
      <c r="E1436" s="2" t="s">
        <v>404</v>
      </c>
      <c r="F1436" s="1"/>
      <c r="G1436" s="2">
        <v>25</v>
      </c>
      <c r="H1436" s="1"/>
      <c r="I1436" t="s">
        <v>1</v>
      </c>
      <c r="J1436" t="s">
        <v>64</v>
      </c>
      <c r="K1436" t="s">
        <v>370</v>
      </c>
      <c r="L1436" t="s">
        <v>72</v>
      </c>
      <c r="M1436" s="3" t="s">
        <v>1402</v>
      </c>
    </row>
    <row r="1437" spans="1:14" hidden="1" x14ac:dyDescent="0.25">
      <c r="A1437" s="1" t="str">
        <f>VLOOKUP(Table2[[#This Row],[Prod Line ]],Lists!A:E,5,0)</f>
        <v>a</v>
      </c>
      <c r="B1437" s="1">
        <v>44383</v>
      </c>
      <c r="C1437" s="1">
        <v>44380</v>
      </c>
      <c r="D1437" s="1" t="s">
        <v>56</v>
      </c>
      <c r="E1437" s="2" t="s">
        <v>404</v>
      </c>
      <c r="F1437" s="1"/>
      <c r="G1437" s="2">
        <v>11</v>
      </c>
      <c r="H1437" s="1"/>
      <c r="I1437" t="s">
        <v>1</v>
      </c>
      <c r="J1437" t="s">
        <v>65</v>
      </c>
      <c r="K1437" t="s">
        <v>27</v>
      </c>
      <c r="L1437" t="s">
        <v>441</v>
      </c>
      <c r="M1437" s="3"/>
    </row>
    <row r="1438" spans="1:14" hidden="1" x14ac:dyDescent="0.25">
      <c r="A1438" s="1" t="str">
        <f>VLOOKUP(Table2[[#This Row],[Prod Line ]],Lists!A:E,5,0)</f>
        <v>a</v>
      </c>
      <c r="B1438" s="1">
        <v>44383</v>
      </c>
      <c r="C1438" s="1">
        <v>44380</v>
      </c>
      <c r="D1438" s="1" t="s">
        <v>56</v>
      </c>
      <c r="E1438" s="2" t="s">
        <v>404</v>
      </c>
      <c r="F1438" s="1"/>
      <c r="G1438" s="2">
        <v>24</v>
      </c>
      <c r="H1438" s="1"/>
      <c r="I1438" t="s">
        <v>1</v>
      </c>
      <c r="J1438" t="s">
        <v>2</v>
      </c>
      <c r="K1438" t="s">
        <v>19</v>
      </c>
      <c r="L1438" t="s">
        <v>72</v>
      </c>
      <c r="M1438" s="3" t="s">
        <v>1346</v>
      </c>
    </row>
    <row r="1439" spans="1:14" hidden="1" x14ac:dyDescent="0.25">
      <c r="A1439" s="1" t="str">
        <f>VLOOKUP(Table2[[#This Row],[Prod Line ]],Lists!A:E,5,0)</f>
        <v>a</v>
      </c>
      <c r="B1439" s="1">
        <v>44384</v>
      </c>
      <c r="C1439" s="1">
        <v>44382</v>
      </c>
      <c r="D1439" s="1" t="s">
        <v>56</v>
      </c>
      <c r="E1439" s="2" t="s">
        <v>405</v>
      </c>
      <c r="F1439" s="1"/>
      <c r="G1439" s="2">
        <v>25</v>
      </c>
      <c r="H1439" s="1"/>
      <c r="I1439" t="s">
        <v>67</v>
      </c>
      <c r="J1439" t="s">
        <v>64</v>
      </c>
      <c r="K1439" t="s">
        <v>367</v>
      </c>
      <c r="L1439" t="s">
        <v>346</v>
      </c>
      <c r="M1439" s="3" t="s">
        <v>1403</v>
      </c>
    </row>
    <row r="1440" spans="1:14" hidden="1" x14ac:dyDescent="0.25">
      <c r="A1440" s="1" t="str">
        <f>VLOOKUP(Table2[[#This Row],[Prod Line ]],Lists!A:E,5,0)</f>
        <v>a</v>
      </c>
      <c r="B1440" s="1">
        <v>44384</v>
      </c>
      <c r="C1440" s="1">
        <v>44382</v>
      </c>
      <c r="D1440" s="1" t="s">
        <v>56</v>
      </c>
      <c r="E1440" s="2" t="s">
        <v>405</v>
      </c>
      <c r="F1440" s="1"/>
      <c r="G1440" s="2">
        <v>8</v>
      </c>
      <c r="H1440" s="1"/>
      <c r="I1440" t="s">
        <v>1</v>
      </c>
      <c r="J1440" t="s">
        <v>2</v>
      </c>
      <c r="K1440" t="s">
        <v>19</v>
      </c>
      <c r="L1440" t="s">
        <v>349</v>
      </c>
      <c r="M1440" s="3" t="s">
        <v>557</v>
      </c>
    </row>
    <row r="1441" spans="1:14" hidden="1" x14ac:dyDescent="0.25">
      <c r="A1441" s="1" t="str">
        <f>VLOOKUP(Table2[[#This Row],[Prod Line ]],Lists!A:E,5,0)</f>
        <v>a</v>
      </c>
      <c r="B1441" s="1">
        <v>44384</v>
      </c>
      <c r="C1441" s="1">
        <v>44382</v>
      </c>
      <c r="D1441" s="1" t="s">
        <v>56</v>
      </c>
      <c r="E1441" s="2" t="s">
        <v>404</v>
      </c>
      <c r="F1441" s="1"/>
      <c r="G1441" s="2">
        <v>56</v>
      </c>
      <c r="H1441" s="1"/>
      <c r="I1441" t="s">
        <v>1</v>
      </c>
      <c r="J1441" t="s">
        <v>64</v>
      </c>
      <c r="K1441" t="s">
        <v>370</v>
      </c>
      <c r="L1441" t="s">
        <v>72</v>
      </c>
      <c r="M1441" s="3" t="s">
        <v>655</v>
      </c>
    </row>
    <row r="1442" spans="1:14" hidden="1" x14ac:dyDescent="0.25">
      <c r="A1442" s="1" t="str">
        <f>VLOOKUP(Table2[[#This Row],[Prod Line ]],Lists!A:E,5,0)</f>
        <v>a</v>
      </c>
      <c r="B1442" s="1">
        <v>44386</v>
      </c>
      <c r="C1442" s="1">
        <v>44384</v>
      </c>
      <c r="D1442" s="1" t="s">
        <v>56</v>
      </c>
      <c r="E1442" s="2" t="s">
        <v>404</v>
      </c>
      <c r="F1442" s="1"/>
      <c r="G1442" s="2">
        <v>16</v>
      </c>
      <c r="H1442" s="1"/>
      <c r="I1442" t="s">
        <v>0</v>
      </c>
      <c r="J1442" t="s">
        <v>64</v>
      </c>
      <c r="K1442" t="s">
        <v>363</v>
      </c>
      <c r="L1442" t="s">
        <v>70</v>
      </c>
      <c r="M1442" s="3" t="s">
        <v>1404</v>
      </c>
      <c r="N1442" s="20" t="s">
        <v>1410</v>
      </c>
    </row>
    <row r="1443" spans="1:14" hidden="1" x14ac:dyDescent="0.25">
      <c r="A1443" s="1" t="str">
        <f>VLOOKUP(Table2[[#This Row],[Prod Line ]],Lists!A:E,5,0)</f>
        <v>a</v>
      </c>
      <c r="B1443" s="1">
        <v>44387</v>
      </c>
      <c r="C1443" s="1">
        <v>44386</v>
      </c>
      <c r="D1443" s="1" t="s">
        <v>56</v>
      </c>
      <c r="E1443" s="2" t="s">
        <v>404</v>
      </c>
      <c r="F1443" s="1"/>
      <c r="G1443" s="2">
        <v>20</v>
      </c>
      <c r="H1443" s="1"/>
      <c r="I1443" t="s">
        <v>0</v>
      </c>
      <c r="J1443" t="s">
        <v>64</v>
      </c>
      <c r="K1443" t="s">
        <v>363</v>
      </c>
      <c r="L1443" t="s">
        <v>69</v>
      </c>
      <c r="M1443" s="3" t="s">
        <v>1405</v>
      </c>
      <c r="N1443" s="20" t="s">
        <v>1409</v>
      </c>
    </row>
    <row r="1444" spans="1:14" hidden="1" x14ac:dyDescent="0.25">
      <c r="A1444" s="1" t="str">
        <f>VLOOKUP(Table2[[#This Row],[Prod Line ]],Lists!A:E,5,0)</f>
        <v>a</v>
      </c>
      <c r="B1444" s="1">
        <v>44387</v>
      </c>
      <c r="C1444" s="1">
        <v>44386</v>
      </c>
      <c r="D1444" s="1" t="s">
        <v>56</v>
      </c>
      <c r="E1444" s="2" t="s">
        <v>404</v>
      </c>
      <c r="F1444" s="1"/>
      <c r="G1444" s="2">
        <v>10</v>
      </c>
      <c r="H1444" s="1"/>
      <c r="I1444" t="s">
        <v>1</v>
      </c>
      <c r="J1444" t="s">
        <v>64</v>
      </c>
      <c r="K1444" t="s">
        <v>367</v>
      </c>
      <c r="L1444" t="s">
        <v>344</v>
      </c>
      <c r="M1444" s="3" t="s">
        <v>1416</v>
      </c>
    </row>
    <row r="1445" spans="1:14" hidden="1" x14ac:dyDescent="0.25">
      <c r="A1445" s="1" t="str">
        <f>VLOOKUP(Table2[[#This Row],[Prod Line ]],Lists!A:E,5,0)</f>
        <v>a</v>
      </c>
      <c r="B1445" s="1">
        <v>44387</v>
      </c>
      <c r="C1445" s="1">
        <v>44386</v>
      </c>
      <c r="D1445" s="1" t="s">
        <v>56</v>
      </c>
      <c r="E1445" s="2" t="s">
        <v>404</v>
      </c>
      <c r="F1445" s="1"/>
      <c r="G1445" s="2">
        <v>6</v>
      </c>
      <c r="H1445" s="1"/>
      <c r="I1445" t="s">
        <v>1</v>
      </c>
      <c r="J1445" t="s">
        <v>64</v>
      </c>
      <c r="K1445" t="s">
        <v>367</v>
      </c>
      <c r="L1445" t="s">
        <v>344</v>
      </c>
      <c r="M1445" s="3" t="s">
        <v>1417</v>
      </c>
    </row>
    <row r="1446" spans="1:14" hidden="1" x14ac:dyDescent="0.25">
      <c r="A1446" s="1" t="str">
        <f>VLOOKUP(Table2[[#This Row],[Prod Line ]],Lists!A:E,5,0)</f>
        <v>b</v>
      </c>
      <c r="B1446" s="1">
        <v>44387</v>
      </c>
      <c r="C1446" s="1">
        <v>44386</v>
      </c>
      <c r="D1446" s="1" t="s">
        <v>58</v>
      </c>
      <c r="E1446" s="2" t="s">
        <v>404</v>
      </c>
      <c r="F1446" s="1"/>
      <c r="G1446" s="2">
        <v>15</v>
      </c>
      <c r="H1446" s="1"/>
      <c r="I1446" t="s">
        <v>0</v>
      </c>
      <c r="J1446" t="s">
        <v>67</v>
      </c>
      <c r="K1446" t="s">
        <v>67</v>
      </c>
      <c r="L1446" t="s">
        <v>70</v>
      </c>
      <c r="M1446" s="3" t="s">
        <v>1418</v>
      </c>
    </row>
    <row r="1447" spans="1:14" hidden="1" x14ac:dyDescent="0.25">
      <c r="A1447" s="1" t="str">
        <f>VLOOKUP(Table2[[#This Row],[Prod Line ]],Lists!A:E,5,0)</f>
        <v>b</v>
      </c>
      <c r="B1447" s="1">
        <v>44387</v>
      </c>
      <c r="C1447" s="1">
        <v>44386</v>
      </c>
      <c r="D1447" s="1" t="s">
        <v>58</v>
      </c>
      <c r="E1447" s="2" t="s">
        <v>404</v>
      </c>
      <c r="F1447" s="1"/>
      <c r="G1447" s="2">
        <v>18</v>
      </c>
      <c r="H1447" s="1"/>
      <c r="I1447" t="s">
        <v>1</v>
      </c>
      <c r="J1447" t="s">
        <v>5</v>
      </c>
      <c r="K1447" t="s">
        <v>37</v>
      </c>
      <c r="L1447" t="s">
        <v>407</v>
      </c>
      <c r="M1447" s="3" t="s">
        <v>1419</v>
      </c>
    </row>
    <row r="1448" spans="1:14" hidden="1" x14ac:dyDescent="0.25">
      <c r="A1448" s="1" t="str">
        <f>VLOOKUP(Table2[[#This Row],[Prod Line ]],Lists!A:E,5,0)</f>
        <v>b</v>
      </c>
      <c r="B1448" s="1">
        <v>44387</v>
      </c>
      <c r="C1448" s="1">
        <v>44386</v>
      </c>
      <c r="D1448" s="1" t="s">
        <v>58</v>
      </c>
      <c r="E1448" s="2" t="s">
        <v>404</v>
      </c>
      <c r="F1448" s="1"/>
      <c r="G1448" s="2">
        <v>20</v>
      </c>
      <c r="H1448" s="1"/>
      <c r="I1448" t="s">
        <v>1</v>
      </c>
      <c r="J1448" t="s">
        <v>67</v>
      </c>
      <c r="K1448" t="s">
        <v>67</v>
      </c>
      <c r="L1448" t="s">
        <v>349</v>
      </c>
      <c r="M1448" s="3" t="s">
        <v>1420</v>
      </c>
    </row>
    <row r="1449" spans="1:14" hidden="1" x14ac:dyDescent="0.25">
      <c r="A1449" s="1" t="str">
        <f>VLOOKUP(Table2[[#This Row],[Prod Line ]],Lists!A:E,5,0)</f>
        <v>a</v>
      </c>
      <c r="B1449" s="1">
        <v>44389</v>
      </c>
      <c r="C1449" s="1">
        <v>44387</v>
      </c>
      <c r="D1449" s="1" t="s">
        <v>56</v>
      </c>
      <c r="E1449" s="2" t="s">
        <v>404</v>
      </c>
      <c r="F1449" s="1"/>
      <c r="G1449" s="2">
        <v>13</v>
      </c>
      <c r="H1449" s="1"/>
      <c r="I1449" t="s">
        <v>0</v>
      </c>
      <c r="J1449" t="s">
        <v>64</v>
      </c>
      <c r="K1449" t="s">
        <v>365</v>
      </c>
      <c r="L1449" t="s">
        <v>70</v>
      </c>
      <c r="M1449" s="3" t="s">
        <v>1421</v>
      </c>
    </row>
    <row r="1450" spans="1:14" hidden="1" x14ac:dyDescent="0.25">
      <c r="A1450" s="1" t="str">
        <f>VLOOKUP(Table2[[#This Row],[Prod Line ]],Lists!A:E,5,0)</f>
        <v>a</v>
      </c>
      <c r="B1450" s="1">
        <v>44389</v>
      </c>
      <c r="C1450" s="1">
        <v>44387</v>
      </c>
      <c r="D1450" s="1" t="s">
        <v>56</v>
      </c>
      <c r="E1450" s="2" t="s">
        <v>404</v>
      </c>
      <c r="F1450" s="1"/>
      <c r="G1450" s="2">
        <v>5</v>
      </c>
      <c r="H1450" s="1"/>
      <c r="I1450" t="s">
        <v>1</v>
      </c>
      <c r="J1450" t="s">
        <v>65</v>
      </c>
      <c r="K1450" t="s">
        <v>27</v>
      </c>
      <c r="L1450" t="s">
        <v>350</v>
      </c>
      <c r="M1450" s="3" t="s">
        <v>1058</v>
      </c>
    </row>
    <row r="1451" spans="1:14" hidden="1" x14ac:dyDescent="0.25">
      <c r="A1451" s="1" t="str">
        <f>VLOOKUP(Table2[[#This Row],[Prod Line ]],Lists!A:E,5,0)</f>
        <v>a</v>
      </c>
      <c r="B1451" s="1">
        <v>44389</v>
      </c>
      <c r="C1451" s="1">
        <v>44387</v>
      </c>
      <c r="D1451" s="1" t="s">
        <v>56</v>
      </c>
      <c r="E1451" s="2" t="s">
        <v>404</v>
      </c>
      <c r="F1451" s="1"/>
      <c r="G1451" s="2">
        <v>15</v>
      </c>
      <c r="H1451" s="1"/>
      <c r="I1451" t="s">
        <v>1</v>
      </c>
      <c r="J1451" t="s">
        <v>64</v>
      </c>
      <c r="K1451" t="s">
        <v>367</v>
      </c>
      <c r="L1451" t="s">
        <v>72</v>
      </c>
      <c r="M1451" s="3" t="s">
        <v>1422</v>
      </c>
    </row>
    <row r="1452" spans="1:14" hidden="1" x14ac:dyDescent="0.25">
      <c r="A1452" s="1" t="str">
        <f>VLOOKUP(Table2[[#This Row],[Prod Line ]],Lists!A:E,5,0)</f>
        <v>a</v>
      </c>
      <c r="B1452" s="1">
        <v>44389</v>
      </c>
      <c r="C1452" s="1">
        <v>44387</v>
      </c>
      <c r="D1452" s="1" t="s">
        <v>56</v>
      </c>
      <c r="E1452" s="2" t="s">
        <v>404</v>
      </c>
      <c r="F1452" s="1"/>
      <c r="G1452" s="2">
        <v>9</v>
      </c>
      <c r="H1452" s="1"/>
      <c r="I1452" t="s">
        <v>1</v>
      </c>
      <c r="J1452" t="s">
        <v>64</v>
      </c>
      <c r="K1452" t="s">
        <v>370</v>
      </c>
      <c r="L1452" t="s">
        <v>72</v>
      </c>
      <c r="M1452" s="3" t="s">
        <v>548</v>
      </c>
    </row>
    <row r="1453" spans="1:14" hidden="1" x14ac:dyDescent="0.25">
      <c r="A1453" s="1" t="str">
        <f>VLOOKUP(Table2[[#This Row],[Prod Line ]],Lists!A:E,5,0)</f>
        <v>b</v>
      </c>
      <c r="B1453" s="1">
        <v>44389</v>
      </c>
      <c r="C1453" s="1">
        <v>44387</v>
      </c>
      <c r="D1453" s="1" t="s">
        <v>58</v>
      </c>
      <c r="E1453" s="2" t="s">
        <v>406</v>
      </c>
      <c r="F1453" s="1"/>
      <c r="G1453" s="2">
        <v>4</v>
      </c>
      <c r="H1453" s="1"/>
      <c r="I1453" t="s">
        <v>0</v>
      </c>
      <c r="J1453" t="s">
        <v>64</v>
      </c>
      <c r="K1453" t="s">
        <v>24</v>
      </c>
      <c r="L1453" t="s">
        <v>70</v>
      </c>
      <c r="M1453" s="3" t="s">
        <v>1423</v>
      </c>
    </row>
    <row r="1454" spans="1:14" hidden="1" x14ac:dyDescent="0.25">
      <c r="A1454" s="1" t="str">
        <f>VLOOKUP(Table2[[#This Row],[Prod Line ]],Lists!A:E,5,0)</f>
        <v>b</v>
      </c>
      <c r="B1454" s="1">
        <v>44389</v>
      </c>
      <c r="C1454" s="1">
        <v>44387</v>
      </c>
      <c r="D1454" s="1" t="s">
        <v>58</v>
      </c>
      <c r="E1454" s="2" t="s">
        <v>406</v>
      </c>
      <c r="F1454" s="1"/>
      <c r="G1454" s="2">
        <v>16</v>
      </c>
      <c r="H1454" s="1"/>
      <c r="I1454" t="s">
        <v>0</v>
      </c>
      <c r="J1454" t="s">
        <v>66</v>
      </c>
      <c r="K1454" t="s">
        <v>4</v>
      </c>
      <c r="L1454" t="s">
        <v>70</v>
      </c>
      <c r="M1454" s="3" t="s">
        <v>1424</v>
      </c>
    </row>
    <row r="1455" spans="1:14" hidden="1" x14ac:dyDescent="0.25">
      <c r="A1455" s="1" t="str">
        <f>VLOOKUP(Table2[[#This Row],[Prod Line ]],Lists!A:E,5,0)</f>
        <v>b</v>
      </c>
      <c r="B1455" s="1">
        <v>44389</v>
      </c>
      <c r="C1455" s="1">
        <v>44387</v>
      </c>
      <c r="D1455" s="1" t="s">
        <v>58</v>
      </c>
      <c r="E1455" s="2" t="s">
        <v>406</v>
      </c>
      <c r="F1455" s="1"/>
      <c r="G1455" s="2">
        <v>4</v>
      </c>
      <c r="H1455" s="1"/>
      <c r="I1455" t="s">
        <v>1</v>
      </c>
      <c r="J1455" t="s">
        <v>26</v>
      </c>
      <c r="K1455" t="s">
        <v>25</v>
      </c>
      <c r="L1455" t="s">
        <v>441</v>
      </c>
      <c r="M1455" s="3"/>
    </row>
    <row r="1456" spans="1:14" hidden="1" x14ac:dyDescent="0.25">
      <c r="A1456" s="1" t="str">
        <f>VLOOKUP(Table2[[#This Row],[Prod Line ]],Lists!A:E,5,0)</f>
        <v>b</v>
      </c>
      <c r="B1456" s="1">
        <v>44389</v>
      </c>
      <c r="C1456" s="1">
        <v>44387</v>
      </c>
      <c r="D1456" s="1" t="s">
        <v>58</v>
      </c>
      <c r="E1456" s="2" t="s">
        <v>404</v>
      </c>
      <c r="F1456" s="1"/>
      <c r="G1456" s="2">
        <v>14</v>
      </c>
      <c r="H1456" s="1"/>
      <c r="I1456" t="s">
        <v>1</v>
      </c>
      <c r="J1456" t="s">
        <v>26</v>
      </c>
      <c r="K1456" t="s">
        <v>25</v>
      </c>
      <c r="L1456" t="s">
        <v>441</v>
      </c>
      <c r="M1456" s="3" t="s">
        <v>1425</v>
      </c>
    </row>
    <row r="1457" spans="1:14" hidden="1" x14ac:dyDescent="0.25">
      <c r="A1457" s="1" t="str">
        <f>VLOOKUP(Table2[[#This Row],[Prod Line ]],Lists!A:E,5,0)</f>
        <v>b</v>
      </c>
      <c r="B1457" s="1">
        <v>44389</v>
      </c>
      <c r="C1457" s="1">
        <v>44387</v>
      </c>
      <c r="D1457" s="1" t="s">
        <v>58</v>
      </c>
      <c r="E1457" s="2" t="s">
        <v>406</v>
      </c>
      <c r="F1457" s="1"/>
      <c r="G1457" s="2">
        <v>3</v>
      </c>
      <c r="H1457" s="1"/>
      <c r="I1457" t="s">
        <v>0</v>
      </c>
      <c r="J1457" t="s">
        <v>26</v>
      </c>
      <c r="K1457" t="s">
        <v>25</v>
      </c>
      <c r="L1457" t="s">
        <v>70</v>
      </c>
      <c r="M1457" s="3" t="s">
        <v>1426</v>
      </c>
    </row>
    <row r="1458" spans="1:14" hidden="1" x14ac:dyDescent="0.25">
      <c r="A1458" s="1" t="str">
        <f>VLOOKUP(Table2[[#This Row],[Prod Line ]],Lists!A:E,5,0)</f>
        <v>c</v>
      </c>
      <c r="B1458" s="1">
        <v>44389</v>
      </c>
      <c r="C1458" s="1">
        <v>44387</v>
      </c>
      <c r="D1458" s="1" t="s">
        <v>60</v>
      </c>
      <c r="E1458" s="2" t="s">
        <v>404</v>
      </c>
      <c r="F1458" s="1"/>
      <c r="G1458" s="2">
        <v>18</v>
      </c>
      <c r="H1458" s="1"/>
      <c r="I1458" t="s">
        <v>1</v>
      </c>
      <c r="J1458" t="s">
        <v>64</v>
      </c>
      <c r="K1458" t="s">
        <v>379</v>
      </c>
      <c r="L1458" t="s">
        <v>72</v>
      </c>
      <c r="M1458" s="3" t="s">
        <v>548</v>
      </c>
    </row>
    <row r="1459" spans="1:14" hidden="1" x14ac:dyDescent="0.25">
      <c r="A1459" s="1" t="str">
        <f>VLOOKUP(Table2[[#This Row],[Prod Line ]],Lists!A:E,5,0)</f>
        <v>d</v>
      </c>
      <c r="B1459" s="1">
        <v>44389</v>
      </c>
      <c r="C1459" s="1">
        <v>44387</v>
      </c>
      <c r="D1459" s="1" t="s">
        <v>62</v>
      </c>
      <c r="E1459" s="2" t="s">
        <v>405</v>
      </c>
      <c r="F1459" s="1"/>
      <c r="G1459" s="2">
        <v>5</v>
      </c>
      <c r="H1459" s="1"/>
      <c r="I1459" t="s">
        <v>1</v>
      </c>
      <c r="J1459" t="s">
        <v>2</v>
      </c>
      <c r="K1459" t="s">
        <v>19</v>
      </c>
      <c r="L1459" t="s">
        <v>349</v>
      </c>
      <c r="M1459" s="3"/>
    </row>
    <row r="1460" spans="1:14" hidden="1" x14ac:dyDescent="0.25">
      <c r="A1460" s="1" t="str">
        <f>VLOOKUP(Table2[[#This Row],[Prod Line ]],Lists!A:E,5,0)</f>
        <v>d</v>
      </c>
      <c r="B1460" s="1">
        <v>44389</v>
      </c>
      <c r="C1460" s="1">
        <v>44387</v>
      </c>
      <c r="D1460" s="1" t="s">
        <v>62</v>
      </c>
      <c r="E1460" s="2" t="s">
        <v>405</v>
      </c>
      <c r="F1460" s="1"/>
      <c r="G1460" s="2">
        <v>5</v>
      </c>
      <c r="H1460" s="1"/>
      <c r="I1460" t="s">
        <v>1</v>
      </c>
      <c r="J1460" t="s">
        <v>64</v>
      </c>
      <c r="K1460" t="s">
        <v>379</v>
      </c>
      <c r="L1460" t="s">
        <v>72</v>
      </c>
      <c r="M1460" s="3" t="s">
        <v>573</v>
      </c>
    </row>
    <row r="1461" spans="1:14" hidden="1" x14ac:dyDescent="0.25">
      <c r="A1461" s="1" t="str">
        <f>VLOOKUP(Table2[[#This Row],[Prod Line ]],Lists!A:E,5,0)</f>
        <v>d</v>
      </c>
      <c r="B1461" s="1">
        <v>44390</v>
      </c>
      <c r="C1461" s="1">
        <v>44388</v>
      </c>
      <c r="D1461" s="1" t="s">
        <v>62</v>
      </c>
      <c r="E1461" s="2" t="s">
        <v>406</v>
      </c>
      <c r="F1461" s="1"/>
      <c r="G1461" s="2">
        <v>10</v>
      </c>
      <c r="H1461" s="1"/>
      <c r="I1461" t="s">
        <v>1</v>
      </c>
      <c r="J1461" t="s">
        <v>64</v>
      </c>
      <c r="K1461" t="s">
        <v>379</v>
      </c>
      <c r="L1461" t="s">
        <v>72</v>
      </c>
      <c r="M1461" s="3" t="s">
        <v>1427</v>
      </c>
    </row>
    <row r="1462" spans="1:14" hidden="1" x14ac:dyDescent="0.25">
      <c r="A1462" s="1" t="str">
        <f>VLOOKUP(Table2[[#This Row],[Prod Line ]],Lists!A:E,5,0)</f>
        <v>d</v>
      </c>
      <c r="B1462" s="1">
        <v>44390</v>
      </c>
      <c r="C1462" s="1">
        <v>44388</v>
      </c>
      <c r="D1462" s="1" t="s">
        <v>62</v>
      </c>
      <c r="E1462" s="2" t="s">
        <v>404</v>
      </c>
      <c r="F1462" s="1"/>
      <c r="G1462" s="2">
        <v>25</v>
      </c>
      <c r="H1462" s="1"/>
      <c r="I1462" t="s">
        <v>1</v>
      </c>
      <c r="J1462" t="s">
        <v>2</v>
      </c>
      <c r="K1462" t="s">
        <v>19</v>
      </c>
      <c r="L1462" t="s">
        <v>349</v>
      </c>
      <c r="M1462" s="3" t="s">
        <v>834</v>
      </c>
    </row>
    <row r="1463" spans="1:14" hidden="1" x14ac:dyDescent="0.25">
      <c r="A1463" s="1" t="str">
        <f>VLOOKUP(Table2[[#This Row],[Prod Line ]],Lists!A:E,5,0)</f>
        <v>d</v>
      </c>
      <c r="B1463" s="1">
        <v>44390</v>
      </c>
      <c r="C1463" s="1">
        <v>44388</v>
      </c>
      <c r="D1463" s="1" t="s">
        <v>62</v>
      </c>
      <c r="E1463" s="2" t="s">
        <v>404</v>
      </c>
      <c r="F1463" s="1"/>
      <c r="G1463" s="2">
        <v>38</v>
      </c>
      <c r="H1463" s="1"/>
      <c r="I1463" t="s">
        <v>0</v>
      </c>
      <c r="J1463" t="s">
        <v>66</v>
      </c>
      <c r="K1463" t="s">
        <v>4</v>
      </c>
      <c r="L1463" t="s">
        <v>70</v>
      </c>
      <c r="M1463" s="3" t="s">
        <v>1428</v>
      </c>
      <c r="N1463" s="20" t="s">
        <v>1524</v>
      </c>
    </row>
    <row r="1464" spans="1:14" hidden="1" x14ac:dyDescent="0.25">
      <c r="A1464" s="1" t="str">
        <f>VLOOKUP(Table2[[#This Row],[Prod Line ]],Lists!A:E,5,0)</f>
        <v>d</v>
      </c>
      <c r="B1464" s="1">
        <v>44390</v>
      </c>
      <c r="C1464" s="1">
        <v>44388</v>
      </c>
      <c r="D1464" s="1" t="s">
        <v>62</v>
      </c>
      <c r="E1464" s="2" t="s">
        <v>404</v>
      </c>
      <c r="F1464" s="1"/>
      <c r="G1464" s="2">
        <v>59</v>
      </c>
      <c r="H1464" s="1" t="s">
        <v>0</v>
      </c>
      <c r="I1464" t="s">
        <v>0</v>
      </c>
      <c r="J1464" t="s">
        <v>66</v>
      </c>
      <c r="K1464" t="s">
        <v>4</v>
      </c>
      <c r="L1464" t="s">
        <v>70</v>
      </c>
      <c r="M1464" s="3" t="s">
        <v>1523</v>
      </c>
    </row>
    <row r="1465" spans="1:14" hidden="1" x14ac:dyDescent="0.25">
      <c r="A1465" s="1" t="str">
        <f>VLOOKUP(Table2[[#This Row],[Prod Line ]],Lists!A:E,5,0)</f>
        <v>b</v>
      </c>
      <c r="B1465" s="1">
        <v>44390</v>
      </c>
      <c r="C1465" s="1">
        <v>44388</v>
      </c>
      <c r="D1465" s="1" t="s">
        <v>58</v>
      </c>
      <c r="E1465" s="2" t="s">
        <v>406</v>
      </c>
      <c r="F1465" s="1"/>
      <c r="G1465" s="2">
        <v>4</v>
      </c>
      <c r="H1465" s="1"/>
      <c r="I1465" t="s">
        <v>1</v>
      </c>
      <c r="J1465" t="s">
        <v>64</v>
      </c>
      <c r="K1465" t="s">
        <v>22</v>
      </c>
      <c r="L1465" t="s">
        <v>407</v>
      </c>
      <c r="M1465" s="3" t="s">
        <v>1429</v>
      </c>
    </row>
    <row r="1466" spans="1:14" hidden="1" x14ac:dyDescent="0.25">
      <c r="A1466" s="1" t="str">
        <f>VLOOKUP(Table2[[#This Row],[Prod Line ]],Lists!A:E,5,0)</f>
        <v>b</v>
      </c>
      <c r="B1466" s="1">
        <v>44390</v>
      </c>
      <c r="C1466" s="1">
        <v>44388</v>
      </c>
      <c r="D1466" s="1" t="s">
        <v>58</v>
      </c>
      <c r="E1466" s="2" t="s">
        <v>406</v>
      </c>
      <c r="F1466" s="1"/>
      <c r="G1466" s="2">
        <v>6</v>
      </c>
      <c r="H1466" s="1"/>
      <c r="I1466" t="s">
        <v>1</v>
      </c>
      <c r="J1466" t="s">
        <v>26</v>
      </c>
      <c r="K1466" t="s">
        <v>25</v>
      </c>
      <c r="L1466" t="s">
        <v>441</v>
      </c>
      <c r="M1466" s="3" t="s">
        <v>1430</v>
      </c>
    </row>
    <row r="1467" spans="1:14" hidden="1" x14ac:dyDescent="0.25">
      <c r="A1467" s="1" t="str">
        <f>VLOOKUP(Table2[[#This Row],[Prod Line ]],Lists!A:E,5,0)</f>
        <v>c</v>
      </c>
      <c r="B1467" s="1">
        <v>44390</v>
      </c>
      <c r="C1467" s="1">
        <v>44388</v>
      </c>
      <c r="D1467" s="1" t="s">
        <v>60</v>
      </c>
      <c r="E1467" s="2" t="s">
        <v>404</v>
      </c>
      <c r="F1467" s="1"/>
      <c r="G1467" s="2">
        <v>44</v>
      </c>
      <c r="H1467" s="1"/>
      <c r="I1467" t="s">
        <v>1</v>
      </c>
      <c r="J1467" t="s">
        <v>64</v>
      </c>
      <c r="K1467" t="s">
        <v>381</v>
      </c>
      <c r="L1467" t="s">
        <v>72</v>
      </c>
      <c r="M1467" s="3" t="s">
        <v>1431</v>
      </c>
    </row>
    <row r="1468" spans="1:14" hidden="1" x14ac:dyDescent="0.25">
      <c r="A1468" s="1" t="str">
        <f>VLOOKUP(Table2[[#This Row],[Prod Line ]],Lists!A:E,5,0)</f>
        <v>c</v>
      </c>
      <c r="B1468" s="1">
        <v>44390</v>
      </c>
      <c r="C1468" s="1">
        <v>44388</v>
      </c>
      <c r="D1468" s="1" t="s">
        <v>60</v>
      </c>
      <c r="E1468" s="2" t="s">
        <v>404</v>
      </c>
      <c r="F1468" s="1"/>
      <c r="G1468" s="2">
        <v>9</v>
      </c>
      <c r="H1468" s="1"/>
      <c r="I1468" t="s">
        <v>0</v>
      </c>
      <c r="J1468" t="s">
        <v>64</v>
      </c>
      <c r="K1468" t="s">
        <v>379</v>
      </c>
      <c r="L1468" t="s">
        <v>70</v>
      </c>
      <c r="M1468" s="3" t="s">
        <v>1432</v>
      </c>
    </row>
    <row r="1469" spans="1:14" hidden="1" x14ac:dyDescent="0.25">
      <c r="A1469" s="1" t="str">
        <f>VLOOKUP(Table2[[#This Row],[Prod Line ]],Lists!A:E,5,0)</f>
        <v>c</v>
      </c>
      <c r="B1469" s="1">
        <v>44390</v>
      </c>
      <c r="C1469" s="1">
        <v>44389</v>
      </c>
      <c r="D1469" s="1" t="s">
        <v>60</v>
      </c>
      <c r="E1469" s="2" t="s">
        <v>404</v>
      </c>
      <c r="F1469" s="1"/>
      <c r="G1469" s="2">
        <v>58</v>
      </c>
      <c r="H1469" s="1"/>
      <c r="I1469" t="s">
        <v>0</v>
      </c>
      <c r="J1469" t="s">
        <v>64</v>
      </c>
      <c r="K1469" t="s">
        <v>379</v>
      </c>
      <c r="L1469" t="s">
        <v>70</v>
      </c>
      <c r="M1469" s="3" t="s">
        <v>1433</v>
      </c>
    </row>
    <row r="1470" spans="1:14" hidden="1" x14ac:dyDescent="0.25">
      <c r="A1470" s="1" t="str">
        <f>VLOOKUP(Table2[[#This Row],[Prod Line ]],Lists!A:E,5,0)</f>
        <v>c</v>
      </c>
      <c r="B1470" s="1">
        <v>44390</v>
      </c>
      <c r="C1470" s="1">
        <v>44389</v>
      </c>
      <c r="D1470" s="1" t="s">
        <v>60</v>
      </c>
      <c r="E1470" s="2" t="s">
        <v>404</v>
      </c>
      <c r="F1470" s="1"/>
      <c r="G1470" s="2">
        <v>21</v>
      </c>
      <c r="H1470" s="1"/>
      <c r="I1470" t="s">
        <v>1</v>
      </c>
      <c r="J1470" t="s">
        <v>64</v>
      </c>
      <c r="K1470" t="s">
        <v>379</v>
      </c>
      <c r="L1470" t="s">
        <v>72</v>
      </c>
      <c r="M1470" s="3" t="s">
        <v>1434</v>
      </c>
    </row>
    <row r="1471" spans="1:14" hidden="1" x14ac:dyDescent="0.25">
      <c r="A1471" s="1" t="str">
        <f>VLOOKUP(Table2[[#This Row],[Prod Line ]],Lists!A:E,5,0)</f>
        <v>c</v>
      </c>
      <c r="B1471" s="1">
        <v>44392</v>
      </c>
      <c r="C1471" s="1">
        <v>44390</v>
      </c>
      <c r="D1471" s="1" t="s">
        <v>60</v>
      </c>
      <c r="E1471" s="2" t="s">
        <v>405</v>
      </c>
      <c r="F1471" s="1"/>
      <c r="G1471" s="2">
        <v>20</v>
      </c>
      <c r="H1471" s="1"/>
      <c r="I1471" t="s">
        <v>1</v>
      </c>
      <c r="J1471" t="s">
        <v>2</v>
      </c>
      <c r="K1471" t="s">
        <v>378</v>
      </c>
      <c r="L1471" t="s">
        <v>349</v>
      </c>
      <c r="M1471" s="3" t="s">
        <v>1435</v>
      </c>
    </row>
    <row r="1472" spans="1:14" hidden="1" x14ac:dyDescent="0.25">
      <c r="A1472" s="1" t="str">
        <f>VLOOKUP(Table2[[#This Row],[Prod Line ]],Lists!A:E,5,0)</f>
        <v>d</v>
      </c>
      <c r="B1472" s="1">
        <v>44392</v>
      </c>
      <c r="C1472" s="1">
        <v>44390</v>
      </c>
      <c r="D1472" s="1" t="s">
        <v>62</v>
      </c>
      <c r="E1472" s="2" t="s">
        <v>406</v>
      </c>
      <c r="F1472" s="1"/>
      <c r="G1472" s="2">
        <v>15</v>
      </c>
      <c r="H1472" s="1"/>
      <c r="I1472" t="s">
        <v>0</v>
      </c>
      <c r="J1472" t="s">
        <v>5</v>
      </c>
      <c r="K1472" t="s">
        <v>396</v>
      </c>
      <c r="L1472" t="s">
        <v>70</v>
      </c>
      <c r="M1472" s="3" t="s">
        <v>1436</v>
      </c>
    </row>
    <row r="1473" spans="1:13" hidden="1" x14ac:dyDescent="0.25">
      <c r="A1473" s="1" t="str">
        <f>VLOOKUP(Table2[[#This Row],[Prod Line ]],Lists!A:E,5,0)</f>
        <v>d</v>
      </c>
      <c r="B1473" s="1">
        <v>44392</v>
      </c>
      <c r="C1473" s="1">
        <v>44390</v>
      </c>
      <c r="D1473" s="1" t="s">
        <v>62</v>
      </c>
      <c r="E1473" s="2" t="s">
        <v>404</v>
      </c>
      <c r="F1473" s="1"/>
      <c r="G1473" s="2">
        <v>15</v>
      </c>
      <c r="H1473" s="1"/>
      <c r="I1473" t="s">
        <v>0</v>
      </c>
      <c r="J1473" t="s">
        <v>2</v>
      </c>
      <c r="K1473" t="s">
        <v>19</v>
      </c>
      <c r="L1473" t="s">
        <v>70</v>
      </c>
      <c r="M1473" s="3" t="s">
        <v>1084</v>
      </c>
    </row>
    <row r="1474" spans="1:13" hidden="1" x14ac:dyDescent="0.25">
      <c r="A1474" s="1" t="str">
        <f>VLOOKUP(Table2[[#This Row],[Prod Line ]],Lists!A:E,5,0)</f>
        <v>b</v>
      </c>
      <c r="B1474" s="1">
        <v>44392</v>
      </c>
      <c r="C1474" s="1">
        <v>44390</v>
      </c>
      <c r="D1474" s="1" t="s">
        <v>58</v>
      </c>
      <c r="E1474" s="2" t="s">
        <v>406</v>
      </c>
      <c r="F1474" s="1"/>
      <c r="G1474" s="2">
        <v>13.5</v>
      </c>
      <c r="H1474" s="1"/>
      <c r="I1474" t="s">
        <v>0</v>
      </c>
      <c r="J1474" t="s">
        <v>64</v>
      </c>
      <c r="K1474" t="s">
        <v>22</v>
      </c>
      <c r="L1474" t="s">
        <v>70</v>
      </c>
      <c r="M1474" s="3" t="s">
        <v>1398</v>
      </c>
    </row>
    <row r="1475" spans="1:13" hidden="1" x14ac:dyDescent="0.25">
      <c r="A1475" s="1" t="str">
        <f>VLOOKUP(Table2[[#This Row],[Prod Line ]],Lists!A:E,5,0)</f>
        <v>b</v>
      </c>
      <c r="B1475" s="1">
        <v>44392</v>
      </c>
      <c r="C1475" s="1">
        <v>44390</v>
      </c>
      <c r="D1475" s="1" t="s">
        <v>58</v>
      </c>
      <c r="E1475" s="2" t="s">
        <v>406</v>
      </c>
      <c r="F1475" s="1"/>
      <c r="G1475" s="2">
        <v>5</v>
      </c>
      <c r="H1475" s="1"/>
      <c r="I1475" t="s">
        <v>1</v>
      </c>
      <c r="J1475" t="s">
        <v>2</v>
      </c>
      <c r="K1475" t="s">
        <v>19</v>
      </c>
      <c r="L1475" t="s">
        <v>349</v>
      </c>
      <c r="M1475" s="3" t="s">
        <v>557</v>
      </c>
    </row>
    <row r="1476" spans="1:13" hidden="1" x14ac:dyDescent="0.25">
      <c r="A1476" s="1" t="str">
        <f>VLOOKUP(Table2[[#This Row],[Prod Line ]],Lists!A:E,5,0)</f>
        <v>b</v>
      </c>
      <c r="B1476" s="1">
        <v>44392</v>
      </c>
      <c r="C1476" s="1">
        <v>44390</v>
      </c>
      <c r="D1476" s="1" t="s">
        <v>58</v>
      </c>
      <c r="E1476" s="2" t="s">
        <v>406</v>
      </c>
      <c r="F1476" s="1"/>
      <c r="G1476" s="2">
        <v>13</v>
      </c>
      <c r="H1476" s="1"/>
      <c r="I1476" t="s">
        <v>1</v>
      </c>
      <c r="J1476" t="s">
        <v>26</v>
      </c>
      <c r="K1476" t="s">
        <v>26</v>
      </c>
      <c r="L1476" t="s">
        <v>441</v>
      </c>
      <c r="M1476" s="3"/>
    </row>
    <row r="1477" spans="1:13" hidden="1" x14ac:dyDescent="0.25">
      <c r="A1477" s="1" t="str">
        <f>VLOOKUP(Table2[[#This Row],[Prod Line ]],Lists!A:E,5,0)</f>
        <v>b</v>
      </c>
      <c r="B1477" s="1">
        <v>44392</v>
      </c>
      <c r="C1477" s="1">
        <v>44390</v>
      </c>
      <c r="D1477" s="1" t="s">
        <v>58</v>
      </c>
      <c r="E1477" s="2" t="s">
        <v>406</v>
      </c>
      <c r="F1477" s="1"/>
      <c r="G1477" s="2">
        <v>5</v>
      </c>
      <c r="H1477" s="1"/>
      <c r="I1477" t="s">
        <v>0</v>
      </c>
      <c r="J1477" t="s">
        <v>65</v>
      </c>
      <c r="K1477" t="s">
        <v>27</v>
      </c>
      <c r="L1477" t="s">
        <v>70</v>
      </c>
      <c r="M1477" s="3" t="s">
        <v>1437</v>
      </c>
    </row>
    <row r="1478" spans="1:13" hidden="1" x14ac:dyDescent="0.25">
      <c r="A1478" s="1" t="str">
        <f>VLOOKUP(Table2[[#This Row],[Prod Line ]],Lists!A:E,5,0)</f>
        <v>b</v>
      </c>
      <c r="B1478" s="1">
        <v>44392</v>
      </c>
      <c r="C1478" s="1">
        <v>44390</v>
      </c>
      <c r="D1478" s="1" t="s">
        <v>58</v>
      </c>
      <c r="E1478" s="2" t="s">
        <v>406</v>
      </c>
      <c r="F1478" s="1"/>
      <c r="G1478" s="2">
        <v>3</v>
      </c>
      <c r="H1478" s="1"/>
      <c r="I1478" t="s">
        <v>1</v>
      </c>
      <c r="J1478" t="s">
        <v>64</v>
      </c>
      <c r="K1478" t="s">
        <v>24</v>
      </c>
      <c r="L1478" t="s">
        <v>72</v>
      </c>
      <c r="M1478" s="3" t="s">
        <v>1438</v>
      </c>
    </row>
    <row r="1479" spans="1:13" hidden="1" x14ac:dyDescent="0.25">
      <c r="A1479" s="1" t="str">
        <f>VLOOKUP(Table2[[#This Row],[Prod Line ]],Lists!A:E,5,0)</f>
        <v>b</v>
      </c>
      <c r="B1479" s="1">
        <v>44392</v>
      </c>
      <c r="C1479" s="1">
        <v>44390</v>
      </c>
      <c r="D1479" s="1" t="s">
        <v>58</v>
      </c>
      <c r="E1479" s="2" t="s">
        <v>406</v>
      </c>
      <c r="F1479" s="1"/>
      <c r="G1479" s="2">
        <v>49</v>
      </c>
      <c r="H1479" s="1"/>
      <c r="I1479" t="s">
        <v>0</v>
      </c>
      <c r="J1479" t="s">
        <v>5</v>
      </c>
      <c r="K1479" t="s">
        <v>38</v>
      </c>
      <c r="L1479" t="s">
        <v>70</v>
      </c>
      <c r="M1479" s="3" t="s">
        <v>1439</v>
      </c>
    </row>
    <row r="1480" spans="1:13" hidden="1" x14ac:dyDescent="0.25">
      <c r="A1480" s="1" t="str">
        <f>VLOOKUP(Table2[[#This Row],[Prod Line ]],Lists!A:E,5,0)</f>
        <v>b</v>
      </c>
      <c r="B1480" s="1">
        <v>44392</v>
      </c>
      <c r="C1480" s="1">
        <v>44390</v>
      </c>
      <c r="D1480" s="1" t="s">
        <v>58</v>
      </c>
      <c r="E1480" s="2" t="s">
        <v>404</v>
      </c>
      <c r="F1480" s="1"/>
      <c r="G1480" s="2">
        <v>3</v>
      </c>
      <c r="H1480" s="1"/>
      <c r="I1480" t="s">
        <v>1</v>
      </c>
      <c r="J1480" t="s">
        <v>65</v>
      </c>
      <c r="K1480" t="s">
        <v>3</v>
      </c>
      <c r="L1480" t="s">
        <v>441</v>
      </c>
      <c r="M1480" s="3"/>
    </row>
    <row r="1481" spans="1:13" hidden="1" x14ac:dyDescent="0.25">
      <c r="A1481" s="1" t="str">
        <f>VLOOKUP(Table2[[#This Row],[Prod Line ]],Lists!A:E,5,0)</f>
        <v>b</v>
      </c>
      <c r="B1481" s="1">
        <v>44392</v>
      </c>
      <c r="C1481" s="1">
        <v>44390</v>
      </c>
      <c r="D1481" s="1" t="s">
        <v>58</v>
      </c>
      <c r="E1481" s="2" t="s">
        <v>404</v>
      </c>
      <c r="F1481" s="1"/>
      <c r="G1481" s="2">
        <v>4</v>
      </c>
      <c r="H1481" s="1"/>
      <c r="I1481" t="s">
        <v>0</v>
      </c>
      <c r="J1481" t="s">
        <v>65</v>
      </c>
      <c r="K1481" t="s">
        <v>3</v>
      </c>
      <c r="L1481" t="s">
        <v>70</v>
      </c>
      <c r="M1481" s="3" t="s">
        <v>1440</v>
      </c>
    </row>
    <row r="1482" spans="1:13" hidden="1" x14ac:dyDescent="0.25">
      <c r="A1482" s="1" t="str">
        <f>VLOOKUP(Table2[[#This Row],[Prod Line ]],Lists!A:E,5,0)</f>
        <v>b</v>
      </c>
      <c r="B1482" s="1">
        <v>44392</v>
      </c>
      <c r="C1482" s="1">
        <v>44390</v>
      </c>
      <c r="D1482" s="1" t="s">
        <v>58</v>
      </c>
      <c r="E1482" s="2" t="s">
        <v>404</v>
      </c>
      <c r="F1482" s="1"/>
      <c r="G1482" s="2">
        <v>4</v>
      </c>
      <c r="H1482" s="1"/>
      <c r="I1482" t="s">
        <v>1</v>
      </c>
      <c r="J1482" t="s">
        <v>64</v>
      </c>
      <c r="K1482" t="s">
        <v>24</v>
      </c>
      <c r="L1482" t="s">
        <v>72</v>
      </c>
      <c r="M1482" s="3" t="s">
        <v>1441</v>
      </c>
    </row>
    <row r="1483" spans="1:13" hidden="1" x14ac:dyDescent="0.25">
      <c r="A1483" s="1" t="str">
        <f>VLOOKUP(Table2[[#This Row],[Prod Line ]],Lists!A:E,5,0)</f>
        <v>b</v>
      </c>
      <c r="B1483" s="1">
        <v>44394</v>
      </c>
      <c r="C1483" s="1">
        <v>44392</v>
      </c>
      <c r="D1483" s="1" t="s">
        <v>58</v>
      </c>
      <c r="E1483" s="2" t="s">
        <v>404</v>
      </c>
      <c r="F1483" s="1"/>
      <c r="G1483" s="2">
        <v>6</v>
      </c>
      <c r="H1483" s="1"/>
      <c r="I1483" t="s">
        <v>0</v>
      </c>
      <c r="J1483" t="s">
        <v>26</v>
      </c>
      <c r="K1483" t="s">
        <v>25</v>
      </c>
      <c r="L1483" t="s">
        <v>70</v>
      </c>
      <c r="M1483" s="3" t="s">
        <v>1426</v>
      </c>
    </row>
    <row r="1484" spans="1:13" hidden="1" x14ac:dyDescent="0.25">
      <c r="A1484" s="1" t="str">
        <f>VLOOKUP(Table2[[#This Row],[Prod Line ]],Lists!A:E,5,0)</f>
        <v>b</v>
      </c>
      <c r="B1484" s="1">
        <v>44394</v>
      </c>
      <c r="C1484" s="1">
        <v>44392</v>
      </c>
      <c r="D1484" s="1" t="s">
        <v>58</v>
      </c>
      <c r="E1484" s="2" t="s">
        <v>406</v>
      </c>
      <c r="F1484" s="1"/>
      <c r="G1484" s="2">
        <v>26</v>
      </c>
      <c r="H1484" s="1"/>
      <c r="I1484" t="s">
        <v>1</v>
      </c>
      <c r="J1484" t="s">
        <v>2</v>
      </c>
      <c r="K1484" t="s">
        <v>19</v>
      </c>
      <c r="L1484" t="s">
        <v>349</v>
      </c>
      <c r="M1484" s="3" t="s">
        <v>1442</v>
      </c>
    </row>
    <row r="1485" spans="1:13" hidden="1" x14ac:dyDescent="0.25">
      <c r="A1485" s="1" t="str">
        <f>VLOOKUP(Table2[[#This Row],[Prod Line ]],Lists!A:E,5,0)</f>
        <v>b</v>
      </c>
      <c r="B1485" s="1">
        <v>44394</v>
      </c>
      <c r="C1485" s="1">
        <v>44392</v>
      </c>
      <c r="D1485" s="1" t="s">
        <v>58</v>
      </c>
      <c r="E1485" s="2" t="s">
        <v>406</v>
      </c>
      <c r="F1485" s="1"/>
      <c r="G1485" s="2">
        <v>6</v>
      </c>
      <c r="H1485" s="1"/>
      <c r="I1485" t="s">
        <v>1</v>
      </c>
      <c r="J1485" t="s">
        <v>26</v>
      </c>
      <c r="K1485" t="s">
        <v>25</v>
      </c>
      <c r="L1485" t="s">
        <v>72</v>
      </c>
      <c r="M1485" s="3" t="s">
        <v>1443</v>
      </c>
    </row>
    <row r="1486" spans="1:13" hidden="1" x14ac:dyDescent="0.25">
      <c r="A1486" s="1" t="str">
        <f>VLOOKUP(Table2[[#This Row],[Prod Line ]],Lists!A:E,5,0)</f>
        <v>b</v>
      </c>
      <c r="B1486" s="1">
        <v>44394</v>
      </c>
      <c r="C1486" s="1">
        <v>44392</v>
      </c>
      <c r="D1486" s="1" t="s">
        <v>58</v>
      </c>
      <c r="E1486" s="2" t="s">
        <v>406</v>
      </c>
      <c r="F1486" s="1"/>
      <c r="G1486" s="2">
        <v>9</v>
      </c>
      <c r="H1486" s="1"/>
      <c r="I1486" t="s">
        <v>1</v>
      </c>
      <c r="J1486" t="s">
        <v>2</v>
      </c>
      <c r="K1486" t="s">
        <v>19</v>
      </c>
      <c r="L1486" t="s">
        <v>72</v>
      </c>
      <c r="M1486" s="3" t="s">
        <v>557</v>
      </c>
    </row>
    <row r="1487" spans="1:13" hidden="1" x14ac:dyDescent="0.25">
      <c r="A1487" s="1" t="str">
        <f>VLOOKUP(Table2[[#This Row],[Prod Line ]],Lists!A:E,5,0)</f>
        <v>b</v>
      </c>
      <c r="B1487" s="1">
        <v>44394</v>
      </c>
      <c r="C1487" s="1">
        <v>44392</v>
      </c>
      <c r="D1487" s="1" t="s">
        <v>58</v>
      </c>
      <c r="E1487" s="2" t="s">
        <v>406</v>
      </c>
      <c r="F1487" s="1"/>
      <c r="G1487" s="2">
        <v>4</v>
      </c>
      <c r="H1487" s="1"/>
      <c r="I1487" t="s">
        <v>1</v>
      </c>
      <c r="J1487" t="s">
        <v>26</v>
      </c>
      <c r="K1487" t="s">
        <v>25</v>
      </c>
      <c r="L1487" t="s">
        <v>441</v>
      </c>
      <c r="M1487" s="3"/>
    </row>
    <row r="1488" spans="1:13" hidden="1" x14ac:dyDescent="0.25">
      <c r="A1488" s="1" t="str">
        <f>VLOOKUP(Table2[[#This Row],[Prod Line ]],Lists!A:E,5,0)</f>
        <v>d</v>
      </c>
      <c r="B1488" s="1">
        <v>44394</v>
      </c>
      <c r="C1488" s="1">
        <v>44392</v>
      </c>
      <c r="D1488" s="1" t="s">
        <v>62</v>
      </c>
      <c r="E1488" s="2" t="s">
        <v>406</v>
      </c>
      <c r="F1488" s="1"/>
      <c r="G1488" s="2">
        <v>21</v>
      </c>
      <c r="H1488" s="1"/>
      <c r="I1488" t="s">
        <v>0</v>
      </c>
      <c r="J1488" t="s">
        <v>2</v>
      </c>
      <c r="K1488" t="s">
        <v>15</v>
      </c>
      <c r="L1488" t="s">
        <v>70</v>
      </c>
      <c r="M1488" s="3" t="s">
        <v>1084</v>
      </c>
    </row>
    <row r="1489" spans="1:13" hidden="1" x14ac:dyDescent="0.25">
      <c r="A1489" s="1" t="str">
        <f>VLOOKUP(Table2[[#This Row],[Prod Line ]],Lists!A:E,5,0)</f>
        <v>d</v>
      </c>
      <c r="B1489" s="1">
        <v>44394</v>
      </c>
      <c r="C1489" s="1">
        <v>44392</v>
      </c>
      <c r="D1489" s="1" t="s">
        <v>62</v>
      </c>
      <c r="E1489" s="2" t="s">
        <v>406</v>
      </c>
      <c r="F1489" s="1"/>
      <c r="G1489" s="2">
        <v>8</v>
      </c>
      <c r="H1489" s="1"/>
      <c r="I1489" t="s">
        <v>1</v>
      </c>
      <c r="J1489" t="s">
        <v>2</v>
      </c>
      <c r="K1489" t="s">
        <v>19</v>
      </c>
      <c r="L1489" t="s">
        <v>349</v>
      </c>
      <c r="M1489" s="3"/>
    </row>
    <row r="1490" spans="1:13" hidden="1" x14ac:dyDescent="0.25">
      <c r="A1490" s="1" t="str">
        <f>VLOOKUP(Table2[[#This Row],[Prod Line ]],Lists!A:E,5,0)</f>
        <v>c</v>
      </c>
      <c r="B1490" s="1">
        <v>44393</v>
      </c>
      <c r="C1490" s="1">
        <v>44391</v>
      </c>
      <c r="D1490" s="1" t="s">
        <v>60</v>
      </c>
      <c r="E1490" s="2" t="s">
        <v>404</v>
      </c>
      <c r="F1490" s="1"/>
      <c r="G1490" s="2">
        <v>40</v>
      </c>
      <c r="H1490" s="1"/>
      <c r="I1490" t="s">
        <v>0</v>
      </c>
      <c r="J1490" t="s">
        <v>64</v>
      </c>
      <c r="K1490" t="s">
        <v>381</v>
      </c>
      <c r="L1490" t="s">
        <v>70</v>
      </c>
      <c r="M1490" s="3" t="s">
        <v>1444</v>
      </c>
    </row>
    <row r="1491" spans="1:13" hidden="1" x14ac:dyDescent="0.25">
      <c r="A1491" s="1" t="str">
        <f>VLOOKUP(Table2[[#This Row],[Prod Line ]],Lists!A:E,5,0)</f>
        <v>a</v>
      </c>
      <c r="B1491" s="1">
        <v>44390</v>
      </c>
      <c r="C1491" s="1">
        <v>44388</v>
      </c>
      <c r="D1491" s="1" t="s">
        <v>56</v>
      </c>
      <c r="E1491" s="2" t="s">
        <v>404</v>
      </c>
      <c r="F1491" s="1"/>
      <c r="G1491" s="2">
        <v>15</v>
      </c>
      <c r="H1491" s="1"/>
      <c r="I1491" t="s">
        <v>1</v>
      </c>
      <c r="J1491" t="s">
        <v>64</v>
      </c>
      <c r="K1491" t="s">
        <v>370</v>
      </c>
      <c r="L1491" t="s">
        <v>72</v>
      </c>
      <c r="M1491" s="3" t="s">
        <v>548</v>
      </c>
    </row>
    <row r="1492" spans="1:13" hidden="1" x14ac:dyDescent="0.25">
      <c r="A1492" s="1" t="str">
        <f>VLOOKUP(Table2[[#This Row],[Prod Line ]],Lists!A:E,5,0)</f>
        <v>a</v>
      </c>
      <c r="B1492" s="1">
        <v>44392</v>
      </c>
      <c r="C1492" s="1">
        <v>44389</v>
      </c>
      <c r="D1492" s="1" t="s">
        <v>56</v>
      </c>
      <c r="E1492" s="2" t="s">
        <v>404</v>
      </c>
      <c r="F1492" s="1"/>
      <c r="G1492" s="2">
        <v>7</v>
      </c>
      <c r="H1492" s="1"/>
      <c r="I1492" t="s">
        <v>1</v>
      </c>
      <c r="J1492" t="s">
        <v>65</v>
      </c>
      <c r="K1492" t="s">
        <v>27</v>
      </c>
      <c r="L1492" t="s">
        <v>441</v>
      </c>
      <c r="M1492" s="3"/>
    </row>
    <row r="1493" spans="1:13" hidden="1" x14ac:dyDescent="0.25">
      <c r="A1493" s="1" t="str">
        <f>VLOOKUP(Table2[[#This Row],[Prod Line ]],Lists!A:E,5,0)</f>
        <v>a</v>
      </c>
      <c r="B1493" s="1">
        <v>44392</v>
      </c>
      <c r="C1493" s="1">
        <v>44389</v>
      </c>
      <c r="D1493" s="1" t="s">
        <v>56</v>
      </c>
      <c r="E1493" s="2" t="s">
        <v>404</v>
      </c>
      <c r="F1493" s="1"/>
      <c r="G1493" s="2">
        <v>18</v>
      </c>
      <c r="H1493" s="1"/>
      <c r="I1493" t="s">
        <v>0</v>
      </c>
      <c r="J1493" t="s">
        <v>64</v>
      </c>
      <c r="K1493" t="s">
        <v>367</v>
      </c>
      <c r="L1493" t="s">
        <v>70</v>
      </c>
      <c r="M1493" s="3" t="s">
        <v>1445</v>
      </c>
    </row>
    <row r="1494" spans="1:13" hidden="1" x14ac:dyDescent="0.25">
      <c r="A1494" s="1" t="str">
        <f>VLOOKUP(Table2[[#This Row],[Prod Line ]],Lists!A:E,5,0)</f>
        <v>a</v>
      </c>
      <c r="B1494" s="1">
        <v>44392</v>
      </c>
      <c r="C1494" s="1">
        <v>44389</v>
      </c>
      <c r="D1494" s="1" t="s">
        <v>56</v>
      </c>
      <c r="E1494" s="2" t="s">
        <v>404</v>
      </c>
      <c r="F1494" s="1"/>
      <c r="G1494" s="2">
        <v>27</v>
      </c>
      <c r="H1494" s="1"/>
      <c r="I1494" t="s">
        <v>0</v>
      </c>
      <c r="J1494" t="s">
        <v>64</v>
      </c>
      <c r="K1494" t="s">
        <v>370</v>
      </c>
      <c r="L1494" t="s">
        <v>70</v>
      </c>
      <c r="M1494" s="3" t="s">
        <v>1446</v>
      </c>
    </row>
    <row r="1495" spans="1:13" hidden="1" x14ac:dyDescent="0.25">
      <c r="A1495" s="1" t="str">
        <f>VLOOKUP(Table2[[#This Row],[Prod Line ]],Lists!A:E,5,0)</f>
        <v>a</v>
      </c>
      <c r="B1495" s="1">
        <v>44392</v>
      </c>
      <c r="C1495" s="1">
        <v>44389</v>
      </c>
      <c r="D1495" s="1" t="s">
        <v>56</v>
      </c>
      <c r="E1495" s="2" t="s">
        <v>404</v>
      </c>
      <c r="F1495" s="1"/>
      <c r="G1495" s="2">
        <v>27</v>
      </c>
      <c r="H1495" s="1"/>
      <c r="I1495" t="s">
        <v>1</v>
      </c>
      <c r="J1495" t="s">
        <v>64</v>
      </c>
      <c r="K1495" t="s">
        <v>370</v>
      </c>
      <c r="L1495" t="s">
        <v>72</v>
      </c>
      <c r="M1495" s="3" t="s">
        <v>548</v>
      </c>
    </row>
    <row r="1496" spans="1:13" hidden="1" x14ac:dyDescent="0.25">
      <c r="A1496" s="1" t="str">
        <f>VLOOKUP(Table2[[#This Row],[Prod Line ]],Lists!A:E,5,0)</f>
        <v>a</v>
      </c>
      <c r="B1496" s="1">
        <v>44393</v>
      </c>
      <c r="C1496" s="1">
        <v>44390</v>
      </c>
      <c r="D1496" s="1" t="s">
        <v>56</v>
      </c>
      <c r="E1496" s="2" t="s">
        <v>404</v>
      </c>
      <c r="F1496" s="1"/>
      <c r="G1496" s="2">
        <v>6</v>
      </c>
      <c r="H1496" s="1"/>
      <c r="I1496" t="s">
        <v>1</v>
      </c>
      <c r="J1496" t="s">
        <v>64</v>
      </c>
      <c r="K1496" t="s">
        <v>370</v>
      </c>
      <c r="L1496" t="s">
        <v>72</v>
      </c>
      <c r="M1496" s="3" t="s">
        <v>548</v>
      </c>
    </row>
    <row r="1497" spans="1:13" hidden="1" x14ac:dyDescent="0.25">
      <c r="A1497" s="1" t="str">
        <f>VLOOKUP(Table2[[#This Row],[Prod Line ]],Lists!A:E,5,0)</f>
        <v>b</v>
      </c>
      <c r="B1497" s="1">
        <v>44394</v>
      </c>
      <c r="C1497" s="1">
        <v>44393</v>
      </c>
      <c r="D1497" s="1" t="s">
        <v>58</v>
      </c>
      <c r="E1497" s="2" t="s">
        <v>404</v>
      </c>
      <c r="F1497" s="1"/>
      <c r="G1497" s="2">
        <v>5</v>
      </c>
      <c r="H1497" s="1"/>
      <c r="I1497" t="s">
        <v>1</v>
      </c>
      <c r="J1497" t="s">
        <v>26</v>
      </c>
      <c r="K1497" t="s">
        <v>25</v>
      </c>
      <c r="L1497" t="s">
        <v>441</v>
      </c>
      <c r="M1497" s="3" t="s">
        <v>1447</v>
      </c>
    </row>
    <row r="1498" spans="1:13" hidden="1" x14ac:dyDescent="0.25">
      <c r="A1498" s="1" t="str">
        <f>VLOOKUP(Table2[[#This Row],[Prod Line ]],Lists!A:E,5,0)</f>
        <v>b</v>
      </c>
      <c r="B1498" s="1">
        <v>44394</v>
      </c>
      <c r="C1498" s="1">
        <v>44393</v>
      </c>
      <c r="D1498" s="1" t="s">
        <v>58</v>
      </c>
      <c r="E1498" s="2" t="s">
        <v>404</v>
      </c>
      <c r="F1498" s="1"/>
      <c r="G1498" s="2">
        <v>23</v>
      </c>
      <c r="H1498" s="1"/>
      <c r="I1498" t="s">
        <v>1</v>
      </c>
      <c r="J1498" t="s">
        <v>2</v>
      </c>
      <c r="K1498" t="s">
        <v>19</v>
      </c>
      <c r="L1498" t="s">
        <v>72</v>
      </c>
      <c r="M1498" s="3" t="s">
        <v>1448</v>
      </c>
    </row>
    <row r="1499" spans="1:13" hidden="1" x14ac:dyDescent="0.25">
      <c r="A1499" s="1" t="str">
        <f>VLOOKUP(Table2[[#This Row],[Prod Line ]],Lists!A:E,5,0)</f>
        <v>a</v>
      </c>
      <c r="B1499" s="1">
        <v>44396</v>
      </c>
      <c r="C1499" s="1">
        <v>44394</v>
      </c>
      <c r="D1499" s="1" t="s">
        <v>56</v>
      </c>
      <c r="E1499" s="2" t="s">
        <v>404</v>
      </c>
      <c r="F1499" s="1"/>
      <c r="G1499" s="2">
        <v>12</v>
      </c>
      <c r="H1499" s="1"/>
      <c r="I1499" t="s">
        <v>1</v>
      </c>
      <c r="J1499" t="s">
        <v>2</v>
      </c>
      <c r="K1499" t="s">
        <v>19</v>
      </c>
      <c r="L1499" t="s">
        <v>407</v>
      </c>
      <c r="M1499" s="3" t="s">
        <v>834</v>
      </c>
    </row>
    <row r="1500" spans="1:13" hidden="1" x14ac:dyDescent="0.25">
      <c r="A1500" s="1" t="str">
        <f>VLOOKUP(Table2[[#This Row],[Prod Line ]],Lists!A:E,5,0)</f>
        <v>a</v>
      </c>
      <c r="B1500" s="1">
        <v>44396</v>
      </c>
      <c r="C1500" s="1">
        <v>44394</v>
      </c>
      <c r="D1500" s="1" t="s">
        <v>56</v>
      </c>
      <c r="E1500" s="2" t="s">
        <v>404</v>
      </c>
      <c r="F1500" s="1"/>
      <c r="G1500" s="2">
        <v>10</v>
      </c>
      <c r="H1500" s="1"/>
      <c r="I1500" t="s">
        <v>1</v>
      </c>
      <c r="J1500" t="s">
        <v>65</v>
      </c>
      <c r="K1500" t="s">
        <v>27</v>
      </c>
      <c r="L1500" t="s">
        <v>441</v>
      </c>
      <c r="M1500" s="3" t="s">
        <v>1011</v>
      </c>
    </row>
    <row r="1501" spans="1:13" hidden="1" x14ac:dyDescent="0.25">
      <c r="A1501" s="1" t="str">
        <f>VLOOKUP(Table2[[#This Row],[Prod Line ]],Lists!A:E,5,0)</f>
        <v>a</v>
      </c>
      <c r="B1501" s="1">
        <v>44396</v>
      </c>
      <c r="C1501" s="1">
        <v>44394</v>
      </c>
      <c r="D1501" s="1" t="s">
        <v>56</v>
      </c>
      <c r="E1501" s="2" t="s">
        <v>405</v>
      </c>
      <c r="F1501" s="1"/>
      <c r="G1501" s="2">
        <v>15</v>
      </c>
      <c r="H1501" s="1"/>
      <c r="I1501" t="s">
        <v>1</v>
      </c>
      <c r="J1501" t="s">
        <v>64</v>
      </c>
      <c r="K1501" t="s">
        <v>367</v>
      </c>
      <c r="L1501" t="s">
        <v>407</v>
      </c>
      <c r="M1501" s="3" t="s">
        <v>833</v>
      </c>
    </row>
    <row r="1502" spans="1:13" hidden="1" x14ac:dyDescent="0.25">
      <c r="A1502" s="1" t="str">
        <f>VLOOKUP(Table2[[#This Row],[Prod Line ]],Lists!A:E,5,0)</f>
        <v>a</v>
      </c>
      <c r="B1502" s="1">
        <v>44396</v>
      </c>
      <c r="C1502" s="1">
        <v>44394</v>
      </c>
      <c r="D1502" s="1" t="s">
        <v>56</v>
      </c>
      <c r="E1502" s="2" t="s">
        <v>404</v>
      </c>
      <c r="F1502" s="1"/>
      <c r="G1502" s="2">
        <v>11</v>
      </c>
      <c r="H1502" s="1"/>
      <c r="I1502" t="s">
        <v>1</v>
      </c>
      <c r="J1502" t="s">
        <v>64</v>
      </c>
      <c r="K1502" t="s">
        <v>367</v>
      </c>
      <c r="L1502" t="s">
        <v>407</v>
      </c>
      <c r="M1502" s="3" t="s">
        <v>833</v>
      </c>
    </row>
    <row r="1503" spans="1:13" hidden="1" x14ac:dyDescent="0.25">
      <c r="A1503" s="1" t="str">
        <f>VLOOKUP(Table2[[#This Row],[Prod Line ]],Lists!A:E,5,0)</f>
        <v>a</v>
      </c>
      <c r="B1503" s="1">
        <v>44396</v>
      </c>
      <c r="C1503" s="1">
        <v>44394</v>
      </c>
      <c r="D1503" s="1" t="s">
        <v>56</v>
      </c>
      <c r="E1503" s="2" t="s">
        <v>404</v>
      </c>
      <c r="F1503" s="1"/>
      <c r="G1503" s="2">
        <v>7</v>
      </c>
      <c r="H1503" s="1"/>
      <c r="I1503" t="s">
        <v>1</v>
      </c>
      <c r="J1503" t="s">
        <v>65</v>
      </c>
      <c r="K1503" t="s">
        <v>27</v>
      </c>
      <c r="L1503" t="s">
        <v>350</v>
      </c>
      <c r="M1503" s="3" t="s">
        <v>884</v>
      </c>
    </row>
    <row r="1504" spans="1:13" hidden="1" x14ac:dyDescent="0.25">
      <c r="A1504" s="1" t="str">
        <f>VLOOKUP(Table2[[#This Row],[Prod Line ]],Lists!A:E,5,0)</f>
        <v>b</v>
      </c>
      <c r="B1504" s="1">
        <v>44396</v>
      </c>
      <c r="C1504" s="1">
        <v>44394</v>
      </c>
      <c r="D1504" s="1" t="s">
        <v>58</v>
      </c>
      <c r="E1504" s="2" t="s">
        <v>1382</v>
      </c>
      <c r="F1504" s="1"/>
      <c r="G1504" s="2">
        <v>15</v>
      </c>
      <c r="H1504" s="1"/>
      <c r="I1504" t="s">
        <v>1</v>
      </c>
      <c r="J1504" t="s">
        <v>65</v>
      </c>
      <c r="K1504" t="s">
        <v>27</v>
      </c>
      <c r="L1504" t="s">
        <v>441</v>
      </c>
      <c r="M1504" s="3" t="s">
        <v>612</v>
      </c>
    </row>
    <row r="1505" spans="1:13" hidden="1" x14ac:dyDescent="0.25">
      <c r="A1505" s="1" t="str">
        <f>VLOOKUP(Table2[[#This Row],[Prod Line ]],Lists!A:E,5,0)</f>
        <v>b</v>
      </c>
      <c r="B1505" s="1">
        <v>44396</v>
      </c>
      <c r="C1505" s="1">
        <v>44394</v>
      </c>
      <c r="D1505" s="1" t="s">
        <v>58</v>
      </c>
      <c r="E1505" s="2" t="s">
        <v>404</v>
      </c>
      <c r="F1505" s="1"/>
      <c r="G1505" s="2">
        <v>5</v>
      </c>
      <c r="H1505" s="1"/>
      <c r="I1505" t="s">
        <v>1</v>
      </c>
      <c r="J1505" t="s">
        <v>2</v>
      </c>
      <c r="K1505" t="s">
        <v>19</v>
      </c>
      <c r="L1505" t="s">
        <v>349</v>
      </c>
      <c r="M1505" s="3" t="s">
        <v>575</v>
      </c>
    </row>
    <row r="1506" spans="1:13" hidden="1" x14ac:dyDescent="0.25">
      <c r="A1506" s="1" t="str">
        <f>VLOOKUP(Table2[[#This Row],[Prod Line ]],Lists!A:E,5,0)</f>
        <v>b</v>
      </c>
      <c r="B1506" s="1">
        <v>44396</v>
      </c>
      <c r="C1506" s="1">
        <v>44394</v>
      </c>
      <c r="D1506" s="1" t="s">
        <v>58</v>
      </c>
      <c r="E1506" s="2" t="s">
        <v>404</v>
      </c>
      <c r="F1506" s="1"/>
      <c r="G1506" s="2">
        <v>26</v>
      </c>
      <c r="H1506" s="1"/>
      <c r="I1506" t="s">
        <v>1</v>
      </c>
      <c r="J1506" t="s">
        <v>65</v>
      </c>
      <c r="K1506" t="s">
        <v>27</v>
      </c>
      <c r="L1506" t="s">
        <v>441</v>
      </c>
      <c r="M1506" s="3" t="s">
        <v>612</v>
      </c>
    </row>
    <row r="1507" spans="1:13" hidden="1" x14ac:dyDescent="0.25">
      <c r="A1507" s="1" t="str">
        <f>VLOOKUP(Table2[[#This Row],[Prod Line ]],Lists!A:E,5,0)</f>
        <v>b</v>
      </c>
      <c r="B1507" s="1">
        <v>44396</v>
      </c>
      <c r="C1507" s="1">
        <v>44394</v>
      </c>
      <c r="D1507" s="1" t="s">
        <v>58</v>
      </c>
      <c r="E1507" s="2" t="s">
        <v>1382</v>
      </c>
      <c r="F1507" s="1"/>
      <c r="G1507" s="2">
        <v>4</v>
      </c>
      <c r="H1507" s="1"/>
      <c r="I1507" t="s">
        <v>0</v>
      </c>
      <c r="J1507" t="s">
        <v>26</v>
      </c>
      <c r="K1507" t="s">
        <v>25</v>
      </c>
      <c r="L1507" t="s">
        <v>69</v>
      </c>
      <c r="M1507" s="3" t="s">
        <v>1318</v>
      </c>
    </row>
    <row r="1508" spans="1:13" hidden="1" x14ac:dyDescent="0.25">
      <c r="A1508" s="1" t="str">
        <f>VLOOKUP(Table2[[#This Row],[Prod Line ]],Lists!A:E,5,0)</f>
        <v>c</v>
      </c>
      <c r="B1508" s="1">
        <v>44396</v>
      </c>
      <c r="C1508" s="1">
        <v>44394</v>
      </c>
      <c r="D1508" s="1" t="s">
        <v>60</v>
      </c>
      <c r="E1508" s="2" t="s">
        <v>404</v>
      </c>
      <c r="F1508" s="1"/>
      <c r="G1508" s="2">
        <v>6</v>
      </c>
      <c r="H1508" s="1"/>
      <c r="I1508" t="s">
        <v>1</v>
      </c>
      <c r="J1508" t="s">
        <v>64</v>
      </c>
      <c r="K1508" t="s">
        <v>367</v>
      </c>
      <c r="L1508" t="s">
        <v>407</v>
      </c>
      <c r="M1508" s="3" t="s">
        <v>833</v>
      </c>
    </row>
    <row r="1509" spans="1:13" hidden="1" x14ac:dyDescent="0.25">
      <c r="A1509" s="1" t="str">
        <f>VLOOKUP(Table2[[#This Row],[Prod Line ]],Lists!A:E,5,0)</f>
        <v>c</v>
      </c>
      <c r="B1509" s="1">
        <v>44396</v>
      </c>
      <c r="C1509" s="1">
        <v>44394</v>
      </c>
      <c r="D1509" s="1" t="s">
        <v>60</v>
      </c>
      <c r="E1509" s="2" t="s">
        <v>774</v>
      </c>
      <c r="F1509" s="1"/>
      <c r="G1509" s="2">
        <v>13</v>
      </c>
      <c r="H1509" s="1"/>
      <c r="I1509" t="s">
        <v>1</v>
      </c>
      <c r="J1509" t="s">
        <v>64</v>
      </c>
      <c r="K1509" t="s">
        <v>379</v>
      </c>
      <c r="L1509" t="s">
        <v>407</v>
      </c>
      <c r="M1509" s="3" t="s">
        <v>1449</v>
      </c>
    </row>
    <row r="1510" spans="1:13" hidden="1" x14ac:dyDescent="0.25">
      <c r="A1510" s="1" t="str">
        <f>VLOOKUP(Table2[[#This Row],[Prod Line ]],Lists!A:E,5,0)</f>
        <v>b</v>
      </c>
      <c r="B1510" s="1">
        <v>44397</v>
      </c>
      <c r="C1510" s="1">
        <v>44395</v>
      </c>
      <c r="D1510" s="1" t="s">
        <v>58</v>
      </c>
      <c r="E1510" s="2" t="s">
        <v>774</v>
      </c>
      <c r="F1510" s="1"/>
      <c r="G1510" s="2">
        <v>6</v>
      </c>
      <c r="H1510" s="1"/>
      <c r="I1510" t="s">
        <v>1</v>
      </c>
      <c r="J1510" t="s">
        <v>65</v>
      </c>
      <c r="K1510" t="s">
        <v>27</v>
      </c>
      <c r="L1510" t="s">
        <v>441</v>
      </c>
      <c r="M1510" s="3" t="s">
        <v>612</v>
      </c>
    </row>
    <row r="1511" spans="1:13" hidden="1" x14ac:dyDescent="0.25">
      <c r="A1511" s="1" t="str">
        <f>VLOOKUP(Table2[[#This Row],[Prod Line ]],Lists!A:E,5,0)</f>
        <v>c</v>
      </c>
      <c r="B1511" s="1">
        <v>44397</v>
      </c>
      <c r="C1511" s="1">
        <v>44395</v>
      </c>
      <c r="D1511" s="1" t="s">
        <v>60</v>
      </c>
      <c r="E1511" s="2" t="s">
        <v>404</v>
      </c>
      <c r="F1511" s="1"/>
      <c r="G1511" s="2">
        <v>117</v>
      </c>
      <c r="H1511" s="1"/>
      <c r="I1511" t="s">
        <v>1</v>
      </c>
      <c r="J1511" t="s">
        <v>2</v>
      </c>
      <c r="K1511" t="s">
        <v>378</v>
      </c>
      <c r="L1511" t="s">
        <v>407</v>
      </c>
      <c r="M1511" s="3" t="s">
        <v>1450</v>
      </c>
    </row>
    <row r="1512" spans="1:13" hidden="1" x14ac:dyDescent="0.25">
      <c r="A1512" s="1" t="str">
        <f>VLOOKUP(Table2[[#This Row],[Prod Line ]],Lists!A:E,5,0)</f>
        <v>b</v>
      </c>
      <c r="B1512" s="1">
        <v>44397</v>
      </c>
      <c r="C1512" s="1">
        <v>44395</v>
      </c>
      <c r="D1512" s="1" t="s">
        <v>58</v>
      </c>
      <c r="E1512" s="2" t="s">
        <v>404</v>
      </c>
      <c r="F1512" s="1"/>
      <c r="G1512" s="2">
        <v>42</v>
      </c>
      <c r="H1512" s="1"/>
      <c r="I1512" t="s">
        <v>1</v>
      </c>
      <c r="J1512" t="s">
        <v>5</v>
      </c>
      <c r="K1512" t="s">
        <v>36</v>
      </c>
      <c r="L1512" t="s">
        <v>407</v>
      </c>
      <c r="M1512" s="3" t="s">
        <v>1451</v>
      </c>
    </row>
    <row r="1513" spans="1:13" hidden="1" x14ac:dyDescent="0.25">
      <c r="A1513" s="1" t="str">
        <f>VLOOKUP(Table2[[#This Row],[Prod Line ]],Lists!A:E,5,0)</f>
        <v>a</v>
      </c>
      <c r="B1513" s="1">
        <v>44399</v>
      </c>
      <c r="C1513" s="1">
        <v>44397</v>
      </c>
      <c r="D1513" s="1" t="s">
        <v>56</v>
      </c>
      <c r="E1513" s="2" t="s">
        <v>404</v>
      </c>
      <c r="F1513" s="1"/>
      <c r="G1513" s="2">
        <v>15</v>
      </c>
      <c r="H1513" s="1"/>
      <c r="I1513" t="s">
        <v>0</v>
      </c>
      <c r="J1513" t="s">
        <v>64</v>
      </c>
      <c r="K1513" t="s">
        <v>363</v>
      </c>
      <c r="L1513" t="s">
        <v>70</v>
      </c>
      <c r="M1513" s="3" t="s">
        <v>1452</v>
      </c>
    </row>
    <row r="1514" spans="1:13" hidden="1" x14ac:dyDescent="0.25">
      <c r="A1514" s="1" t="str">
        <f>VLOOKUP(Table2[[#This Row],[Prod Line ]],Lists!A:E,5,0)</f>
        <v>a</v>
      </c>
      <c r="B1514" s="1">
        <v>44399</v>
      </c>
      <c r="C1514" s="1">
        <v>44397</v>
      </c>
      <c r="D1514" s="1" t="s">
        <v>56</v>
      </c>
      <c r="E1514" s="2" t="s">
        <v>404</v>
      </c>
      <c r="F1514" s="1"/>
      <c r="G1514" s="2">
        <v>5</v>
      </c>
      <c r="H1514" s="1"/>
      <c r="I1514" t="s">
        <v>1</v>
      </c>
      <c r="J1514" t="s">
        <v>64</v>
      </c>
      <c r="K1514" t="s">
        <v>370</v>
      </c>
      <c r="L1514" t="s">
        <v>72</v>
      </c>
      <c r="M1514" s="3" t="s">
        <v>655</v>
      </c>
    </row>
    <row r="1515" spans="1:13" hidden="1" x14ac:dyDescent="0.25">
      <c r="A1515" s="1" t="str">
        <f>VLOOKUP(Table2[[#This Row],[Prod Line ]],Lists!A:E,5,0)</f>
        <v>b</v>
      </c>
      <c r="B1515" s="1">
        <v>44399</v>
      </c>
      <c r="C1515" s="1">
        <v>44397</v>
      </c>
      <c r="D1515" s="1" t="s">
        <v>58</v>
      </c>
      <c r="E1515" s="2" t="s">
        <v>406</v>
      </c>
      <c r="F1515" s="1"/>
      <c r="G1515" s="2">
        <v>3</v>
      </c>
      <c r="H1515" s="1"/>
      <c r="I1515" t="s">
        <v>1</v>
      </c>
      <c r="J1515" t="s">
        <v>64</v>
      </c>
      <c r="K1515" t="s">
        <v>21</v>
      </c>
      <c r="L1515" t="s">
        <v>72</v>
      </c>
      <c r="M1515" s="3" t="s">
        <v>1453</v>
      </c>
    </row>
    <row r="1516" spans="1:13" hidden="1" x14ac:dyDescent="0.25">
      <c r="A1516" s="1" t="str">
        <f>VLOOKUP(Table2[[#This Row],[Prod Line ]],Lists!A:E,5,0)</f>
        <v>b</v>
      </c>
      <c r="B1516" s="1">
        <v>44399</v>
      </c>
      <c r="C1516" s="1">
        <v>44397</v>
      </c>
      <c r="D1516" s="1" t="s">
        <v>58</v>
      </c>
      <c r="E1516" s="2" t="s">
        <v>406</v>
      </c>
      <c r="F1516" s="1"/>
      <c r="G1516" s="2">
        <v>4</v>
      </c>
      <c r="H1516" s="1"/>
      <c r="I1516" t="s">
        <v>1</v>
      </c>
      <c r="J1516" t="s">
        <v>26</v>
      </c>
      <c r="K1516" t="s">
        <v>25</v>
      </c>
      <c r="L1516" t="s">
        <v>441</v>
      </c>
      <c r="M1516" s="3" t="s">
        <v>605</v>
      </c>
    </row>
    <row r="1517" spans="1:13" hidden="1" x14ac:dyDescent="0.25">
      <c r="A1517" s="1" t="str">
        <f>VLOOKUP(Table2[[#This Row],[Prod Line ]],Lists!A:E,5,0)</f>
        <v>b</v>
      </c>
      <c r="B1517" s="1">
        <v>44399</v>
      </c>
      <c r="C1517" s="1">
        <v>44397</v>
      </c>
      <c r="D1517" s="1" t="s">
        <v>58</v>
      </c>
      <c r="E1517" s="2" t="s">
        <v>406</v>
      </c>
      <c r="F1517" s="1"/>
      <c r="G1517" s="2">
        <v>3</v>
      </c>
      <c r="H1517" s="1"/>
      <c r="I1517" t="s">
        <v>1</v>
      </c>
      <c r="J1517" t="s">
        <v>64</v>
      </c>
      <c r="K1517" t="s">
        <v>22</v>
      </c>
      <c r="L1517" t="s">
        <v>72</v>
      </c>
      <c r="M1517" s="3" t="s">
        <v>1454</v>
      </c>
    </row>
    <row r="1518" spans="1:13" hidden="1" x14ac:dyDescent="0.25">
      <c r="A1518" s="1" t="str">
        <f>VLOOKUP(Table2[[#This Row],[Prod Line ]],Lists!A:E,5,0)</f>
        <v>b</v>
      </c>
      <c r="B1518" s="1">
        <v>44399</v>
      </c>
      <c r="C1518" s="1">
        <v>44397</v>
      </c>
      <c r="D1518" s="1" t="s">
        <v>58</v>
      </c>
      <c r="E1518" s="2" t="s">
        <v>404</v>
      </c>
      <c r="F1518" s="1"/>
      <c r="G1518" s="2">
        <v>10</v>
      </c>
      <c r="H1518" s="1"/>
      <c r="I1518" t="s">
        <v>1</v>
      </c>
      <c r="J1518" t="s">
        <v>2</v>
      </c>
      <c r="K1518" t="s">
        <v>19</v>
      </c>
      <c r="L1518" t="s">
        <v>349</v>
      </c>
      <c r="M1518" s="3"/>
    </row>
    <row r="1519" spans="1:13" hidden="1" x14ac:dyDescent="0.25">
      <c r="A1519" s="1" t="str">
        <f>VLOOKUP(Table2[[#This Row],[Prod Line ]],Lists!A:E,5,0)</f>
        <v>b</v>
      </c>
      <c r="B1519" s="1">
        <v>44399</v>
      </c>
      <c r="C1519" s="1">
        <v>44397</v>
      </c>
      <c r="D1519" s="1" t="s">
        <v>58</v>
      </c>
      <c r="E1519" s="2" t="s">
        <v>406</v>
      </c>
      <c r="F1519" s="1"/>
      <c r="G1519" s="2">
        <v>27</v>
      </c>
      <c r="H1519" s="1"/>
      <c r="I1519" t="s">
        <v>1</v>
      </c>
      <c r="J1519" t="s">
        <v>26</v>
      </c>
      <c r="K1519" t="s">
        <v>25</v>
      </c>
      <c r="L1519" t="s">
        <v>441</v>
      </c>
      <c r="M1519" s="3"/>
    </row>
    <row r="1520" spans="1:13" hidden="1" x14ac:dyDescent="0.25">
      <c r="A1520" s="1" t="str">
        <f>VLOOKUP(Table2[[#This Row],[Prod Line ]],Lists!A:E,5,0)</f>
        <v>b</v>
      </c>
      <c r="B1520" s="1">
        <v>44399</v>
      </c>
      <c r="C1520" s="1">
        <v>44397</v>
      </c>
      <c r="D1520" s="1" t="s">
        <v>58</v>
      </c>
      <c r="E1520" s="2" t="s">
        <v>406</v>
      </c>
      <c r="F1520" s="1"/>
      <c r="G1520" s="2">
        <v>17</v>
      </c>
      <c r="H1520" s="1"/>
      <c r="I1520" t="s">
        <v>0</v>
      </c>
      <c r="J1520" t="s">
        <v>65</v>
      </c>
      <c r="K1520" t="s">
        <v>27</v>
      </c>
      <c r="L1520" t="s">
        <v>70</v>
      </c>
      <c r="M1520" s="3" t="s">
        <v>1455</v>
      </c>
    </row>
    <row r="1521" spans="1:13" hidden="1" x14ac:dyDescent="0.25">
      <c r="A1521" s="1" t="str">
        <f>VLOOKUP(Table2[[#This Row],[Prod Line ]],Lists!A:E,5,0)</f>
        <v>c</v>
      </c>
      <c r="B1521" s="1">
        <v>44399</v>
      </c>
      <c r="C1521" s="1">
        <v>44397</v>
      </c>
      <c r="D1521" s="1" t="s">
        <v>60</v>
      </c>
      <c r="E1521" s="2" t="s">
        <v>404</v>
      </c>
      <c r="F1521" s="1"/>
      <c r="G1521" s="2">
        <v>40</v>
      </c>
      <c r="H1521" s="1"/>
      <c r="I1521" t="s">
        <v>1</v>
      </c>
      <c r="J1521" t="s">
        <v>64</v>
      </c>
      <c r="K1521" t="s">
        <v>380</v>
      </c>
      <c r="L1521" t="s">
        <v>72</v>
      </c>
      <c r="M1521" s="3" t="s">
        <v>548</v>
      </c>
    </row>
    <row r="1522" spans="1:13" hidden="1" x14ac:dyDescent="0.25">
      <c r="A1522" s="1" t="str">
        <f>VLOOKUP(Table2[[#This Row],[Prod Line ]],Lists!A:E,5,0)</f>
        <v>c</v>
      </c>
      <c r="B1522" s="1">
        <v>44399</v>
      </c>
      <c r="C1522" s="1">
        <v>44397</v>
      </c>
      <c r="D1522" s="1" t="s">
        <v>60</v>
      </c>
      <c r="E1522" s="2" t="s">
        <v>404</v>
      </c>
      <c r="F1522" s="1"/>
      <c r="G1522" s="2">
        <v>10</v>
      </c>
      <c r="H1522" s="1"/>
      <c r="I1522" t="s">
        <v>0</v>
      </c>
      <c r="J1522" t="s">
        <v>65</v>
      </c>
      <c r="K1522" t="s">
        <v>3</v>
      </c>
      <c r="L1522" t="s">
        <v>70</v>
      </c>
      <c r="M1522" s="3" t="s">
        <v>1456</v>
      </c>
    </row>
    <row r="1523" spans="1:13" hidden="1" x14ac:dyDescent="0.25">
      <c r="A1523" s="1" t="str">
        <f>VLOOKUP(Table2[[#This Row],[Prod Line ]],Lists!A:E,5,0)</f>
        <v>d</v>
      </c>
      <c r="B1523" s="1">
        <v>44399</v>
      </c>
      <c r="C1523" s="1">
        <v>44397</v>
      </c>
      <c r="D1523" s="1" t="s">
        <v>62</v>
      </c>
      <c r="E1523" s="2" t="s">
        <v>404</v>
      </c>
      <c r="F1523" s="1"/>
      <c r="G1523" s="2">
        <v>5</v>
      </c>
      <c r="H1523" s="1"/>
      <c r="I1523" t="s">
        <v>1</v>
      </c>
      <c r="J1523" t="s">
        <v>2</v>
      </c>
      <c r="K1523" t="s">
        <v>19</v>
      </c>
      <c r="L1523" t="s">
        <v>349</v>
      </c>
      <c r="M1523" s="3" t="s">
        <v>1457</v>
      </c>
    </row>
    <row r="1524" spans="1:13" hidden="1" x14ac:dyDescent="0.25">
      <c r="A1524" s="1" t="str">
        <f>VLOOKUP(Table2[[#This Row],[Prod Line ]],Lists!A:E,5,0)</f>
        <v>a</v>
      </c>
      <c r="B1524" s="1">
        <v>44400</v>
      </c>
      <c r="C1524" s="1">
        <v>44398</v>
      </c>
      <c r="D1524" s="1" t="s">
        <v>56</v>
      </c>
      <c r="E1524" s="2" t="s">
        <v>404</v>
      </c>
      <c r="F1524" s="1"/>
      <c r="G1524" s="2">
        <v>5</v>
      </c>
      <c r="H1524" s="1"/>
      <c r="I1524" t="s">
        <v>1</v>
      </c>
      <c r="J1524" t="s">
        <v>64</v>
      </c>
      <c r="K1524" t="s">
        <v>380</v>
      </c>
      <c r="L1524" t="s">
        <v>72</v>
      </c>
      <c r="M1524" s="3" t="s">
        <v>548</v>
      </c>
    </row>
    <row r="1525" spans="1:13" hidden="1" x14ac:dyDescent="0.25">
      <c r="A1525" s="1" t="str">
        <f>VLOOKUP(Table2[[#This Row],[Prod Line ]],Lists!A:E,5,0)</f>
        <v>b</v>
      </c>
      <c r="B1525" s="1">
        <v>44400</v>
      </c>
      <c r="C1525" s="1">
        <v>44398</v>
      </c>
      <c r="D1525" s="1" t="s">
        <v>58</v>
      </c>
      <c r="E1525" s="2" t="s">
        <v>404</v>
      </c>
      <c r="F1525" s="1"/>
      <c r="G1525" s="2">
        <v>45</v>
      </c>
      <c r="H1525" s="1"/>
      <c r="I1525" t="s">
        <v>0</v>
      </c>
      <c r="J1525" t="s">
        <v>5</v>
      </c>
      <c r="K1525" t="s">
        <v>38</v>
      </c>
      <c r="L1525" t="s">
        <v>70</v>
      </c>
      <c r="M1525" s="3" t="s">
        <v>1458</v>
      </c>
    </row>
    <row r="1526" spans="1:13" hidden="1" x14ac:dyDescent="0.25">
      <c r="A1526" s="1" t="str">
        <f>VLOOKUP(Table2[[#This Row],[Prod Line ]],Lists!A:E,5,0)</f>
        <v>d</v>
      </c>
      <c r="B1526" s="1">
        <v>44400</v>
      </c>
      <c r="C1526" s="1">
        <v>44398</v>
      </c>
      <c r="D1526" s="1" t="s">
        <v>62</v>
      </c>
      <c r="E1526" s="2" t="s">
        <v>404</v>
      </c>
      <c r="F1526" s="1"/>
      <c r="G1526" s="2">
        <v>19</v>
      </c>
      <c r="H1526" s="1"/>
      <c r="I1526" t="s">
        <v>1</v>
      </c>
      <c r="J1526" t="s">
        <v>2</v>
      </c>
      <c r="K1526" t="s">
        <v>19</v>
      </c>
      <c r="L1526" t="s">
        <v>349</v>
      </c>
      <c r="M1526" s="3" t="s">
        <v>575</v>
      </c>
    </row>
    <row r="1527" spans="1:13" hidden="1" x14ac:dyDescent="0.25">
      <c r="A1527" s="1" t="str">
        <f>VLOOKUP(Table2[[#This Row],[Prod Line ]],Lists!A:E,5,0)</f>
        <v>d</v>
      </c>
      <c r="B1527" s="1">
        <v>44400</v>
      </c>
      <c r="C1527" s="1">
        <v>44398</v>
      </c>
      <c r="D1527" s="1" t="s">
        <v>62</v>
      </c>
      <c r="E1527" s="2" t="s">
        <v>404</v>
      </c>
      <c r="F1527" s="1"/>
      <c r="G1527" s="2">
        <v>25</v>
      </c>
      <c r="H1527" s="1"/>
      <c r="I1527" t="s">
        <v>0</v>
      </c>
      <c r="J1527" t="s">
        <v>64</v>
      </c>
      <c r="K1527" t="s">
        <v>379</v>
      </c>
      <c r="L1527" t="s">
        <v>70</v>
      </c>
      <c r="M1527" s="3" t="s">
        <v>1459</v>
      </c>
    </row>
    <row r="1528" spans="1:13" hidden="1" x14ac:dyDescent="0.25">
      <c r="A1528" s="1" t="str">
        <f>VLOOKUP(Table2[[#This Row],[Prod Line ]],Lists!A:E,5,0)</f>
        <v>a</v>
      </c>
      <c r="B1528" s="1">
        <v>44401</v>
      </c>
      <c r="C1528" s="1">
        <v>44399</v>
      </c>
      <c r="D1528" s="1" t="s">
        <v>56</v>
      </c>
      <c r="E1528" s="2" t="s">
        <v>404</v>
      </c>
      <c r="F1528" s="1"/>
      <c r="G1528" s="2">
        <v>27</v>
      </c>
      <c r="H1528" s="1"/>
      <c r="I1528" t="s">
        <v>1</v>
      </c>
      <c r="J1528" t="s">
        <v>64</v>
      </c>
      <c r="K1528" t="s">
        <v>380</v>
      </c>
      <c r="L1528" t="s">
        <v>72</v>
      </c>
      <c r="M1528" s="3" t="s">
        <v>548</v>
      </c>
    </row>
    <row r="1529" spans="1:13" hidden="1" x14ac:dyDescent="0.25">
      <c r="A1529" s="1" t="str">
        <f>VLOOKUP(Table2[[#This Row],[Prod Line ]],Lists!A:E,5,0)</f>
        <v>a</v>
      </c>
      <c r="B1529" s="1">
        <v>44401</v>
      </c>
      <c r="C1529" s="1">
        <v>44399</v>
      </c>
      <c r="D1529" s="1" t="s">
        <v>56</v>
      </c>
      <c r="E1529" s="2" t="s">
        <v>404</v>
      </c>
      <c r="F1529" s="1"/>
      <c r="G1529" s="2">
        <v>13</v>
      </c>
      <c r="H1529" s="1"/>
      <c r="I1529" t="s">
        <v>1</v>
      </c>
      <c r="J1529" t="s">
        <v>65</v>
      </c>
      <c r="K1529" t="s">
        <v>27</v>
      </c>
      <c r="L1529" t="s">
        <v>350</v>
      </c>
      <c r="M1529" s="3" t="s">
        <v>884</v>
      </c>
    </row>
    <row r="1530" spans="1:13" hidden="1" x14ac:dyDescent="0.25">
      <c r="A1530" s="1" t="str">
        <f>VLOOKUP(Table2[[#This Row],[Prod Line ]],Lists!A:E,5,0)</f>
        <v>a</v>
      </c>
      <c r="B1530" s="1">
        <v>44401</v>
      </c>
      <c r="C1530" s="1">
        <v>44399</v>
      </c>
      <c r="D1530" s="1" t="s">
        <v>56</v>
      </c>
      <c r="E1530" s="2" t="s">
        <v>404</v>
      </c>
      <c r="F1530" s="1"/>
      <c r="G1530" s="2">
        <v>10</v>
      </c>
      <c r="H1530" s="1"/>
      <c r="I1530" t="s">
        <v>0</v>
      </c>
      <c r="J1530" t="s">
        <v>5</v>
      </c>
      <c r="K1530" t="s">
        <v>376</v>
      </c>
      <c r="L1530" t="s">
        <v>70</v>
      </c>
      <c r="M1530" s="3" t="s">
        <v>1217</v>
      </c>
    </row>
    <row r="1531" spans="1:13" hidden="1" x14ac:dyDescent="0.25">
      <c r="A1531" s="1" t="str">
        <f>VLOOKUP(Table2[[#This Row],[Prod Line ]],Lists!A:E,5,0)</f>
        <v>c</v>
      </c>
      <c r="B1531" s="1">
        <v>44401</v>
      </c>
      <c r="C1531" s="1">
        <v>44399</v>
      </c>
      <c r="D1531" s="1" t="s">
        <v>60</v>
      </c>
      <c r="E1531" s="2" t="s">
        <v>405</v>
      </c>
      <c r="F1531" s="1"/>
      <c r="G1531" s="2">
        <v>46</v>
      </c>
      <c r="H1531" s="1"/>
      <c r="I1531" t="s">
        <v>1</v>
      </c>
      <c r="J1531" t="s">
        <v>64</v>
      </c>
      <c r="K1531" t="s">
        <v>380</v>
      </c>
      <c r="L1531" t="s">
        <v>72</v>
      </c>
      <c r="M1531" s="3" t="s">
        <v>548</v>
      </c>
    </row>
    <row r="1532" spans="1:13" hidden="1" x14ac:dyDescent="0.25">
      <c r="A1532" s="1" t="str">
        <f>VLOOKUP(Table2[[#This Row],[Prod Line ]],Lists!A:E,5,0)</f>
        <v>d</v>
      </c>
      <c r="B1532" s="1">
        <v>44401</v>
      </c>
      <c r="C1532" s="1">
        <v>44399</v>
      </c>
      <c r="D1532" s="1" t="s">
        <v>62</v>
      </c>
      <c r="E1532" s="2" t="s">
        <v>406</v>
      </c>
      <c r="F1532" s="1"/>
      <c r="G1532" s="2">
        <v>23</v>
      </c>
      <c r="H1532" s="1"/>
      <c r="I1532" t="s">
        <v>1</v>
      </c>
      <c r="J1532" t="s">
        <v>2</v>
      </c>
      <c r="K1532" t="s">
        <v>19</v>
      </c>
      <c r="L1532" t="s">
        <v>407</v>
      </c>
      <c r="M1532" s="3" t="s">
        <v>834</v>
      </c>
    </row>
    <row r="1533" spans="1:13" hidden="1" x14ac:dyDescent="0.25">
      <c r="A1533" s="1" t="str">
        <f>VLOOKUP(Table2[[#This Row],[Prod Line ]],Lists!A:E,5,0)</f>
        <v>d</v>
      </c>
      <c r="B1533" s="1">
        <v>44401</v>
      </c>
      <c r="C1533" s="1">
        <v>44399</v>
      </c>
      <c r="D1533" s="1" t="s">
        <v>62</v>
      </c>
      <c r="E1533" s="2" t="s">
        <v>404</v>
      </c>
      <c r="F1533" s="1"/>
      <c r="G1533" s="2">
        <v>5</v>
      </c>
      <c r="H1533" s="1"/>
      <c r="I1533" t="s">
        <v>0</v>
      </c>
      <c r="J1533" t="s">
        <v>2</v>
      </c>
      <c r="K1533" t="s">
        <v>19</v>
      </c>
      <c r="L1533" t="s">
        <v>70</v>
      </c>
      <c r="M1533" s="3" t="s">
        <v>1460</v>
      </c>
    </row>
    <row r="1534" spans="1:13" hidden="1" x14ac:dyDescent="0.25">
      <c r="A1534" s="1" t="str">
        <f>VLOOKUP(Table2[[#This Row],[Prod Line ]],Lists!A:E,5,0)</f>
        <v>a</v>
      </c>
      <c r="B1534" s="1">
        <v>44403</v>
      </c>
      <c r="C1534" s="1">
        <v>44401</v>
      </c>
      <c r="D1534" s="1" t="s">
        <v>56</v>
      </c>
      <c r="E1534" s="2" t="s">
        <v>404</v>
      </c>
      <c r="F1534" s="1"/>
      <c r="G1534" s="2">
        <v>4</v>
      </c>
      <c r="H1534" s="1"/>
      <c r="I1534" t="s">
        <v>1</v>
      </c>
      <c r="J1534" t="s">
        <v>64</v>
      </c>
      <c r="K1534" t="s">
        <v>363</v>
      </c>
      <c r="L1534" t="s">
        <v>407</v>
      </c>
      <c r="M1534" s="3" t="s">
        <v>750</v>
      </c>
    </row>
    <row r="1535" spans="1:13" hidden="1" x14ac:dyDescent="0.25">
      <c r="A1535" s="1" t="str">
        <f>VLOOKUP(Table2[[#This Row],[Prod Line ]],Lists!A:E,5,0)</f>
        <v>b</v>
      </c>
      <c r="B1535" s="1">
        <v>44403</v>
      </c>
      <c r="C1535" s="1">
        <v>44401</v>
      </c>
      <c r="D1535" s="1" t="s">
        <v>58</v>
      </c>
      <c r="E1535" s="2" t="s">
        <v>404</v>
      </c>
      <c r="F1535" s="1"/>
      <c r="G1535" s="2">
        <v>3</v>
      </c>
      <c r="H1535" s="1"/>
      <c r="I1535" t="s">
        <v>1</v>
      </c>
      <c r="J1535" t="s">
        <v>65</v>
      </c>
      <c r="K1535" t="s">
        <v>27</v>
      </c>
      <c r="L1535" t="s">
        <v>441</v>
      </c>
      <c r="M1535" s="3" t="s">
        <v>612</v>
      </c>
    </row>
    <row r="1536" spans="1:13" hidden="1" x14ac:dyDescent="0.25">
      <c r="A1536" s="1" t="str">
        <f>VLOOKUP(Table2[[#This Row],[Prod Line ]],Lists!A:E,5,0)</f>
        <v>b</v>
      </c>
      <c r="B1536" s="1">
        <v>44403</v>
      </c>
      <c r="C1536" s="1">
        <v>44401</v>
      </c>
      <c r="D1536" s="1" t="s">
        <v>58</v>
      </c>
      <c r="E1536" s="2" t="s">
        <v>406</v>
      </c>
      <c r="F1536" s="1"/>
      <c r="G1536" s="2">
        <v>6</v>
      </c>
      <c r="H1536" s="1"/>
      <c r="I1536" t="s">
        <v>0</v>
      </c>
      <c r="J1536" t="s">
        <v>64</v>
      </c>
      <c r="K1536" t="s">
        <v>23</v>
      </c>
      <c r="L1536" t="s">
        <v>70</v>
      </c>
      <c r="M1536" s="3" t="s">
        <v>1461</v>
      </c>
    </row>
    <row r="1537" spans="1:13" hidden="1" x14ac:dyDescent="0.25">
      <c r="A1537" s="1" t="str">
        <f>VLOOKUP(Table2[[#This Row],[Prod Line ]],Lists!A:E,5,0)</f>
        <v>b</v>
      </c>
      <c r="B1537" s="1">
        <v>44403</v>
      </c>
      <c r="C1537" s="1">
        <v>44401</v>
      </c>
      <c r="D1537" s="1" t="s">
        <v>58</v>
      </c>
      <c r="E1537" s="2" t="s">
        <v>406</v>
      </c>
      <c r="F1537" s="1"/>
      <c r="G1537" s="2">
        <v>14</v>
      </c>
      <c r="H1537" s="1"/>
      <c r="I1537" t="s">
        <v>1</v>
      </c>
      <c r="J1537" t="s">
        <v>65</v>
      </c>
      <c r="K1537" t="s">
        <v>27</v>
      </c>
      <c r="L1537" t="s">
        <v>441</v>
      </c>
      <c r="M1537" s="3" t="s">
        <v>612</v>
      </c>
    </row>
    <row r="1538" spans="1:13" hidden="1" x14ac:dyDescent="0.25">
      <c r="A1538" s="1" t="str">
        <f>VLOOKUP(Table2[[#This Row],[Prod Line ]],Lists!A:E,5,0)</f>
        <v>d</v>
      </c>
      <c r="B1538" s="1">
        <v>44403</v>
      </c>
      <c r="C1538" s="1">
        <v>44401</v>
      </c>
      <c r="D1538" s="1" t="s">
        <v>62</v>
      </c>
      <c r="E1538" s="2" t="s">
        <v>406</v>
      </c>
      <c r="F1538" s="1"/>
      <c r="G1538" s="2">
        <v>11</v>
      </c>
      <c r="H1538" s="1"/>
      <c r="I1538" t="s">
        <v>1</v>
      </c>
      <c r="J1538" t="s">
        <v>64</v>
      </c>
      <c r="K1538" t="s">
        <v>379</v>
      </c>
      <c r="L1538" t="s">
        <v>407</v>
      </c>
      <c r="M1538" s="3" t="s">
        <v>833</v>
      </c>
    </row>
    <row r="1539" spans="1:13" hidden="1" x14ac:dyDescent="0.25">
      <c r="A1539" s="1" t="str">
        <f>VLOOKUP(Table2[[#This Row],[Prod Line ]],Lists!A:E,5,0)</f>
        <v>b</v>
      </c>
      <c r="B1539" s="1">
        <v>44404</v>
      </c>
      <c r="C1539" s="1">
        <v>44402</v>
      </c>
      <c r="D1539" s="1" t="s">
        <v>58</v>
      </c>
      <c r="E1539" s="2" t="s">
        <v>406</v>
      </c>
      <c r="F1539" s="1"/>
      <c r="G1539" s="2">
        <v>4</v>
      </c>
      <c r="H1539" s="1"/>
      <c r="I1539" t="s">
        <v>1</v>
      </c>
      <c r="J1539" t="s">
        <v>64</v>
      </c>
      <c r="K1539" t="s">
        <v>380</v>
      </c>
      <c r="L1539" t="s">
        <v>72</v>
      </c>
      <c r="M1539" s="3" t="s">
        <v>548</v>
      </c>
    </row>
    <row r="1540" spans="1:13" hidden="1" x14ac:dyDescent="0.25">
      <c r="A1540" s="1" t="str">
        <f>VLOOKUP(Table2[[#This Row],[Prod Line ]],Lists!A:E,5,0)</f>
        <v>b</v>
      </c>
      <c r="B1540" s="1">
        <v>44404</v>
      </c>
      <c r="C1540" s="1">
        <v>44402</v>
      </c>
      <c r="D1540" s="1" t="s">
        <v>58</v>
      </c>
      <c r="E1540" s="2" t="s">
        <v>404</v>
      </c>
      <c r="F1540" s="1"/>
      <c r="G1540" s="2">
        <v>20</v>
      </c>
      <c r="H1540" s="1"/>
      <c r="I1540" t="s">
        <v>0</v>
      </c>
      <c r="J1540" t="s">
        <v>66</v>
      </c>
      <c r="K1540" t="s">
        <v>34</v>
      </c>
      <c r="L1540" t="s">
        <v>70</v>
      </c>
      <c r="M1540" s="3" t="s">
        <v>922</v>
      </c>
    </row>
    <row r="1541" spans="1:13" hidden="1" x14ac:dyDescent="0.25">
      <c r="A1541" s="1" t="str">
        <f>VLOOKUP(Table2[[#This Row],[Prod Line ]],Lists!A:E,5,0)</f>
        <v>b</v>
      </c>
      <c r="B1541" s="1">
        <v>44404</v>
      </c>
      <c r="C1541" s="1">
        <v>44402</v>
      </c>
      <c r="D1541" s="1" t="s">
        <v>58</v>
      </c>
      <c r="E1541" s="2" t="s">
        <v>404</v>
      </c>
      <c r="F1541" s="1"/>
      <c r="G1541" s="2">
        <v>20</v>
      </c>
      <c r="H1541" s="1"/>
      <c r="I1541" t="s">
        <v>1</v>
      </c>
      <c r="J1541" t="s">
        <v>65</v>
      </c>
      <c r="K1541" t="s">
        <v>27</v>
      </c>
      <c r="L1541" t="s">
        <v>441</v>
      </c>
      <c r="M1541" s="3" t="s">
        <v>612</v>
      </c>
    </row>
    <row r="1542" spans="1:13" hidden="1" x14ac:dyDescent="0.25">
      <c r="A1542" s="1" t="str">
        <f>VLOOKUP(Table2[[#This Row],[Prod Line ]],Lists!A:E,5,0)</f>
        <v>b</v>
      </c>
      <c r="B1542" s="1">
        <v>44404</v>
      </c>
      <c r="C1542" s="1">
        <v>44402</v>
      </c>
      <c r="D1542" s="1" t="s">
        <v>58</v>
      </c>
      <c r="E1542" s="2" t="s">
        <v>405</v>
      </c>
      <c r="F1542" s="1"/>
      <c r="G1542" s="2">
        <v>5</v>
      </c>
      <c r="H1542" s="1"/>
      <c r="I1542" t="s">
        <v>1</v>
      </c>
      <c r="J1542" t="s">
        <v>65</v>
      </c>
      <c r="K1542" t="s">
        <v>27</v>
      </c>
      <c r="L1542" t="s">
        <v>441</v>
      </c>
      <c r="M1542" s="3" t="s">
        <v>612</v>
      </c>
    </row>
    <row r="1543" spans="1:13" hidden="1" x14ac:dyDescent="0.25">
      <c r="A1543" s="1" t="str">
        <f>VLOOKUP(Table2[[#This Row],[Prod Line ]],Lists!A:E,5,0)</f>
        <v>b</v>
      </c>
      <c r="B1543" s="1">
        <v>44404</v>
      </c>
      <c r="C1543" s="1">
        <v>44402</v>
      </c>
      <c r="D1543" s="1" t="s">
        <v>58</v>
      </c>
      <c r="E1543" s="2" t="s">
        <v>406</v>
      </c>
      <c r="F1543" s="1"/>
      <c r="G1543" s="2">
        <v>66</v>
      </c>
      <c r="H1543" s="1"/>
      <c r="I1543" t="s">
        <v>1</v>
      </c>
      <c r="J1543" t="s">
        <v>5</v>
      </c>
      <c r="K1543" t="s">
        <v>38</v>
      </c>
      <c r="L1543" t="s">
        <v>407</v>
      </c>
      <c r="M1543" s="3" t="s">
        <v>1462</v>
      </c>
    </row>
    <row r="1544" spans="1:13" hidden="1" x14ac:dyDescent="0.25">
      <c r="A1544" s="1" t="str">
        <f>VLOOKUP(Table2[[#This Row],[Prod Line ]],Lists!A:E,5,0)</f>
        <v>b</v>
      </c>
      <c r="B1544" s="1">
        <v>44404</v>
      </c>
      <c r="C1544" s="1">
        <v>44402</v>
      </c>
      <c r="D1544" s="1" t="s">
        <v>58</v>
      </c>
      <c r="E1544" s="2" t="s">
        <v>404</v>
      </c>
      <c r="F1544" s="1"/>
      <c r="G1544" s="2">
        <v>35</v>
      </c>
      <c r="H1544" s="1"/>
      <c r="I1544" t="s">
        <v>1</v>
      </c>
      <c r="J1544" t="s">
        <v>5</v>
      </c>
      <c r="K1544" t="s">
        <v>38</v>
      </c>
      <c r="L1544" t="s">
        <v>407</v>
      </c>
      <c r="M1544" s="3" t="s">
        <v>1462</v>
      </c>
    </row>
    <row r="1545" spans="1:13" hidden="1" x14ac:dyDescent="0.25">
      <c r="A1545" s="1" t="str">
        <f>VLOOKUP(Table2[[#This Row],[Prod Line ]],Lists!A:E,5,0)</f>
        <v>b</v>
      </c>
      <c r="B1545" s="1">
        <v>44404</v>
      </c>
      <c r="C1545" s="1">
        <v>44402</v>
      </c>
      <c r="D1545" s="1" t="s">
        <v>58</v>
      </c>
      <c r="E1545" s="2" t="s">
        <v>404</v>
      </c>
      <c r="F1545" s="1"/>
      <c r="G1545" s="2">
        <v>45</v>
      </c>
      <c r="H1545" s="1"/>
      <c r="I1545" t="s">
        <v>0</v>
      </c>
      <c r="J1545" t="s">
        <v>5</v>
      </c>
      <c r="K1545" t="s">
        <v>37</v>
      </c>
      <c r="L1545" t="s">
        <v>70</v>
      </c>
      <c r="M1545" s="3" t="s">
        <v>1463</v>
      </c>
    </row>
    <row r="1546" spans="1:13" hidden="1" x14ac:dyDescent="0.25">
      <c r="A1546" s="1" t="str">
        <f>VLOOKUP(Table2[[#This Row],[Prod Line ]],Lists!A:E,5,0)</f>
        <v>b</v>
      </c>
      <c r="B1546" s="1">
        <v>44404</v>
      </c>
      <c r="C1546" s="1">
        <v>44402</v>
      </c>
      <c r="D1546" s="1" t="s">
        <v>58</v>
      </c>
      <c r="E1546" s="2" t="s">
        <v>404</v>
      </c>
      <c r="F1546" s="1"/>
      <c r="G1546" s="2">
        <v>6</v>
      </c>
      <c r="H1546" s="1"/>
      <c r="I1546" t="s">
        <v>0</v>
      </c>
      <c r="J1546" t="s">
        <v>67</v>
      </c>
      <c r="K1546" t="s">
        <v>67</v>
      </c>
      <c r="L1546" t="s">
        <v>70</v>
      </c>
      <c r="M1546" s="3" t="s">
        <v>1464</v>
      </c>
    </row>
    <row r="1547" spans="1:13" hidden="1" x14ac:dyDescent="0.25">
      <c r="A1547" s="1" t="str">
        <f>VLOOKUP(Table2[[#This Row],[Prod Line ]],Lists!A:E,5,0)</f>
        <v>c</v>
      </c>
      <c r="B1547" s="1">
        <v>44404</v>
      </c>
      <c r="C1547" s="1">
        <v>44402</v>
      </c>
      <c r="D1547" s="1" t="s">
        <v>60</v>
      </c>
      <c r="E1547" s="2" t="s">
        <v>404</v>
      </c>
      <c r="F1547" s="1"/>
      <c r="G1547" s="2">
        <v>15</v>
      </c>
      <c r="H1547" s="1"/>
      <c r="I1547" t="s">
        <v>1</v>
      </c>
      <c r="J1547" t="s">
        <v>2</v>
      </c>
      <c r="K1547" t="s">
        <v>19</v>
      </c>
      <c r="L1547" t="s">
        <v>349</v>
      </c>
      <c r="M1547" s="3" t="s">
        <v>575</v>
      </c>
    </row>
    <row r="1548" spans="1:13" hidden="1" x14ac:dyDescent="0.25">
      <c r="A1548" s="1" t="str">
        <f>VLOOKUP(Table2[[#This Row],[Prod Line ]],Lists!A:E,5,0)</f>
        <v>c</v>
      </c>
      <c r="B1548" s="1">
        <v>44404</v>
      </c>
      <c r="C1548" s="1">
        <v>44402</v>
      </c>
      <c r="D1548" s="1" t="s">
        <v>60</v>
      </c>
      <c r="E1548" s="2" t="s">
        <v>404</v>
      </c>
      <c r="F1548" s="1"/>
      <c r="G1548" s="2">
        <v>6</v>
      </c>
      <c r="H1548" s="1"/>
      <c r="I1548" t="s">
        <v>1</v>
      </c>
      <c r="J1548" t="s">
        <v>2</v>
      </c>
      <c r="K1548" t="s">
        <v>378</v>
      </c>
      <c r="L1548" t="s">
        <v>407</v>
      </c>
      <c r="M1548" s="3" t="s">
        <v>1465</v>
      </c>
    </row>
    <row r="1549" spans="1:13" hidden="1" x14ac:dyDescent="0.25">
      <c r="A1549" s="1" t="str">
        <f>VLOOKUP(Table2[[#This Row],[Prod Line ]],Lists!A:E,5,0)</f>
        <v>d</v>
      </c>
      <c r="B1549" s="1">
        <v>44404</v>
      </c>
      <c r="C1549" s="1">
        <v>44402</v>
      </c>
      <c r="D1549" s="1" t="s">
        <v>62</v>
      </c>
      <c r="E1549" s="2" t="s">
        <v>406</v>
      </c>
      <c r="F1549" s="1"/>
      <c r="G1549" s="2">
        <v>22</v>
      </c>
      <c r="H1549" s="1"/>
      <c r="I1549" t="s">
        <v>1</v>
      </c>
      <c r="J1549" t="s">
        <v>2</v>
      </c>
      <c r="K1549" t="s">
        <v>378</v>
      </c>
      <c r="L1549" t="s">
        <v>407</v>
      </c>
      <c r="M1549" s="3" t="s">
        <v>834</v>
      </c>
    </row>
    <row r="1550" spans="1:13" hidden="1" x14ac:dyDescent="0.25">
      <c r="A1550" s="1" t="str">
        <f>VLOOKUP(Table2[[#This Row],[Prod Line ]],Lists!A:E,5,0)</f>
        <v>d</v>
      </c>
      <c r="B1550" s="1">
        <v>44404</v>
      </c>
      <c r="C1550" s="1">
        <v>44402</v>
      </c>
      <c r="D1550" s="1" t="s">
        <v>62</v>
      </c>
      <c r="E1550" s="2" t="s">
        <v>406</v>
      </c>
      <c r="F1550" s="1"/>
      <c r="G1550" s="2">
        <v>7</v>
      </c>
      <c r="H1550" s="1"/>
      <c r="I1550" t="s">
        <v>1</v>
      </c>
      <c r="J1550" t="s">
        <v>2</v>
      </c>
      <c r="K1550" t="s">
        <v>14</v>
      </c>
      <c r="L1550" t="s">
        <v>349</v>
      </c>
      <c r="M1550" s="3" t="s">
        <v>1466</v>
      </c>
    </row>
    <row r="1551" spans="1:13" hidden="1" x14ac:dyDescent="0.25">
      <c r="A1551" s="1" t="str">
        <f>VLOOKUP(Table2[[#This Row],[Prod Line ]],Lists!A:E,5,0)</f>
        <v>b</v>
      </c>
      <c r="B1551" s="1">
        <v>44404</v>
      </c>
      <c r="C1551" s="1">
        <v>44402</v>
      </c>
      <c r="D1551" s="1" t="s">
        <v>58</v>
      </c>
      <c r="E1551" s="2" t="s">
        <v>404</v>
      </c>
      <c r="F1551" s="1"/>
      <c r="G1551" s="2">
        <v>34</v>
      </c>
      <c r="H1551" s="1"/>
      <c r="I1551" t="s">
        <v>1</v>
      </c>
      <c r="J1551" t="s">
        <v>5</v>
      </c>
      <c r="K1551" t="s">
        <v>36</v>
      </c>
      <c r="L1551" t="s">
        <v>407</v>
      </c>
      <c r="M1551" s="3" t="s">
        <v>1467</v>
      </c>
    </row>
    <row r="1552" spans="1:13" hidden="1" x14ac:dyDescent="0.25">
      <c r="A1552" s="1" t="str">
        <f>VLOOKUP(Table2[[#This Row],[Prod Line ]],Lists!A:E,5,0)</f>
        <v>c</v>
      </c>
      <c r="B1552" s="1">
        <v>44404</v>
      </c>
      <c r="C1552" s="1">
        <v>44402</v>
      </c>
      <c r="D1552" s="1" t="s">
        <v>60</v>
      </c>
      <c r="E1552" s="2" t="s">
        <v>404</v>
      </c>
      <c r="F1552" s="1"/>
      <c r="G1552" s="2">
        <v>30</v>
      </c>
      <c r="H1552" s="1"/>
      <c r="I1552" t="s">
        <v>1</v>
      </c>
      <c r="J1552" t="s">
        <v>64</v>
      </c>
      <c r="K1552" t="s">
        <v>381</v>
      </c>
      <c r="L1552" t="s">
        <v>407</v>
      </c>
      <c r="M1552" s="3" t="s">
        <v>1468</v>
      </c>
    </row>
    <row r="1553" spans="1:14" hidden="1" x14ac:dyDescent="0.25">
      <c r="A1553" s="1" t="str">
        <f>VLOOKUP(Table2[[#This Row],[Prod Line ]],Lists!A:E,5,0)</f>
        <v>a</v>
      </c>
      <c r="B1553" s="1">
        <v>44404</v>
      </c>
      <c r="C1553" s="1">
        <v>44402</v>
      </c>
      <c r="D1553" s="1" t="s">
        <v>56</v>
      </c>
      <c r="E1553" s="2" t="s">
        <v>404</v>
      </c>
      <c r="F1553" s="1"/>
      <c r="G1553" s="2">
        <v>30</v>
      </c>
      <c r="H1553" s="1"/>
      <c r="I1553" t="s">
        <v>0</v>
      </c>
      <c r="J1553" t="s">
        <v>65</v>
      </c>
      <c r="K1553" t="s">
        <v>372</v>
      </c>
      <c r="L1553" t="s">
        <v>70</v>
      </c>
      <c r="M1553" s="3" t="s">
        <v>432</v>
      </c>
    </row>
    <row r="1554" spans="1:14" hidden="1" x14ac:dyDescent="0.25">
      <c r="A1554" s="1" t="str">
        <f>VLOOKUP(Table2[[#This Row],[Prod Line ]],Lists!A:E,5,0)</f>
        <v>a</v>
      </c>
      <c r="B1554" s="1">
        <v>44404</v>
      </c>
      <c r="C1554" s="1">
        <v>44402</v>
      </c>
      <c r="D1554" s="1" t="s">
        <v>56</v>
      </c>
      <c r="E1554" s="2" t="s">
        <v>404</v>
      </c>
      <c r="F1554" s="1"/>
      <c r="G1554" s="2">
        <v>10</v>
      </c>
      <c r="H1554" s="1"/>
      <c r="I1554" t="s">
        <v>1</v>
      </c>
      <c r="J1554" t="s">
        <v>64</v>
      </c>
      <c r="K1554" t="s">
        <v>364</v>
      </c>
      <c r="L1554" t="s">
        <v>407</v>
      </c>
      <c r="M1554" s="3" t="s">
        <v>939</v>
      </c>
    </row>
    <row r="1555" spans="1:14" hidden="1" x14ac:dyDescent="0.25">
      <c r="A1555" s="1" t="str">
        <f>VLOOKUP(Table2[[#This Row],[Prod Line ]],Lists!A:E,5,0)</f>
        <v>a</v>
      </c>
      <c r="B1555" s="1">
        <v>44404</v>
      </c>
      <c r="C1555" s="1">
        <v>44402</v>
      </c>
      <c r="D1555" s="1" t="s">
        <v>56</v>
      </c>
      <c r="E1555" s="2" t="s">
        <v>405</v>
      </c>
      <c r="F1555" s="1"/>
      <c r="G1555" s="2">
        <v>40</v>
      </c>
      <c r="H1555" s="1"/>
      <c r="I1555" t="s">
        <v>1</v>
      </c>
      <c r="J1555" t="s">
        <v>64</v>
      </c>
      <c r="K1555" t="s">
        <v>369</v>
      </c>
      <c r="L1555" t="s">
        <v>407</v>
      </c>
      <c r="M1555" s="3" t="s">
        <v>1220</v>
      </c>
    </row>
    <row r="1556" spans="1:14" hidden="1" x14ac:dyDescent="0.25">
      <c r="A1556" s="1" t="str">
        <f>VLOOKUP(Table2[[#This Row],[Prod Line ]],Lists!A:E,5,0)</f>
        <v>c</v>
      </c>
      <c r="B1556" s="1">
        <v>44406</v>
      </c>
      <c r="C1556" s="1">
        <v>44403</v>
      </c>
      <c r="D1556" s="1" t="s">
        <v>60</v>
      </c>
      <c r="E1556" s="2" t="s">
        <v>404</v>
      </c>
      <c r="F1556" s="1"/>
      <c r="G1556" s="2">
        <v>25</v>
      </c>
      <c r="H1556" s="1"/>
      <c r="I1556" t="s">
        <v>0</v>
      </c>
      <c r="J1556" t="s">
        <v>64</v>
      </c>
      <c r="K1556" t="s">
        <v>379</v>
      </c>
      <c r="L1556" t="s">
        <v>70</v>
      </c>
      <c r="M1556" s="3" t="s">
        <v>1460</v>
      </c>
    </row>
    <row r="1557" spans="1:14" hidden="1" x14ac:dyDescent="0.25">
      <c r="A1557" s="1" t="str">
        <f>VLOOKUP(Table2[[#This Row],[Prod Line ]],Lists!A:E,5,0)</f>
        <v>c</v>
      </c>
      <c r="B1557" s="1">
        <v>44406</v>
      </c>
      <c r="C1557" s="1">
        <v>44403</v>
      </c>
      <c r="D1557" s="1" t="s">
        <v>60</v>
      </c>
      <c r="E1557" s="2" t="s">
        <v>404</v>
      </c>
      <c r="F1557" s="1"/>
      <c r="G1557" s="2">
        <v>21</v>
      </c>
      <c r="H1557" s="1"/>
      <c r="I1557" t="s">
        <v>0</v>
      </c>
      <c r="J1557" t="s">
        <v>64</v>
      </c>
      <c r="K1557" t="s">
        <v>380</v>
      </c>
      <c r="L1557" t="s">
        <v>70</v>
      </c>
      <c r="M1557" s="3" t="s">
        <v>1469</v>
      </c>
    </row>
    <row r="1558" spans="1:14" hidden="1" x14ac:dyDescent="0.25">
      <c r="A1558" s="1" t="str">
        <f>VLOOKUP(Table2[[#This Row],[Prod Line ]],Lists!A:E,5,0)</f>
        <v>b</v>
      </c>
      <c r="B1558" s="1">
        <v>44406</v>
      </c>
      <c r="C1558" s="1">
        <v>44403</v>
      </c>
      <c r="D1558" s="1" t="s">
        <v>58</v>
      </c>
      <c r="E1558" s="2" t="s">
        <v>404</v>
      </c>
      <c r="F1558" s="1"/>
      <c r="G1558" s="2">
        <v>15</v>
      </c>
      <c r="H1558" s="1"/>
      <c r="I1558" t="s">
        <v>1</v>
      </c>
      <c r="J1558" t="s">
        <v>65</v>
      </c>
      <c r="K1558" t="s">
        <v>3</v>
      </c>
      <c r="L1558" t="s">
        <v>441</v>
      </c>
      <c r="M1558" s="3" t="s">
        <v>514</v>
      </c>
    </row>
    <row r="1559" spans="1:14" hidden="1" x14ac:dyDescent="0.25">
      <c r="A1559" s="1" t="str">
        <f>VLOOKUP(Table2[[#This Row],[Prod Line ]],Lists!A:E,5,0)</f>
        <v>b</v>
      </c>
      <c r="B1559" s="1">
        <v>44406</v>
      </c>
      <c r="C1559" s="1">
        <v>44403</v>
      </c>
      <c r="D1559" s="1" t="s">
        <v>58</v>
      </c>
      <c r="E1559" s="2" t="s">
        <v>404</v>
      </c>
      <c r="F1559" s="1"/>
      <c r="G1559" s="2">
        <v>11</v>
      </c>
      <c r="H1559" s="1"/>
      <c r="I1559" t="s">
        <v>1</v>
      </c>
      <c r="J1559" t="s">
        <v>2</v>
      </c>
      <c r="K1559" t="s">
        <v>19</v>
      </c>
      <c r="L1559" t="s">
        <v>349</v>
      </c>
      <c r="M1559" s="3" t="s">
        <v>1470</v>
      </c>
    </row>
    <row r="1560" spans="1:14" hidden="1" x14ac:dyDescent="0.25">
      <c r="A1560" s="1" t="str">
        <f>VLOOKUP(Table2[[#This Row],[Prod Line ]],Lists!A:E,5,0)</f>
        <v>d</v>
      </c>
      <c r="B1560" s="1">
        <v>44406</v>
      </c>
      <c r="C1560" s="1">
        <v>44403</v>
      </c>
      <c r="D1560" s="1" t="s">
        <v>62</v>
      </c>
      <c r="E1560" s="2" t="s">
        <v>404</v>
      </c>
      <c r="F1560" s="1"/>
      <c r="G1560" s="2">
        <v>25</v>
      </c>
      <c r="H1560" s="1"/>
      <c r="I1560" t="s">
        <v>0</v>
      </c>
      <c r="J1560" t="s">
        <v>5</v>
      </c>
      <c r="K1560" t="s">
        <v>396</v>
      </c>
      <c r="L1560" t="s">
        <v>70</v>
      </c>
      <c r="M1560" s="3" t="s">
        <v>626</v>
      </c>
      <c r="N1560" s="20" t="s">
        <v>1525</v>
      </c>
    </row>
    <row r="1561" spans="1:14" hidden="1" x14ac:dyDescent="0.25">
      <c r="A1561" s="1" t="str">
        <f>VLOOKUP(Table2[[#This Row],[Prod Line ]],Lists!A:E,5,0)</f>
        <v>d</v>
      </c>
      <c r="B1561" s="1">
        <v>44406</v>
      </c>
      <c r="C1561" s="1">
        <v>44403</v>
      </c>
      <c r="D1561" s="1" t="s">
        <v>62</v>
      </c>
      <c r="E1561" s="2" t="s">
        <v>404</v>
      </c>
      <c r="F1561" s="1"/>
      <c r="G1561" s="2">
        <v>8</v>
      </c>
      <c r="H1561" s="1"/>
      <c r="I1561" t="s">
        <v>1</v>
      </c>
      <c r="J1561" t="s">
        <v>64</v>
      </c>
      <c r="K1561" t="s">
        <v>379</v>
      </c>
      <c r="L1561" t="s">
        <v>407</v>
      </c>
      <c r="M1561" s="3" t="s">
        <v>929</v>
      </c>
    </row>
    <row r="1562" spans="1:14" hidden="1" x14ac:dyDescent="0.25">
      <c r="A1562" s="1" t="str">
        <f>VLOOKUP(Table2[[#This Row],[Prod Line ]],Lists!A:E,5,0)</f>
        <v>b</v>
      </c>
      <c r="B1562" s="1">
        <v>44406</v>
      </c>
      <c r="C1562" s="1">
        <v>44403</v>
      </c>
      <c r="D1562" s="1" t="s">
        <v>58</v>
      </c>
      <c r="E1562" s="2" t="s">
        <v>406</v>
      </c>
      <c r="F1562" s="1"/>
      <c r="G1562" s="2">
        <v>15</v>
      </c>
      <c r="H1562" s="1"/>
      <c r="I1562" t="s">
        <v>1</v>
      </c>
      <c r="J1562" t="s">
        <v>65</v>
      </c>
      <c r="K1562" t="s">
        <v>27</v>
      </c>
      <c r="L1562" t="s">
        <v>441</v>
      </c>
      <c r="M1562" s="3" t="s">
        <v>1471</v>
      </c>
    </row>
    <row r="1563" spans="1:14" hidden="1" x14ac:dyDescent="0.25">
      <c r="A1563" s="1" t="str">
        <f>VLOOKUP(Table2[[#This Row],[Prod Line ]],Lists!A:E,5,0)</f>
        <v>b</v>
      </c>
      <c r="B1563" s="1">
        <v>44406</v>
      </c>
      <c r="C1563" s="1">
        <v>44403</v>
      </c>
      <c r="D1563" s="1" t="s">
        <v>58</v>
      </c>
      <c r="E1563" s="2" t="s">
        <v>404</v>
      </c>
      <c r="F1563" s="1"/>
      <c r="G1563" s="2">
        <v>20</v>
      </c>
      <c r="H1563" s="1"/>
      <c r="I1563" t="s">
        <v>1</v>
      </c>
      <c r="J1563" t="s">
        <v>5</v>
      </c>
      <c r="K1563" t="s">
        <v>38</v>
      </c>
      <c r="L1563" t="s">
        <v>407</v>
      </c>
      <c r="M1563" s="3" t="s">
        <v>1451</v>
      </c>
    </row>
    <row r="1564" spans="1:14" hidden="1" x14ac:dyDescent="0.25">
      <c r="A1564" s="1" t="str">
        <f>VLOOKUP(Table2[[#This Row],[Prod Line ]],Lists!A:E,5,0)</f>
        <v>a</v>
      </c>
      <c r="B1564" s="1">
        <v>44406</v>
      </c>
      <c r="C1564" s="1">
        <v>44403</v>
      </c>
      <c r="D1564" s="1" t="s">
        <v>56</v>
      </c>
      <c r="E1564" s="2" t="s">
        <v>404</v>
      </c>
      <c r="F1564" s="1"/>
      <c r="G1564" s="2">
        <v>18</v>
      </c>
      <c r="H1564" s="1"/>
      <c r="I1564" t="s">
        <v>0</v>
      </c>
      <c r="J1564" t="s">
        <v>64</v>
      </c>
      <c r="K1564" t="s">
        <v>363</v>
      </c>
      <c r="L1564" t="s">
        <v>69</v>
      </c>
      <c r="M1564" s="3" t="s">
        <v>1452</v>
      </c>
    </row>
    <row r="1565" spans="1:14" hidden="1" x14ac:dyDescent="0.25">
      <c r="A1565" s="1" t="str">
        <f>VLOOKUP(Table2[[#This Row],[Prod Line ]],Lists!A:E,5,0)</f>
        <v>a</v>
      </c>
      <c r="B1565" s="1">
        <v>44406</v>
      </c>
      <c r="C1565" s="1">
        <v>44403</v>
      </c>
      <c r="D1565" s="1" t="s">
        <v>56</v>
      </c>
      <c r="E1565" s="2" t="s">
        <v>404</v>
      </c>
      <c r="F1565" s="1"/>
      <c r="G1565" s="2">
        <v>10</v>
      </c>
      <c r="H1565" s="1"/>
      <c r="I1565" t="s">
        <v>0</v>
      </c>
      <c r="J1565" t="s">
        <v>64</v>
      </c>
      <c r="K1565" t="s">
        <v>363</v>
      </c>
      <c r="L1565" t="s">
        <v>69</v>
      </c>
      <c r="M1565" s="3" t="s">
        <v>1472</v>
      </c>
    </row>
    <row r="1566" spans="1:14" hidden="1" x14ac:dyDescent="0.25">
      <c r="A1566" s="1" t="str">
        <f>VLOOKUP(Table2[[#This Row],[Prod Line ]],Lists!A:E,5,0)</f>
        <v>d</v>
      </c>
      <c r="B1566" s="1">
        <v>44407</v>
      </c>
      <c r="C1566" s="1">
        <v>44404</v>
      </c>
      <c r="D1566" s="1" t="s">
        <v>62</v>
      </c>
      <c r="E1566" s="2" t="s">
        <v>404</v>
      </c>
      <c r="F1566" s="1"/>
      <c r="G1566" s="2">
        <v>20</v>
      </c>
      <c r="H1566" s="1"/>
      <c r="I1566" t="s">
        <v>0</v>
      </c>
      <c r="J1566" t="s">
        <v>5</v>
      </c>
      <c r="K1566" t="s">
        <v>396</v>
      </c>
      <c r="L1566" t="s">
        <v>70</v>
      </c>
      <c r="M1566" s="3" t="s">
        <v>1473</v>
      </c>
    </row>
    <row r="1567" spans="1:14" hidden="1" x14ac:dyDescent="0.25">
      <c r="A1567" s="1" t="str">
        <f>VLOOKUP(Table2[[#This Row],[Prod Line ]],Lists!A:E,5,0)</f>
        <v>d</v>
      </c>
      <c r="B1567" s="1">
        <v>44407</v>
      </c>
      <c r="C1567" s="1">
        <v>44404</v>
      </c>
      <c r="D1567" s="1" t="s">
        <v>62</v>
      </c>
      <c r="E1567" s="2" t="s">
        <v>774</v>
      </c>
      <c r="F1567" s="1"/>
      <c r="G1567" s="2">
        <v>15</v>
      </c>
      <c r="H1567" s="1"/>
      <c r="I1567" t="s">
        <v>1</v>
      </c>
      <c r="J1567" t="s">
        <v>2</v>
      </c>
      <c r="K1567" t="s">
        <v>13</v>
      </c>
      <c r="L1567" t="s">
        <v>349</v>
      </c>
      <c r="M1567" s="3" t="s">
        <v>1470</v>
      </c>
    </row>
    <row r="1568" spans="1:14" hidden="1" x14ac:dyDescent="0.25">
      <c r="A1568" s="1" t="str">
        <f>VLOOKUP(Table2[[#This Row],[Prod Line ]],Lists!A:E,5,0)</f>
        <v>b</v>
      </c>
      <c r="B1568" s="1">
        <v>44407</v>
      </c>
      <c r="C1568" s="1">
        <v>44404</v>
      </c>
      <c r="D1568" s="1" t="s">
        <v>58</v>
      </c>
      <c r="E1568" s="2" t="s">
        <v>404</v>
      </c>
      <c r="F1568" s="1"/>
      <c r="G1568" s="2">
        <v>12</v>
      </c>
      <c r="H1568" s="1"/>
      <c r="I1568" t="s">
        <v>0</v>
      </c>
      <c r="J1568" t="s">
        <v>5</v>
      </c>
      <c r="K1568" t="s">
        <v>38</v>
      </c>
      <c r="L1568" t="s">
        <v>70</v>
      </c>
      <c r="M1568" s="3" t="s">
        <v>1474</v>
      </c>
    </row>
    <row r="1569" spans="1:13" hidden="1" x14ac:dyDescent="0.25">
      <c r="A1569" s="1" t="str">
        <f>VLOOKUP(Table2[[#This Row],[Prod Line ]],Lists!A:E,5,0)</f>
        <v>b</v>
      </c>
      <c r="B1569" s="1">
        <v>44407</v>
      </c>
      <c r="C1569" s="1">
        <v>44405</v>
      </c>
      <c r="D1569" s="1" t="s">
        <v>58</v>
      </c>
      <c r="E1569" s="2" t="s">
        <v>404</v>
      </c>
      <c r="F1569" s="1"/>
      <c r="G1569" s="2">
        <v>15</v>
      </c>
      <c r="H1569" s="1"/>
      <c r="I1569" t="s">
        <v>1</v>
      </c>
      <c r="J1569" t="s">
        <v>64</v>
      </c>
      <c r="K1569" t="s">
        <v>21</v>
      </c>
      <c r="L1569" t="s">
        <v>407</v>
      </c>
      <c r="M1569" s="3" t="s">
        <v>1475</v>
      </c>
    </row>
    <row r="1570" spans="1:13" hidden="1" x14ac:dyDescent="0.25">
      <c r="A1570" s="1" t="str">
        <f>VLOOKUP(Table2[[#This Row],[Prod Line ]],Lists!A:E,5,0)</f>
        <v>b</v>
      </c>
      <c r="B1570" s="1">
        <v>44407</v>
      </c>
      <c r="C1570" s="1">
        <v>44405</v>
      </c>
      <c r="D1570" s="1" t="s">
        <v>58</v>
      </c>
      <c r="E1570" s="2" t="s">
        <v>405</v>
      </c>
      <c r="F1570" s="1"/>
      <c r="G1570" s="2">
        <v>20</v>
      </c>
      <c r="H1570" s="1"/>
      <c r="I1570" t="s">
        <v>0</v>
      </c>
      <c r="J1570" t="s">
        <v>64</v>
      </c>
      <c r="K1570" t="s">
        <v>22</v>
      </c>
      <c r="L1570" t="s">
        <v>69</v>
      </c>
      <c r="M1570" s="3" t="s">
        <v>1476</v>
      </c>
    </row>
    <row r="1571" spans="1:13" hidden="1" x14ac:dyDescent="0.25">
      <c r="A1571" s="1" t="str">
        <f>VLOOKUP(Table2[[#This Row],[Prod Line ]],Lists!A:E,5,0)</f>
        <v>b</v>
      </c>
      <c r="B1571" s="1">
        <v>44407</v>
      </c>
      <c r="C1571" s="1">
        <v>44405</v>
      </c>
      <c r="D1571" s="1" t="s">
        <v>58</v>
      </c>
      <c r="E1571" s="2" t="s">
        <v>406</v>
      </c>
      <c r="F1571" s="1"/>
      <c r="G1571" s="2">
        <v>12</v>
      </c>
      <c r="H1571" s="1"/>
      <c r="I1571" t="s">
        <v>0</v>
      </c>
      <c r="J1571" t="s">
        <v>65</v>
      </c>
      <c r="K1571" t="s">
        <v>28</v>
      </c>
      <c r="L1571" t="s">
        <v>70</v>
      </c>
      <c r="M1571" s="3" t="s">
        <v>1477</v>
      </c>
    </row>
    <row r="1572" spans="1:13" hidden="1" x14ac:dyDescent="0.25">
      <c r="A1572" s="1" t="str">
        <f>VLOOKUP(Table2[[#This Row],[Prod Line ]],Lists!A:E,5,0)</f>
        <v>d</v>
      </c>
      <c r="B1572" s="1">
        <v>44407</v>
      </c>
      <c r="C1572" s="1">
        <v>44405</v>
      </c>
      <c r="D1572" s="1" t="s">
        <v>62</v>
      </c>
      <c r="E1572" s="2" t="s">
        <v>404</v>
      </c>
      <c r="F1572" s="1"/>
      <c r="G1572" s="2">
        <v>20</v>
      </c>
      <c r="H1572" s="1"/>
      <c r="I1572" t="s">
        <v>0</v>
      </c>
      <c r="J1572" t="s">
        <v>5</v>
      </c>
      <c r="K1572" t="s">
        <v>396</v>
      </c>
      <c r="L1572" t="s">
        <v>70</v>
      </c>
      <c r="M1572" s="3" t="s">
        <v>1478</v>
      </c>
    </row>
    <row r="1573" spans="1:13" hidden="1" x14ac:dyDescent="0.25">
      <c r="A1573" s="1" t="str">
        <f>VLOOKUP(Table2[[#This Row],[Prod Line ]],Lists!A:E,5,0)</f>
        <v>d</v>
      </c>
      <c r="B1573" s="1">
        <v>44407</v>
      </c>
      <c r="C1573" s="1">
        <v>44405</v>
      </c>
      <c r="D1573" s="1" t="s">
        <v>62</v>
      </c>
      <c r="E1573" s="2" t="s">
        <v>405</v>
      </c>
      <c r="F1573" s="1"/>
      <c r="G1573" s="2">
        <v>15</v>
      </c>
      <c r="H1573" s="1"/>
      <c r="I1573" t="s">
        <v>1</v>
      </c>
      <c r="J1573" t="s">
        <v>2</v>
      </c>
      <c r="K1573" t="s">
        <v>13</v>
      </c>
      <c r="L1573" t="s">
        <v>349</v>
      </c>
      <c r="M1573" s="3" t="s">
        <v>1470</v>
      </c>
    </row>
    <row r="1574" spans="1:13" hidden="1" x14ac:dyDescent="0.25">
      <c r="A1574" s="1" t="str">
        <f>VLOOKUP(Table2[[#This Row],[Prod Line ]],Lists!A:E,5,0)</f>
        <v>a</v>
      </c>
      <c r="B1574" s="1">
        <v>44408</v>
      </c>
      <c r="C1574" s="1">
        <v>44406</v>
      </c>
      <c r="D1574" s="1" t="s">
        <v>56</v>
      </c>
      <c r="E1574" s="2" t="s">
        <v>404</v>
      </c>
      <c r="F1574" s="1"/>
      <c r="G1574" s="2">
        <v>7</v>
      </c>
      <c r="H1574" s="1"/>
      <c r="I1574" t="s">
        <v>0</v>
      </c>
      <c r="J1574" t="s">
        <v>64</v>
      </c>
      <c r="K1574" t="s">
        <v>363</v>
      </c>
      <c r="L1574" t="s">
        <v>70</v>
      </c>
      <c r="M1574" s="3" t="s">
        <v>1479</v>
      </c>
    </row>
    <row r="1575" spans="1:13" hidden="1" x14ac:dyDescent="0.25">
      <c r="A1575" s="1" t="str">
        <f>VLOOKUP(Table2[[#This Row],[Prod Line ]],Lists!A:E,5,0)</f>
        <v>c</v>
      </c>
      <c r="B1575" s="1">
        <v>44408</v>
      </c>
      <c r="C1575" s="1">
        <v>44406</v>
      </c>
      <c r="D1575" s="1" t="s">
        <v>60</v>
      </c>
      <c r="E1575" s="2" t="s">
        <v>405</v>
      </c>
      <c r="F1575" s="1"/>
      <c r="G1575" s="2">
        <v>16</v>
      </c>
      <c r="H1575" s="1"/>
      <c r="I1575" t="s">
        <v>1</v>
      </c>
      <c r="J1575" t="s">
        <v>64</v>
      </c>
      <c r="K1575" t="s">
        <v>379</v>
      </c>
      <c r="L1575" t="s">
        <v>349</v>
      </c>
      <c r="M1575" s="3" t="s">
        <v>1470</v>
      </c>
    </row>
    <row r="1576" spans="1:13" hidden="1" x14ac:dyDescent="0.25">
      <c r="A1576" s="1" t="str">
        <f>VLOOKUP(Table2[[#This Row],[Prod Line ]],Lists!A:E,5,0)</f>
        <v>c</v>
      </c>
      <c r="B1576" s="1">
        <v>44408</v>
      </c>
      <c r="C1576" s="1">
        <v>44406</v>
      </c>
      <c r="D1576" s="1" t="s">
        <v>60</v>
      </c>
      <c r="E1576" s="2" t="s">
        <v>405</v>
      </c>
      <c r="F1576" s="1"/>
      <c r="G1576" s="2">
        <v>8</v>
      </c>
      <c r="H1576" s="1"/>
      <c r="I1576" t="s">
        <v>1</v>
      </c>
      <c r="J1576" t="s">
        <v>2</v>
      </c>
      <c r="K1576" t="s">
        <v>13</v>
      </c>
      <c r="L1576" t="s">
        <v>407</v>
      </c>
      <c r="M1576" s="3" t="s">
        <v>437</v>
      </c>
    </row>
    <row r="1577" spans="1:13" hidden="1" x14ac:dyDescent="0.25">
      <c r="A1577" s="1" t="str">
        <f>VLOOKUP(Table2[[#This Row],[Prod Line ]],Lists!A:E,5,0)</f>
        <v>d</v>
      </c>
      <c r="B1577" s="1">
        <v>44408</v>
      </c>
      <c r="C1577" s="1">
        <v>44406</v>
      </c>
      <c r="D1577" s="1" t="s">
        <v>62</v>
      </c>
      <c r="E1577" s="2" t="s">
        <v>406</v>
      </c>
      <c r="F1577" s="1"/>
      <c r="G1577" s="2">
        <v>5</v>
      </c>
      <c r="H1577" s="1"/>
      <c r="I1577" t="s">
        <v>1</v>
      </c>
      <c r="J1577" t="s">
        <v>64</v>
      </c>
      <c r="K1577" t="s">
        <v>379</v>
      </c>
      <c r="L1577" t="s">
        <v>407</v>
      </c>
      <c r="M1577" s="3" t="s">
        <v>996</v>
      </c>
    </row>
    <row r="1578" spans="1:13" hidden="1" x14ac:dyDescent="0.25">
      <c r="A1578" s="1" t="str">
        <f>VLOOKUP(Table2[[#This Row],[Prod Line ]],Lists!A:E,5,0)</f>
        <v>c</v>
      </c>
      <c r="B1578" s="1">
        <v>44404</v>
      </c>
      <c r="C1578" s="1">
        <v>44402</v>
      </c>
      <c r="D1578" s="1" t="s">
        <v>60</v>
      </c>
      <c r="E1578" s="2" t="s">
        <v>404</v>
      </c>
      <c r="F1578" s="1"/>
      <c r="G1578" s="2">
        <v>11</v>
      </c>
      <c r="H1578" s="1"/>
      <c r="I1578" t="s">
        <v>0</v>
      </c>
      <c r="J1578" t="s">
        <v>64</v>
      </c>
      <c r="K1578" t="s">
        <v>379</v>
      </c>
      <c r="L1578" t="s">
        <v>70</v>
      </c>
      <c r="M1578" s="3" t="s">
        <v>1480</v>
      </c>
    </row>
    <row r="1579" spans="1:13" hidden="1" x14ac:dyDescent="0.25">
      <c r="A1579" s="1" t="str">
        <f>VLOOKUP(Table2[[#This Row],[Prod Line ]],Lists!A:E,5,0)</f>
        <v>b</v>
      </c>
      <c r="B1579" s="1">
        <v>44408</v>
      </c>
      <c r="C1579" s="1">
        <v>44406</v>
      </c>
      <c r="D1579" s="1" t="s">
        <v>58</v>
      </c>
      <c r="E1579" s="2" t="s">
        <v>406</v>
      </c>
      <c r="F1579" s="1"/>
      <c r="G1579" s="2">
        <v>11</v>
      </c>
      <c r="H1579" s="1"/>
      <c r="I1579" t="s">
        <v>0</v>
      </c>
      <c r="J1579" t="s">
        <v>65</v>
      </c>
      <c r="K1579" t="s">
        <v>28</v>
      </c>
      <c r="L1579" t="s">
        <v>70</v>
      </c>
      <c r="M1579" s="3" t="s">
        <v>1481</v>
      </c>
    </row>
    <row r="1580" spans="1:13" hidden="1" x14ac:dyDescent="0.25">
      <c r="A1580" s="1" t="str">
        <f>VLOOKUP(Table2[[#This Row],[Prod Line ]],Lists!A:E,5,0)</f>
        <v>a</v>
      </c>
      <c r="B1580" s="1">
        <v>44410</v>
      </c>
      <c r="C1580" s="1">
        <v>44408</v>
      </c>
      <c r="D1580" s="1" t="s">
        <v>56</v>
      </c>
      <c r="E1580" s="2" t="s">
        <v>404</v>
      </c>
      <c r="F1580" s="1"/>
      <c r="G1580" s="2">
        <v>20</v>
      </c>
      <c r="H1580" s="1"/>
      <c r="I1580" t="s">
        <v>1</v>
      </c>
      <c r="J1580" t="s">
        <v>64</v>
      </c>
      <c r="K1580" t="s">
        <v>363</v>
      </c>
      <c r="L1580" t="s">
        <v>349</v>
      </c>
      <c r="M1580" s="3" t="s">
        <v>575</v>
      </c>
    </row>
    <row r="1581" spans="1:13" hidden="1" x14ac:dyDescent="0.25">
      <c r="A1581" s="1" t="str">
        <f>VLOOKUP(Table2[[#This Row],[Prod Line ]],Lists!A:E,5,0)</f>
        <v>a</v>
      </c>
      <c r="B1581" s="1">
        <v>44410</v>
      </c>
      <c r="C1581" s="1">
        <v>44408</v>
      </c>
      <c r="D1581" s="1" t="s">
        <v>56</v>
      </c>
      <c r="E1581" s="2" t="s">
        <v>404</v>
      </c>
      <c r="F1581" s="1"/>
      <c r="G1581" s="2">
        <v>22</v>
      </c>
      <c r="H1581" s="1"/>
      <c r="I1581" t="s">
        <v>1</v>
      </c>
      <c r="J1581" t="s">
        <v>64</v>
      </c>
      <c r="K1581" t="s">
        <v>363</v>
      </c>
      <c r="L1581" t="s">
        <v>407</v>
      </c>
      <c r="M1581" s="3" t="s">
        <v>655</v>
      </c>
    </row>
    <row r="1582" spans="1:13" hidden="1" x14ac:dyDescent="0.25">
      <c r="A1582" s="1" t="str">
        <f>VLOOKUP(Table2[[#This Row],[Prod Line ]],Lists!A:E,5,0)</f>
        <v>b</v>
      </c>
      <c r="B1582" s="1">
        <v>44410</v>
      </c>
      <c r="C1582" s="1">
        <v>44408</v>
      </c>
      <c r="D1582" s="1" t="s">
        <v>58</v>
      </c>
      <c r="E1582" s="2" t="s">
        <v>406</v>
      </c>
      <c r="F1582" s="1"/>
      <c r="G1582" s="2">
        <v>5</v>
      </c>
      <c r="H1582" s="1"/>
      <c r="I1582" t="s">
        <v>1</v>
      </c>
      <c r="J1582" t="s">
        <v>64</v>
      </c>
      <c r="M1582" s="3" t="s">
        <v>1482</v>
      </c>
    </row>
    <row r="1583" spans="1:13" hidden="1" x14ac:dyDescent="0.25">
      <c r="A1583" s="1" t="str">
        <f>VLOOKUP(Table2[[#This Row],[Prod Line ]],Lists!A:E,5,0)</f>
        <v>b</v>
      </c>
      <c r="B1583" s="1">
        <v>44410</v>
      </c>
      <c r="C1583" s="1">
        <v>44408</v>
      </c>
      <c r="D1583" s="1" t="s">
        <v>58</v>
      </c>
      <c r="E1583" s="2" t="s">
        <v>405</v>
      </c>
      <c r="F1583" s="1"/>
      <c r="G1583" s="2">
        <v>9</v>
      </c>
      <c r="H1583" s="1"/>
      <c r="I1583" t="s">
        <v>1</v>
      </c>
      <c r="J1583" t="s">
        <v>65</v>
      </c>
      <c r="K1583" t="s">
        <v>27</v>
      </c>
      <c r="L1583" t="s">
        <v>441</v>
      </c>
      <c r="M1583" s="3" t="s">
        <v>1483</v>
      </c>
    </row>
    <row r="1584" spans="1:13" hidden="1" x14ac:dyDescent="0.25">
      <c r="A1584" s="1" t="str">
        <f>VLOOKUP(Table2[[#This Row],[Prod Line ]],Lists!A:E,5,0)</f>
        <v>c</v>
      </c>
      <c r="B1584" s="1">
        <v>44411</v>
      </c>
      <c r="C1584" s="1">
        <v>44409</v>
      </c>
      <c r="D1584" s="1" t="s">
        <v>60</v>
      </c>
      <c r="E1584" s="2" t="s">
        <v>404</v>
      </c>
      <c r="F1584" s="1"/>
      <c r="G1584" s="2">
        <v>36</v>
      </c>
      <c r="H1584" s="1"/>
      <c r="I1584" t="s">
        <v>1</v>
      </c>
      <c r="J1584" t="s">
        <v>64</v>
      </c>
      <c r="K1584" t="s">
        <v>379</v>
      </c>
      <c r="L1584" t="s">
        <v>407</v>
      </c>
      <c r="M1584" s="3" t="s">
        <v>1465</v>
      </c>
    </row>
    <row r="1585" spans="1:14" hidden="1" x14ac:dyDescent="0.25">
      <c r="A1585" s="1" t="str">
        <f>VLOOKUP(Table2[[#This Row],[Prod Line ]],Lists!A:E,5,0)</f>
        <v>c</v>
      </c>
      <c r="B1585" s="1">
        <v>44411</v>
      </c>
      <c r="C1585" s="1">
        <v>44409</v>
      </c>
      <c r="D1585" s="1" t="s">
        <v>60</v>
      </c>
      <c r="E1585" s="2" t="s">
        <v>404</v>
      </c>
      <c r="F1585" s="1"/>
      <c r="G1585" s="2">
        <v>40</v>
      </c>
      <c r="H1585" s="1"/>
      <c r="I1585" t="s">
        <v>1</v>
      </c>
      <c r="J1585" t="s">
        <v>2</v>
      </c>
      <c r="K1585" t="s">
        <v>378</v>
      </c>
      <c r="L1585" t="s">
        <v>345</v>
      </c>
      <c r="M1585" s="3" t="s">
        <v>1484</v>
      </c>
    </row>
    <row r="1586" spans="1:14" hidden="1" x14ac:dyDescent="0.25">
      <c r="A1586" s="1" t="str">
        <f>VLOOKUP(Table2[[#This Row],[Prod Line ]],Lists!A:E,5,0)</f>
        <v>c</v>
      </c>
      <c r="B1586" s="1">
        <v>44411</v>
      </c>
      <c r="C1586" s="1">
        <v>44409</v>
      </c>
      <c r="D1586" s="1" t="s">
        <v>60</v>
      </c>
      <c r="E1586" s="2" t="s">
        <v>404</v>
      </c>
      <c r="F1586" s="1"/>
      <c r="G1586" s="2">
        <v>21</v>
      </c>
      <c r="H1586" s="1"/>
      <c r="I1586" t="s">
        <v>0</v>
      </c>
      <c r="J1586" t="s">
        <v>2</v>
      </c>
      <c r="K1586" t="s">
        <v>378</v>
      </c>
      <c r="L1586" t="s">
        <v>70</v>
      </c>
      <c r="M1586" s="3" t="s">
        <v>719</v>
      </c>
    </row>
    <row r="1587" spans="1:14" hidden="1" x14ac:dyDescent="0.25">
      <c r="A1587" s="1" t="str">
        <f>VLOOKUP(Table2[[#This Row],[Prod Line ]],Lists!A:E,5,0)</f>
        <v>d</v>
      </c>
      <c r="B1587" s="1">
        <v>44413</v>
      </c>
      <c r="C1587" s="1">
        <v>44411</v>
      </c>
      <c r="D1587" s="1" t="s">
        <v>62</v>
      </c>
      <c r="E1587" s="2" t="s">
        <v>404</v>
      </c>
      <c r="F1587" s="1"/>
      <c r="G1587" s="2">
        <v>25</v>
      </c>
      <c r="H1587" s="1"/>
      <c r="I1587" t="s">
        <v>1</v>
      </c>
      <c r="J1587" t="s">
        <v>64</v>
      </c>
      <c r="K1587" t="s">
        <v>379</v>
      </c>
      <c r="L1587" t="s">
        <v>349</v>
      </c>
      <c r="M1587" s="3" t="s">
        <v>575</v>
      </c>
    </row>
    <row r="1588" spans="1:14" hidden="1" x14ac:dyDescent="0.25">
      <c r="A1588" s="1" t="str">
        <f>VLOOKUP(Table2[[#This Row],[Prod Line ]],Lists!A:E,5,0)</f>
        <v>d</v>
      </c>
      <c r="B1588" s="1">
        <v>44413</v>
      </c>
      <c r="C1588" s="1">
        <v>44411</v>
      </c>
      <c r="D1588" s="1" t="s">
        <v>62</v>
      </c>
      <c r="E1588" s="2" t="s">
        <v>404</v>
      </c>
      <c r="F1588" s="1"/>
      <c r="G1588" s="2">
        <v>75</v>
      </c>
      <c r="H1588" s="1"/>
      <c r="I1588" t="s">
        <v>0</v>
      </c>
      <c r="J1588" t="s">
        <v>64</v>
      </c>
      <c r="K1588" t="s">
        <v>379</v>
      </c>
      <c r="L1588" t="s">
        <v>70</v>
      </c>
      <c r="M1588" s="3" t="s">
        <v>1499</v>
      </c>
      <c r="N1588" s="20" t="s">
        <v>1526</v>
      </c>
    </row>
    <row r="1589" spans="1:14" hidden="1" x14ac:dyDescent="0.25">
      <c r="A1589" s="1" t="str">
        <f>VLOOKUP(Table2[[#This Row],[Prod Line ]],Lists!A:E,5,0)</f>
        <v>b</v>
      </c>
      <c r="B1589" s="1">
        <v>44410</v>
      </c>
      <c r="C1589" s="1">
        <v>44408</v>
      </c>
      <c r="D1589" s="1" t="s">
        <v>58</v>
      </c>
      <c r="E1589" s="2" t="s">
        <v>406</v>
      </c>
      <c r="F1589" s="1"/>
      <c r="G1589" s="2">
        <v>25</v>
      </c>
      <c r="H1589" s="1"/>
      <c r="I1589" t="s">
        <v>1</v>
      </c>
      <c r="J1589" t="s">
        <v>65</v>
      </c>
      <c r="K1589" t="s">
        <v>27</v>
      </c>
      <c r="L1589" t="s">
        <v>441</v>
      </c>
      <c r="M1589" s="3" t="s">
        <v>1500</v>
      </c>
    </row>
    <row r="1590" spans="1:14" hidden="1" x14ac:dyDescent="0.25">
      <c r="A1590" s="1" t="str">
        <f>VLOOKUP(Table2[[#This Row],[Prod Line ]],Lists!A:E,5,0)</f>
        <v>b</v>
      </c>
      <c r="B1590" s="1">
        <v>44411</v>
      </c>
      <c r="C1590" s="1">
        <v>44409</v>
      </c>
      <c r="D1590" s="1" t="s">
        <v>58</v>
      </c>
      <c r="E1590" s="2" t="s">
        <v>405</v>
      </c>
      <c r="F1590" s="1"/>
      <c r="G1590" s="2">
        <v>10</v>
      </c>
      <c r="H1590" s="1"/>
      <c r="I1590" t="s">
        <v>1</v>
      </c>
      <c r="J1590" t="s">
        <v>65</v>
      </c>
      <c r="K1590" t="s">
        <v>27</v>
      </c>
      <c r="L1590" t="s">
        <v>441</v>
      </c>
      <c r="M1590" s="3" t="s">
        <v>1501</v>
      </c>
    </row>
    <row r="1591" spans="1:14" hidden="1" x14ac:dyDescent="0.25">
      <c r="A1591" s="1" t="str">
        <f>VLOOKUP(Table2[[#This Row],[Prod Line ]],Lists!A:E,5,0)</f>
        <v>b</v>
      </c>
      <c r="B1591" s="1">
        <v>44411</v>
      </c>
      <c r="C1591" s="1">
        <v>44409</v>
      </c>
      <c r="D1591" s="1" t="s">
        <v>58</v>
      </c>
      <c r="E1591" s="2" t="s">
        <v>405</v>
      </c>
      <c r="F1591" s="1"/>
      <c r="G1591" s="2">
        <v>5</v>
      </c>
      <c r="H1591" s="1"/>
      <c r="I1591" t="s">
        <v>1</v>
      </c>
      <c r="J1591" t="s">
        <v>67</v>
      </c>
      <c r="K1591" t="s">
        <v>67</v>
      </c>
      <c r="M1591" s="3" t="s">
        <v>1502</v>
      </c>
    </row>
    <row r="1592" spans="1:14" hidden="1" x14ac:dyDescent="0.25">
      <c r="A1592" s="1" t="str">
        <f>VLOOKUP(Table2[[#This Row],[Prod Line ]],Lists!A:E,5,0)</f>
        <v>b</v>
      </c>
      <c r="B1592" s="1">
        <v>44411</v>
      </c>
      <c r="C1592" s="1">
        <v>44409</v>
      </c>
      <c r="D1592" s="1" t="s">
        <v>58</v>
      </c>
      <c r="E1592" s="2" t="s">
        <v>405</v>
      </c>
      <c r="F1592" s="1"/>
      <c r="G1592" s="2">
        <v>5</v>
      </c>
      <c r="H1592" s="1"/>
      <c r="I1592" t="s">
        <v>1</v>
      </c>
      <c r="J1592" t="s">
        <v>2</v>
      </c>
      <c r="K1592" t="s">
        <v>19</v>
      </c>
      <c r="L1592" t="s">
        <v>349</v>
      </c>
      <c r="M1592" s="3" t="s">
        <v>575</v>
      </c>
    </row>
    <row r="1593" spans="1:14" hidden="1" x14ac:dyDescent="0.25">
      <c r="A1593" s="1" t="str">
        <f>VLOOKUP(Table2[[#This Row],[Prod Line ]],Lists!A:E,5,0)</f>
        <v>b</v>
      </c>
      <c r="B1593" s="1">
        <v>44411</v>
      </c>
      <c r="C1593" s="1">
        <v>44409</v>
      </c>
      <c r="D1593" s="1" t="s">
        <v>58</v>
      </c>
      <c r="E1593" s="2" t="s">
        <v>406</v>
      </c>
      <c r="F1593" s="1"/>
      <c r="G1593" s="2">
        <v>16</v>
      </c>
      <c r="H1593" s="1"/>
      <c r="I1593" t="s">
        <v>0</v>
      </c>
      <c r="J1593" t="s">
        <v>66</v>
      </c>
      <c r="K1593" t="s">
        <v>4</v>
      </c>
      <c r="L1593" t="s">
        <v>70</v>
      </c>
      <c r="M1593" s="3" t="s">
        <v>769</v>
      </c>
    </row>
    <row r="1594" spans="1:14" hidden="1" x14ac:dyDescent="0.25">
      <c r="A1594" s="1" t="str">
        <f>VLOOKUP(Table2[[#This Row],[Prod Line ]],Lists!A:E,5,0)</f>
        <v>a</v>
      </c>
      <c r="B1594" s="1">
        <v>44411</v>
      </c>
      <c r="C1594" s="1">
        <v>44409</v>
      </c>
      <c r="D1594" s="1" t="s">
        <v>56</v>
      </c>
      <c r="E1594" s="2" t="s">
        <v>404</v>
      </c>
      <c r="F1594" s="1"/>
      <c r="G1594" s="2">
        <v>9</v>
      </c>
      <c r="H1594" s="1"/>
      <c r="I1594" t="s">
        <v>1</v>
      </c>
      <c r="J1594" t="s">
        <v>64</v>
      </c>
      <c r="K1594" t="s">
        <v>367</v>
      </c>
      <c r="L1594" t="s">
        <v>407</v>
      </c>
      <c r="M1594" s="3" t="s">
        <v>750</v>
      </c>
    </row>
    <row r="1595" spans="1:14" hidden="1" x14ac:dyDescent="0.25">
      <c r="A1595" s="1" t="str">
        <f>VLOOKUP(Table2[[#This Row],[Prod Line ]],Lists!A:E,5,0)</f>
        <v>a</v>
      </c>
      <c r="B1595" s="1">
        <v>44411</v>
      </c>
      <c r="C1595" s="1">
        <v>44409</v>
      </c>
      <c r="D1595" s="1" t="s">
        <v>56</v>
      </c>
      <c r="E1595" s="2" t="s">
        <v>404</v>
      </c>
      <c r="F1595" s="1"/>
      <c r="G1595" s="2">
        <v>6</v>
      </c>
      <c r="H1595" s="1"/>
      <c r="I1595" t="s">
        <v>1</v>
      </c>
      <c r="J1595" t="s">
        <v>64</v>
      </c>
      <c r="K1595" t="s">
        <v>367</v>
      </c>
      <c r="L1595" t="s">
        <v>349</v>
      </c>
      <c r="M1595" s="3" t="s">
        <v>575</v>
      </c>
    </row>
    <row r="1596" spans="1:14" hidden="1" x14ac:dyDescent="0.25">
      <c r="A1596" s="1" t="str">
        <f>VLOOKUP(Table2[[#This Row],[Prod Line ]],Lists!A:E,5,0)</f>
        <v>a</v>
      </c>
      <c r="B1596" s="1">
        <v>44413</v>
      </c>
      <c r="C1596" s="1">
        <v>44411</v>
      </c>
      <c r="D1596" s="1" t="s">
        <v>56</v>
      </c>
      <c r="E1596" s="2" t="s">
        <v>404</v>
      </c>
      <c r="F1596" s="1"/>
      <c r="G1596" s="2">
        <v>12</v>
      </c>
      <c r="H1596" s="1"/>
      <c r="I1596" t="s">
        <v>0</v>
      </c>
      <c r="J1596" t="s">
        <v>64</v>
      </c>
      <c r="K1596" t="s">
        <v>363</v>
      </c>
      <c r="L1596" t="s">
        <v>70</v>
      </c>
      <c r="M1596" s="3" t="s">
        <v>1485</v>
      </c>
    </row>
    <row r="1597" spans="1:14" hidden="1" x14ac:dyDescent="0.25">
      <c r="A1597" s="1" t="str">
        <f>VLOOKUP(Table2[[#This Row],[Prod Line ]],Lists!A:E,5,0)</f>
        <v>a</v>
      </c>
      <c r="B1597" s="1">
        <v>44413</v>
      </c>
      <c r="C1597" s="1">
        <v>44411</v>
      </c>
      <c r="D1597" s="1" t="s">
        <v>56</v>
      </c>
      <c r="E1597" s="2" t="s">
        <v>404</v>
      </c>
      <c r="F1597" s="1"/>
      <c r="G1597" s="2">
        <v>49</v>
      </c>
      <c r="H1597" s="1"/>
      <c r="I1597" t="s">
        <v>0</v>
      </c>
      <c r="J1597" t="s">
        <v>66</v>
      </c>
      <c r="K1597" t="s">
        <v>4</v>
      </c>
      <c r="L1597" t="s">
        <v>70</v>
      </c>
      <c r="M1597" s="3" t="s">
        <v>1486</v>
      </c>
    </row>
    <row r="1598" spans="1:14" hidden="1" x14ac:dyDescent="0.25">
      <c r="A1598" s="1" t="str">
        <f>VLOOKUP(Table2[[#This Row],[Prod Line ]],Lists!A:E,5,0)</f>
        <v>a</v>
      </c>
      <c r="B1598" s="1">
        <v>44413</v>
      </c>
      <c r="C1598" s="1">
        <v>44411</v>
      </c>
      <c r="D1598" s="1" t="s">
        <v>56</v>
      </c>
      <c r="E1598" s="2" t="s">
        <v>404</v>
      </c>
      <c r="F1598" s="1"/>
      <c r="G1598" s="2">
        <v>5</v>
      </c>
      <c r="H1598" s="1"/>
      <c r="I1598" t="s">
        <v>1</v>
      </c>
      <c r="J1598" t="s">
        <v>65</v>
      </c>
      <c r="K1598" t="s">
        <v>3</v>
      </c>
      <c r="L1598" t="s">
        <v>350</v>
      </c>
      <c r="M1598" s="3" t="s">
        <v>1058</v>
      </c>
    </row>
    <row r="1599" spans="1:14" hidden="1" x14ac:dyDescent="0.25">
      <c r="A1599" s="1" t="str">
        <f>VLOOKUP(Table2[[#This Row],[Prod Line ]],Lists!A:E,5,0)</f>
        <v>a</v>
      </c>
      <c r="B1599" s="1">
        <v>44413</v>
      </c>
      <c r="C1599" s="1">
        <v>44411</v>
      </c>
      <c r="D1599" s="1" t="s">
        <v>56</v>
      </c>
      <c r="E1599" s="2" t="s">
        <v>404</v>
      </c>
      <c r="F1599" s="1"/>
      <c r="G1599" s="2">
        <v>30</v>
      </c>
      <c r="H1599" s="1"/>
      <c r="I1599" t="s">
        <v>1</v>
      </c>
      <c r="J1599" t="s">
        <v>2</v>
      </c>
      <c r="K1599" t="s">
        <v>19</v>
      </c>
      <c r="L1599" t="s">
        <v>407</v>
      </c>
      <c r="M1599" s="3" t="s">
        <v>1346</v>
      </c>
    </row>
    <row r="1600" spans="1:14" hidden="1" x14ac:dyDescent="0.25">
      <c r="A1600" s="1" t="str">
        <f>VLOOKUP(Table2[[#This Row],[Prod Line ]],Lists!A:E,5,0)</f>
        <v>b</v>
      </c>
      <c r="B1600" s="1">
        <v>44413</v>
      </c>
      <c r="C1600" s="1">
        <v>44411</v>
      </c>
      <c r="D1600" s="1" t="s">
        <v>58</v>
      </c>
      <c r="E1600" s="2" t="s">
        <v>406</v>
      </c>
      <c r="F1600" s="1"/>
      <c r="G1600" s="2">
        <v>15</v>
      </c>
      <c r="H1600" s="1"/>
      <c r="I1600" t="s">
        <v>0</v>
      </c>
      <c r="M1600" s="3" t="s">
        <v>1487</v>
      </c>
    </row>
    <row r="1601" spans="1:13" hidden="1" x14ac:dyDescent="0.25">
      <c r="A1601" s="1" t="str">
        <f>VLOOKUP(Table2[[#This Row],[Prod Line ]],Lists!A:E,5,0)</f>
        <v>b</v>
      </c>
      <c r="B1601" s="1">
        <v>44413</v>
      </c>
      <c r="C1601" s="1">
        <v>44411</v>
      </c>
      <c r="D1601" s="1" t="s">
        <v>58</v>
      </c>
      <c r="E1601" s="2" t="s">
        <v>406</v>
      </c>
      <c r="F1601" s="1"/>
      <c r="G1601" s="2">
        <v>6</v>
      </c>
      <c r="H1601" s="1"/>
      <c r="I1601" t="s">
        <v>0</v>
      </c>
      <c r="J1601" t="s">
        <v>65</v>
      </c>
      <c r="K1601" t="s">
        <v>27</v>
      </c>
      <c r="L1601" t="s">
        <v>70</v>
      </c>
      <c r="M1601" s="3" t="s">
        <v>1488</v>
      </c>
    </row>
    <row r="1602" spans="1:13" hidden="1" x14ac:dyDescent="0.25">
      <c r="A1602" s="1" t="str">
        <f>VLOOKUP(Table2[[#This Row],[Prod Line ]],Lists!A:E,5,0)</f>
        <v>b</v>
      </c>
      <c r="B1602" s="1">
        <v>44413</v>
      </c>
      <c r="C1602" s="1">
        <v>44411</v>
      </c>
      <c r="D1602" s="1" t="s">
        <v>58</v>
      </c>
      <c r="E1602" s="2" t="s">
        <v>406</v>
      </c>
      <c r="F1602" s="1"/>
      <c r="G1602" s="2">
        <v>12</v>
      </c>
      <c r="H1602" s="1"/>
      <c r="I1602" t="s">
        <v>1</v>
      </c>
      <c r="J1602" t="s">
        <v>65</v>
      </c>
      <c r="K1602" t="s">
        <v>3</v>
      </c>
      <c r="L1602" t="s">
        <v>441</v>
      </c>
      <c r="M1602" s="3" t="s">
        <v>1489</v>
      </c>
    </row>
    <row r="1603" spans="1:13" hidden="1" x14ac:dyDescent="0.25">
      <c r="A1603" s="1" t="str">
        <f>VLOOKUP(Table2[[#This Row],[Prod Line ]],Lists!A:E,5,0)</f>
        <v>b</v>
      </c>
      <c r="B1603" s="1">
        <v>44413</v>
      </c>
      <c r="C1603" s="1">
        <v>44411</v>
      </c>
      <c r="D1603" s="1" t="s">
        <v>58</v>
      </c>
      <c r="E1603" s="2" t="s">
        <v>406</v>
      </c>
      <c r="F1603" s="1"/>
      <c r="G1603" s="2">
        <v>4</v>
      </c>
      <c r="H1603" s="1"/>
      <c r="I1603" t="s">
        <v>0</v>
      </c>
      <c r="J1603" t="s">
        <v>65</v>
      </c>
      <c r="K1603" t="s">
        <v>28</v>
      </c>
      <c r="L1603" t="s">
        <v>70</v>
      </c>
      <c r="M1603" s="3" t="s">
        <v>1362</v>
      </c>
    </row>
    <row r="1604" spans="1:13" hidden="1" x14ac:dyDescent="0.25">
      <c r="A1604" s="1" t="str">
        <f>VLOOKUP(Table2[[#This Row],[Prod Line ]],Lists!A:E,5,0)</f>
        <v>d</v>
      </c>
      <c r="B1604" s="1">
        <v>44414</v>
      </c>
      <c r="C1604" s="1">
        <v>44411</v>
      </c>
      <c r="D1604" s="1" t="s">
        <v>62</v>
      </c>
      <c r="E1604" s="2" t="s">
        <v>404</v>
      </c>
      <c r="F1604" s="1"/>
      <c r="G1604" s="2">
        <v>20</v>
      </c>
      <c r="H1604" s="1"/>
      <c r="I1604" t="s">
        <v>1</v>
      </c>
      <c r="J1604" t="s">
        <v>5</v>
      </c>
      <c r="K1604" t="s">
        <v>396</v>
      </c>
      <c r="L1604" t="s">
        <v>407</v>
      </c>
      <c r="M1604" s="3" t="s">
        <v>1490</v>
      </c>
    </row>
    <row r="1605" spans="1:13" hidden="1" x14ac:dyDescent="0.25">
      <c r="A1605" s="1" t="str">
        <f>VLOOKUP(Table2[[#This Row],[Prod Line ]],Lists!A:E,5,0)</f>
        <v>d</v>
      </c>
      <c r="B1605" s="1">
        <v>44414</v>
      </c>
      <c r="C1605" s="1">
        <v>44411</v>
      </c>
      <c r="D1605" s="1" t="s">
        <v>62</v>
      </c>
      <c r="E1605" s="2" t="s">
        <v>404</v>
      </c>
      <c r="F1605" s="1"/>
      <c r="G1605" s="2">
        <v>25</v>
      </c>
      <c r="H1605" s="1"/>
      <c r="I1605" t="s">
        <v>1</v>
      </c>
      <c r="J1605" t="s">
        <v>5</v>
      </c>
      <c r="K1605" t="s">
        <v>396</v>
      </c>
      <c r="L1605" t="s">
        <v>407</v>
      </c>
      <c r="M1605" s="3" t="s">
        <v>1491</v>
      </c>
    </row>
    <row r="1606" spans="1:13" hidden="1" x14ac:dyDescent="0.25">
      <c r="A1606" s="1" t="str">
        <f>VLOOKUP(Table2[[#This Row],[Prod Line ]],Lists!A:E,5,0)</f>
        <v>d</v>
      </c>
      <c r="B1606" s="1">
        <v>44414</v>
      </c>
      <c r="C1606" s="1">
        <v>44413</v>
      </c>
      <c r="D1606" s="1" t="s">
        <v>62</v>
      </c>
      <c r="E1606" s="2" t="s">
        <v>404</v>
      </c>
      <c r="F1606" s="1"/>
      <c r="G1606" s="2">
        <v>20</v>
      </c>
      <c r="H1606" s="1"/>
      <c r="I1606" t="s">
        <v>1</v>
      </c>
      <c r="J1606" t="s">
        <v>2</v>
      </c>
      <c r="K1606" t="s">
        <v>19</v>
      </c>
      <c r="L1606" t="s">
        <v>349</v>
      </c>
      <c r="M1606" s="3" t="s">
        <v>750</v>
      </c>
    </row>
    <row r="1607" spans="1:13" hidden="1" x14ac:dyDescent="0.25">
      <c r="A1607" s="1" t="str">
        <f>VLOOKUP(Table2[[#This Row],[Prod Line ]],Lists!A:E,5,0)</f>
        <v>b</v>
      </c>
      <c r="B1607" s="1">
        <v>44414</v>
      </c>
      <c r="C1607" s="1">
        <v>44413</v>
      </c>
      <c r="D1607" s="1" t="s">
        <v>58</v>
      </c>
      <c r="E1607" s="2" t="s">
        <v>404</v>
      </c>
      <c r="F1607" s="1"/>
      <c r="G1607" s="2">
        <v>5</v>
      </c>
      <c r="H1607" s="1"/>
      <c r="I1607" t="s">
        <v>1</v>
      </c>
      <c r="J1607" t="s">
        <v>65</v>
      </c>
      <c r="K1607" t="s">
        <v>27</v>
      </c>
      <c r="L1607" t="s">
        <v>441</v>
      </c>
      <c r="M1607" s="3" t="s">
        <v>612</v>
      </c>
    </row>
    <row r="1608" spans="1:13" hidden="1" x14ac:dyDescent="0.25">
      <c r="A1608" s="1" t="str">
        <f>VLOOKUP(Table2[[#This Row],[Prod Line ]],Lists!A:E,5,0)</f>
        <v>a</v>
      </c>
      <c r="B1608" s="1">
        <v>44415</v>
      </c>
      <c r="C1608" s="1">
        <v>44413</v>
      </c>
      <c r="D1608" s="1" t="s">
        <v>56</v>
      </c>
      <c r="E1608" s="2" t="s">
        <v>404</v>
      </c>
      <c r="F1608" s="1"/>
      <c r="G1608" s="2">
        <v>5</v>
      </c>
      <c r="H1608" s="1"/>
      <c r="I1608" t="s">
        <v>0</v>
      </c>
      <c r="J1608" t="s">
        <v>67</v>
      </c>
      <c r="K1608" t="s">
        <v>67</v>
      </c>
      <c r="L1608" t="s">
        <v>70</v>
      </c>
      <c r="M1608" s="3" t="s">
        <v>1492</v>
      </c>
    </row>
    <row r="1609" spans="1:13" hidden="1" x14ac:dyDescent="0.25">
      <c r="A1609" s="1" t="str">
        <f>VLOOKUP(Table2[[#This Row],[Prod Line ]],Lists!A:E,5,0)</f>
        <v>a</v>
      </c>
      <c r="B1609" s="1">
        <v>44415</v>
      </c>
      <c r="C1609" s="1">
        <v>44413</v>
      </c>
      <c r="D1609" s="1" t="s">
        <v>56</v>
      </c>
      <c r="E1609" s="2" t="s">
        <v>404</v>
      </c>
      <c r="F1609" s="1"/>
      <c r="G1609" s="2">
        <v>9</v>
      </c>
      <c r="H1609" s="1"/>
      <c r="I1609" t="s">
        <v>1</v>
      </c>
      <c r="J1609" t="s">
        <v>64</v>
      </c>
      <c r="K1609" t="s">
        <v>363</v>
      </c>
      <c r="L1609" t="s">
        <v>407</v>
      </c>
      <c r="M1609" s="3" t="s">
        <v>939</v>
      </c>
    </row>
    <row r="1610" spans="1:13" hidden="1" x14ac:dyDescent="0.25">
      <c r="A1610" s="1" t="str">
        <f>VLOOKUP(Table2[[#This Row],[Prod Line ]],Lists!A:E,5,0)</f>
        <v>d</v>
      </c>
      <c r="B1610" s="1">
        <v>44415</v>
      </c>
      <c r="C1610" s="1">
        <v>44413</v>
      </c>
      <c r="D1610" s="1" t="s">
        <v>62</v>
      </c>
      <c r="E1610" s="2" t="s">
        <v>404</v>
      </c>
      <c r="F1610" s="1"/>
      <c r="G1610" s="2">
        <v>22</v>
      </c>
      <c r="H1610" s="1"/>
      <c r="I1610" t="s">
        <v>1</v>
      </c>
      <c r="J1610" t="s">
        <v>5</v>
      </c>
      <c r="K1610" t="s">
        <v>396</v>
      </c>
      <c r="L1610" t="s">
        <v>407</v>
      </c>
      <c r="M1610" s="3" t="s">
        <v>1451</v>
      </c>
    </row>
    <row r="1611" spans="1:13" hidden="1" x14ac:dyDescent="0.25">
      <c r="A1611" s="1" t="str">
        <f>VLOOKUP(Table2[[#This Row],[Prod Line ]],Lists!A:E,5,0)</f>
        <v>c</v>
      </c>
      <c r="B1611" s="1">
        <v>44413</v>
      </c>
      <c r="C1611" s="1">
        <v>44412</v>
      </c>
      <c r="D1611" s="1" t="s">
        <v>60</v>
      </c>
      <c r="E1611" s="2" t="s">
        <v>405</v>
      </c>
      <c r="F1611" s="1"/>
      <c r="G1611" s="2">
        <v>9</v>
      </c>
      <c r="H1611" s="1"/>
      <c r="I1611" t="s">
        <v>1</v>
      </c>
      <c r="J1611" t="s">
        <v>64</v>
      </c>
      <c r="K1611" t="s">
        <v>381</v>
      </c>
      <c r="L1611" t="s">
        <v>407</v>
      </c>
      <c r="M1611" s="3" t="s">
        <v>1505</v>
      </c>
    </row>
    <row r="1612" spans="1:13" hidden="1" x14ac:dyDescent="0.25">
      <c r="A1612" s="1" t="str">
        <f>VLOOKUP(Table2[[#This Row],[Prod Line ]],Lists!A:E,5,0)</f>
        <v>c</v>
      </c>
      <c r="B1612" s="1">
        <v>44415</v>
      </c>
      <c r="C1612" s="1">
        <v>44413</v>
      </c>
      <c r="D1612" s="1" t="s">
        <v>60</v>
      </c>
      <c r="E1612" s="2" t="s">
        <v>405</v>
      </c>
      <c r="F1612" s="1"/>
      <c r="G1612" s="2">
        <v>20</v>
      </c>
      <c r="H1612" s="1"/>
      <c r="I1612" t="s">
        <v>1</v>
      </c>
      <c r="J1612" t="s">
        <v>67</v>
      </c>
      <c r="K1612" t="s">
        <v>67</v>
      </c>
      <c r="L1612" t="s">
        <v>407</v>
      </c>
      <c r="M1612" s="3" t="s">
        <v>1493</v>
      </c>
    </row>
    <row r="1613" spans="1:13" hidden="1" x14ac:dyDescent="0.25">
      <c r="A1613" s="1" t="str">
        <f>VLOOKUP(Table2[[#This Row],[Prod Line ]],Lists!A:E,5,0)</f>
        <v>a</v>
      </c>
      <c r="B1613" s="1">
        <v>44417</v>
      </c>
      <c r="C1613" s="1">
        <v>44415</v>
      </c>
      <c r="D1613" s="1" t="s">
        <v>56</v>
      </c>
      <c r="E1613" s="2" t="s">
        <v>404</v>
      </c>
      <c r="F1613" s="1"/>
      <c r="G1613" s="2">
        <v>5</v>
      </c>
      <c r="H1613" s="1"/>
      <c r="I1613" t="s">
        <v>1</v>
      </c>
      <c r="J1613" t="s">
        <v>64</v>
      </c>
      <c r="K1613" t="s">
        <v>363</v>
      </c>
      <c r="L1613" t="s">
        <v>407</v>
      </c>
      <c r="M1613" s="3" t="s">
        <v>1494</v>
      </c>
    </row>
    <row r="1614" spans="1:13" hidden="1" x14ac:dyDescent="0.25">
      <c r="A1614" s="1" t="str">
        <f>VLOOKUP(Table2[[#This Row],[Prod Line ]],Lists!A:E,5,0)</f>
        <v>a</v>
      </c>
      <c r="B1614" s="1">
        <v>44417</v>
      </c>
      <c r="C1614" s="1">
        <v>44415</v>
      </c>
      <c r="D1614" s="1" t="s">
        <v>56</v>
      </c>
      <c r="E1614" s="2" t="s">
        <v>404</v>
      </c>
      <c r="F1614" s="1"/>
      <c r="G1614" s="2">
        <v>5</v>
      </c>
      <c r="H1614" s="1"/>
      <c r="I1614" t="s">
        <v>1</v>
      </c>
      <c r="J1614" t="s">
        <v>64</v>
      </c>
      <c r="K1614" t="s">
        <v>363</v>
      </c>
      <c r="L1614" t="s">
        <v>407</v>
      </c>
      <c r="M1614" s="3" t="s">
        <v>939</v>
      </c>
    </row>
    <row r="1615" spans="1:13" hidden="1" x14ac:dyDescent="0.25">
      <c r="A1615" s="1" t="str">
        <f>VLOOKUP(Table2[[#This Row],[Prod Line ]],Lists!A:E,5,0)</f>
        <v>a</v>
      </c>
      <c r="B1615" s="1">
        <v>44417</v>
      </c>
      <c r="C1615" s="1">
        <v>44415</v>
      </c>
      <c r="D1615" s="1" t="s">
        <v>56</v>
      </c>
      <c r="E1615" s="2" t="s">
        <v>404</v>
      </c>
      <c r="F1615" s="1"/>
      <c r="G1615" s="2">
        <v>13</v>
      </c>
      <c r="H1615" s="1"/>
      <c r="I1615" t="s">
        <v>1</v>
      </c>
      <c r="J1615" t="s">
        <v>64</v>
      </c>
      <c r="K1615" t="s">
        <v>367</v>
      </c>
      <c r="L1615" t="s">
        <v>407</v>
      </c>
      <c r="M1615" s="3" t="s">
        <v>1320</v>
      </c>
    </row>
    <row r="1616" spans="1:13" hidden="1" x14ac:dyDescent="0.25">
      <c r="A1616" s="1" t="str">
        <f>VLOOKUP(Table2[[#This Row],[Prod Line ]],Lists!A:E,5,0)</f>
        <v>a</v>
      </c>
      <c r="B1616" s="1">
        <v>44417</v>
      </c>
      <c r="C1616" s="1">
        <v>44415</v>
      </c>
      <c r="D1616" s="1" t="s">
        <v>56</v>
      </c>
      <c r="E1616" s="2" t="s">
        <v>404</v>
      </c>
      <c r="F1616" s="1"/>
      <c r="G1616" s="2">
        <v>5</v>
      </c>
      <c r="H1616" s="1"/>
      <c r="I1616" t="s">
        <v>1</v>
      </c>
      <c r="J1616" t="s">
        <v>65</v>
      </c>
      <c r="K1616" t="s">
        <v>27</v>
      </c>
      <c r="L1616" t="s">
        <v>350</v>
      </c>
      <c r="M1616" s="3" t="s">
        <v>884</v>
      </c>
    </row>
    <row r="1617" spans="1:13" hidden="1" x14ac:dyDescent="0.25">
      <c r="A1617" s="1" t="str">
        <f>VLOOKUP(Table2[[#This Row],[Prod Line ]],Lists!A:E,5,0)</f>
        <v>b</v>
      </c>
      <c r="B1617" s="1">
        <v>44415</v>
      </c>
      <c r="C1617" s="1">
        <v>44413</v>
      </c>
      <c r="D1617" s="1" t="s">
        <v>58</v>
      </c>
      <c r="E1617" s="2" t="s">
        <v>404</v>
      </c>
      <c r="F1617" s="1"/>
      <c r="G1617" s="2">
        <v>21</v>
      </c>
      <c r="H1617" s="1"/>
      <c r="I1617" t="s">
        <v>1</v>
      </c>
      <c r="J1617" t="s">
        <v>5</v>
      </c>
      <c r="K1617" t="s">
        <v>36</v>
      </c>
      <c r="L1617" t="s">
        <v>407</v>
      </c>
      <c r="M1617" s="3" t="s">
        <v>1503</v>
      </c>
    </row>
    <row r="1618" spans="1:13" hidden="1" x14ac:dyDescent="0.25">
      <c r="A1618" s="1" t="str">
        <f>VLOOKUP(Table2[[#This Row],[Prod Line ]],Lists!A:E,5,0)</f>
        <v>b</v>
      </c>
      <c r="B1618" s="1">
        <v>44415</v>
      </c>
      <c r="C1618" s="1">
        <v>44413</v>
      </c>
      <c r="D1618" s="1" t="s">
        <v>58</v>
      </c>
      <c r="E1618" s="2" t="s">
        <v>405</v>
      </c>
      <c r="F1618" s="1"/>
      <c r="G1618" s="2">
        <v>22</v>
      </c>
      <c r="H1618" s="1"/>
      <c r="I1618" t="s">
        <v>1</v>
      </c>
      <c r="J1618" t="s">
        <v>65</v>
      </c>
      <c r="K1618" t="s">
        <v>3</v>
      </c>
      <c r="L1618" t="s">
        <v>407</v>
      </c>
      <c r="M1618" s="3" t="s">
        <v>1504</v>
      </c>
    </row>
    <row r="1619" spans="1:13" hidden="1" x14ac:dyDescent="0.25">
      <c r="A1619" s="1" t="str">
        <f>VLOOKUP(Table2[[#This Row],[Prod Line ]],Lists!A:E,5,0)</f>
        <v>b</v>
      </c>
      <c r="B1619" s="1">
        <v>44417</v>
      </c>
      <c r="C1619" s="1">
        <v>44415</v>
      </c>
      <c r="D1619" s="1" t="s">
        <v>58</v>
      </c>
      <c r="E1619" s="2" t="s">
        <v>404</v>
      </c>
      <c r="F1619" s="1"/>
      <c r="G1619" s="2">
        <v>8</v>
      </c>
      <c r="H1619" s="1"/>
      <c r="I1619" t="s">
        <v>1</v>
      </c>
      <c r="J1619" t="s">
        <v>65</v>
      </c>
      <c r="K1619" t="s">
        <v>3</v>
      </c>
      <c r="L1619" t="s">
        <v>441</v>
      </c>
      <c r="M1619" s="3" t="s">
        <v>1489</v>
      </c>
    </row>
    <row r="1620" spans="1:13" hidden="1" x14ac:dyDescent="0.25">
      <c r="A1620" s="1" t="str">
        <f>VLOOKUP(Table2[[#This Row],[Prod Line ]],Lists!A:E,5,0)</f>
        <v>b</v>
      </c>
      <c r="B1620" s="1">
        <v>44417</v>
      </c>
      <c r="C1620" s="1">
        <v>44415</v>
      </c>
      <c r="D1620" s="1" t="s">
        <v>58</v>
      </c>
      <c r="E1620" s="2" t="s">
        <v>405</v>
      </c>
      <c r="F1620" s="1"/>
      <c r="G1620" s="2">
        <v>9</v>
      </c>
      <c r="H1620" s="1"/>
      <c r="I1620" t="s">
        <v>1</v>
      </c>
      <c r="J1620" t="s">
        <v>65</v>
      </c>
      <c r="K1620" t="s">
        <v>3</v>
      </c>
      <c r="L1620" t="s">
        <v>441</v>
      </c>
      <c r="M1620" s="3" t="s">
        <v>1489</v>
      </c>
    </row>
    <row r="1621" spans="1:13" hidden="1" x14ac:dyDescent="0.25">
      <c r="A1621" s="1" t="str">
        <f>VLOOKUP(Table2[[#This Row],[Prod Line ]],Lists!A:E,5,0)</f>
        <v>c</v>
      </c>
      <c r="B1621" s="1">
        <v>44415</v>
      </c>
      <c r="C1621" s="1">
        <v>44413</v>
      </c>
      <c r="D1621" s="1" t="s">
        <v>60</v>
      </c>
      <c r="E1621" s="2" t="s">
        <v>404</v>
      </c>
      <c r="F1621" s="1"/>
      <c r="G1621" s="2">
        <v>135</v>
      </c>
      <c r="H1621" s="1"/>
      <c r="I1621" t="s">
        <v>0</v>
      </c>
      <c r="J1621" t="s">
        <v>64</v>
      </c>
      <c r="K1621" t="s">
        <v>379</v>
      </c>
      <c r="L1621" t="s">
        <v>70</v>
      </c>
      <c r="M1621" s="3" t="s">
        <v>1506</v>
      </c>
    </row>
    <row r="1622" spans="1:13" hidden="1" x14ac:dyDescent="0.25">
      <c r="A1622" s="1" t="str">
        <f>VLOOKUP(Table2[[#This Row],[Prod Line ]],Lists!A:E,5,0)</f>
        <v>c</v>
      </c>
      <c r="B1622" s="1">
        <v>44417</v>
      </c>
      <c r="C1622" s="1">
        <v>44415</v>
      </c>
      <c r="D1622" s="1" t="s">
        <v>60</v>
      </c>
      <c r="E1622" s="2" t="s">
        <v>405</v>
      </c>
      <c r="F1622" s="1"/>
      <c r="G1622" s="2">
        <v>28</v>
      </c>
      <c r="H1622" s="1"/>
      <c r="I1622" t="s">
        <v>1</v>
      </c>
      <c r="J1622" t="s">
        <v>64</v>
      </c>
      <c r="K1622" t="s">
        <v>381</v>
      </c>
      <c r="L1622" t="s">
        <v>407</v>
      </c>
      <c r="M1622" s="3" t="s">
        <v>1495</v>
      </c>
    </row>
    <row r="1623" spans="1:13" hidden="1" x14ac:dyDescent="0.25">
      <c r="A1623" s="1" t="str">
        <f>VLOOKUP(Table2[[#This Row],[Prod Line ]],Lists!A:E,5,0)</f>
        <v>d</v>
      </c>
      <c r="B1623" s="1">
        <v>44417</v>
      </c>
      <c r="C1623" s="1">
        <v>44415</v>
      </c>
      <c r="D1623" s="1" t="s">
        <v>62</v>
      </c>
      <c r="E1623" s="2" t="s">
        <v>404</v>
      </c>
      <c r="F1623" s="1"/>
      <c r="G1623" s="2">
        <v>8</v>
      </c>
      <c r="H1623" s="1"/>
      <c r="I1623" t="s">
        <v>1</v>
      </c>
      <c r="J1623" t="s">
        <v>2</v>
      </c>
      <c r="K1623" t="s">
        <v>19</v>
      </c>
      <c r="L1623" t="s">
        <v>407</v>
      </c>
      <c r="M1623" s="3" t="s">
        <v>834</v>
      </c>
    </row>
    <row r="1624" spans="1:13" hidden="1" x14ac:dyDescent="0.25">
      <c r="A1624" s="1" t="str">
        <f>VLOOKUP(Table2[[#This Row],[Prod Line ]],Lists!A:E,5,0)</f>
        <v>d</v>
      </c>
      <c r="B1624" s="1">
        <v>44417</v>
      </c>
      <c r="C1624" s="1">
        <v>44415</v>
      </c>
      <c r="D1624" s="1" t="s">
        <v>62</v>
      </c>
      <c r="E1624" s="2" t="s">
        <v>404</v>
      </c>
      <c r="F1624" s="1"/>
      <c r="G1624" s="2">
        <v>8</v>
      </c>
      <c r="H1624" s="1"/>
      <c r="I1624" t="s">
        <v>1</v>
      </c>
      <c r="J1624" t="s">
        <v>64</v>
      </c>
      <c r="K1624" t="s">
        <v>379</v>
      </c>
      <c r="L1624" t="s">
        <v>349</v>
      </c>
      <c r="M1624" s="3" t="s">
        <v>1496</v>
      </c>
    </row>
    <row r="1625" spans="1:13" hidden="1" x14ac:dyDescent="0.25">
      <c r="A1625" s="1" t="str">
        <f>VLOOKUP(Table2[[#This Row],[Prod Line ]],Lists!A:E,5,0)</f>
        <v>d</v>
      </c>
      <c r="B1625" s="1">
        <v>44417</v>
      </c>
      <c r="C1625" s="1">
        <v>44415</v>
      </c>
      <c r="D1625" s="1" t="s">
        <v>62</v>
      </c>
      <c r="E1625" s="2" t="s">
        <v>405</v>
      </c>
      <c r="F1625" s="1"/>
      <c r="G1625" s="2">
        <v>5</v>
      </c>
      <c r="H1625" s="1"/>
      <c r="I1625" t="s">
        <v>0</v>
      </c>
      <c r="J1625" t="s">
        <v>2</v>
      </c>
      <c r="K1625" t="s">
        <v>19</v>
      </c>
      <c r="L1625" t="s">
        <v>70</v>
      </c>
      <c r="M1625" s="3" t="s">
        <v>719</v>
      </c>
    </row>
    <row r="1626" spans="1:13" hidden="1" x14ac:dyDescent="0.25">
      <c r="A1626" s="1" t="str">
        <f>VLOOKUP(Table2[[#This Row],[Prod Line ]],Lists!A:E,5,0)</f>
        <v>b</v>
      </c>
      <c r="B1626" s="1">
        <v>44418</v>
      </c>
      <c r="C1626" s="1">
        <v>44416</v>
      </c>
      <c r="D1626" s="1" t="s">
        <v>58</v>
      </c>
      <c r="E1626" s="2" t="s">
        <v>404</v>
      </c>
      <c r="F1626" s="1"/>
      <c r="G1626" s="2">
        <v>8</v>
      </c>
      <c r="H1626" s="1"/>
      <c r="I1626" t="s">
        <v>1</v>
      </c>
      <c r="J1626" t="s">
        <v>65</v>
      </c>
      <c r="K1626" t="s">
        <v>3</v>
      </c>
      <c r="L1626" t="s">
        <v>441</v>
      </c>
      <c r="M1626" s="3" t="s">
        <v>1497</v>
      </c>
    </row>
    <row r="1627" spans="1:13" hidden="1" x14ac:dyDescent="0.25">
      <c r="A1627" s="1" t="str">
        <f>VLOOKUP(Table2[[#This Row],[Prod Line ]],Lists!A:E,5,0)</f>
        <v>b</v>
      </c>
      <c r="B1627" s="1">
        <v>44418</v>
      </c>
      <c r="C1627" s="1">
        <v>44416</v>
      </c>
      <c r="D1627" s="1" t="s">
        <v>58</v>
      </c>
      <c r="E1627" s="2" t="s">
        <v>404</v>
      </c>
      <c r="F1627" s="1"/>
      <c r="G1627" s="2">
        <v>8</v>
      </c>
      <c r="H1627" s="1"/>
      <c r="I1627" t="s">
        <v>0</v>
      </c>
      <c r="J1627" t="s">
        <v>64</v>
      </c>
      <c r="K1627" t="s">
        <v>21</v>
      </c>
      <c r="L1627" t="s">
        <v>70</v>
      </c>
      <c r="M1627" s="3" t="s">
        <v>1498</v>
      </c>
    </row>
    <row r="1628" spans="1:13" hidden="1" x14ac:dyDescent="0.25">
      <c r="A1628" s="1" t="str">
        <f>VLOOKUP(Table2[[#This Row],[Prod Line ]],Lists!A:E,5,0)</f>
        <v>c</v>
      </c>
      <c r="B1628" s="1">
        <v>44418</v>
      </c>
      <c r="C1628" s="1">
        <v>44416</v>
      </c>
      <c r="D1628" s="1" t="s">
        <v>60</v>
      </c>
      <c r="E1628" s="2" t="s">
        <v>404</v>
      </c>
      <c r="F1628" s="1"/>
      <c r="G1628" s="2">
        <v>60</v>
      </c>
      <c r="H1628" s="1"/>
      <c r="I1628" t="s">
        <v>0</v>
      </c>
      <c r="J1628" t="s">
        <v>65</v>
      </c>
      <c r="K1628" t="s">
        <v>3</v>
      </c>
      <c r="L1628" t="s">
        <v>70</v>
      </c>
      <c r="M1628" s="3" t="s">
        <v>1330</v>
      </c>
    </row>
    <row r="1629" spans="1:13" hidden="1" x14ac:dyDescent="0.25">
      <c r="A1629" s="1" t="str">
        <f>VLOOKUP(Table2[[#This Row],[Prod Line ]],Lists!A:E,5,0)</f>
        <v>c</v>
      </c>
      <c r="B1629" s="1">
        <v>44418</v>
      </c>
      <c r="C1629" s="1">
        <v>44416</v>
      </c>
      <c r="D1629" s="1" t="s">
        <v>60</v>
      </c>
      <c r="E1629" s="2" t="s">
        <v>404</v>
      </c>
      <c r="F1629" s="1"/>
      <c r="G1629" s="2">
        <v>25</v>
      </c>
      <c r="H1629" s="1"/>
      <c r="I1629" t="s">
        <v>1</v>
      </c>
      <c r="J1629" t="s">
        <v>64</v>
      </c>
      <c r="K1629" t="s">
        <v>381</v>
      </c>
      <c r="L1629" t="s">
        <v>407</v>
      </c>
      <c r="M1629" s="3" t="s">
        <v>1468</v>
      </c>
    </row>
    <row r="1630" spans="1:13" hidden="1" x14ac:dyDescent="0.25">
      <c r="A1630" s="1" t="e">
        <f>VLOOKUP(Table2[[#This Row],[Prod Line ]],Lists!A:E,5,0)</f>
        <v>#N/A</v>
      </c>
      <c r="B1630" s="1"/>
      <c r="C1630" s="1"/>
      <c r="D1630" s="1"/>
      <c r="E1630" s="2"/>
      <c r="F1630" s="1"/>
      <c r="G1630" s="2"/>
      <c r="H1630" s="1"/>
      <c r="M1630" s="3"/>
    </row>
    <row r="1631" spans="1:13" hidden="1" x14ac:dyDescent="0.25">
      <c r="A1631" s="1" t="str">
        <f>VLOOKUP(Table2[[#This Row],[Prod Line ]],Lists!A:E,5,0)</f>
        <v>b</v>
      </c>
      <c r="B1631" s="1">
        <v>44418</v>
      </c>
      <c r="C1631" s="1">
        <v>44416</v>
      </c>
      <c r="D1631" s="1" t="s">
        <v>58</v>
      </c>
      <c r="E1631" s="2" t="s">
        <v>404</v>
      </c>
      <c r="F1631" s="1"/>
      <c r="G1631" s="2">
        <v>8</v>
      </c>
      <c r="H1631" s="1"/>
      <c r="I1631" t="s">
        <v>0</v>
      </c>
      <c r="J1631" t="s">
        <v>65</v>
      </c>
      <c r="K1631" t="s">
        <v>27</v>
      </c>
      <c r="L1631" t="s">
        <v>70</v>
      </c>
      <c r="M1631" s="3" t="s">
        <v>1498</v>
      </c>
    </row>
    <row r="1632" spans="1:13" hidden="1" x14ac:dyDescent="0.25">
      <c r="A1632" s="1" t="str">
        <f>VLOOKUP(Table2[[#This Row],[Prod Line ]],Lists!A:E,5,0)</f>
        <v>b</v>
      </c>
      <c r="B1632" s="1">
        <v>44418</v>
      </c>
      <c r="C1632" s="1">
        <v>44416</v>
      </c>
      <c r="D1632" s="1" t="s">
        <v>58</v>
      </c>
      <c r="E1632" s="2" t="s">
        <v>404</v>
      </c>
      <c r="F1632" s="1"/>
      <c r="G1632" s="2">
        <v>8</v>
      </c>
      <c r="H1632" s="1"/>
      <c r="I1632" t="s">
        <v>1</v>
      </c>
      <c r="J1632" t="s">
        <v>65</v>
      </c>
      <c r="K1632" t="s">
        <v>27</v>
      </c>
      <c r="L1632" t="s">
        <v>441</v>
      </c>
      <c r="M1632" s="3" t="s">
        <v>612</v>
      </c>
    </row>
    <row r="1633" spans="1:14" hidden="1" x14ac:dyDescent="0.25">
      <c r="A1633" s="1" t="str">
        <f>VLOOKUP(Table2[[#This Row],[Prod Line ]],Lists!A:E,5,0)</f>
        <v>c</v>
      </c>
      <c r="B1633" s="1">
        <v>44418</v>
      </c>
      <c r="C1633" s="1">
        <v>44416</v>
      </c>
      <c r="D1633" s="1" t="s">
        <v>60</v>
      </c>
      <c r="E1633" s="2" t="s">
        <v>404</v>
      </c>
      <c r="F1633" s="1"/>
      <c r="G1633" s="2">
        <v>60</v>
      </c>
      <c r="H1633" s="1"/>
      <c r="I1633" t="s">
        <v>0</v>
      </c>
      <c r="J1633" t="s">
        <v>65</v>
      </c>
      <c r="K1633" t="s">
        <v>382</v>
      </c>
      <c r="L1633" t="s">
        <v>70</v>
      </c>
      <c r="M1633" s="3" t="s">
        <v>1507</v>
      </c>
      <c r="N1633" s="20" t="s">
        <v>1527</v>
      </c>
    </row>
    <row r="1634" spans="1:14" hidden="1" x14ac:dyDescent="0.25">
      <c r="A1634" s="1" t="str">
        <f>VLOOKUP(Table2[[#This Row],[Prod Line ]],Lists!A:E,5,0)</f>
        <v>c</v>
      </c>
      <c r="B1634" s="1">
        <v>44418</v>
      </c>
      <c r="C1634" s="1">
        <v>44416</v>
      </c>
      <c r="D1634" s="1" t="s">
        <v>60</v>
      </c>
      <c r="E1634" s="2" t="s">
        <v>404</v>
      </c>
      <c r="F1634" s="1"/>
      <c r="G1634" s="2">
        <v>25</v>
      </c>
      <c r="H1634" s="1"/>
      <c r="I1634" t="s">
        <v>1</v>
      </c>
      <c r="J1634" t="s">
        <v>64</v>
      </c>
      <c r="K1634" t="s">
        <v>379</v>
      </c>
      <c r="L1634" t="s">
        <v>407</v>
      </c>
      <c r="M1634" s="3" t="s">
        <v>833</v>
      </c>
    </row>
    <row r="1635" spans="1:14" hidden="1" x14ac:dyDescent="0.25">
      <c r="A1635" s="1" t="str">
        <f>VLOOKUP(Table2[[#This Row],[Prod Line ]],Lists!A:E,5,0)</f>
        <v>a</v>
      </c>
      <c r="B1635" s="1">
        <v>44420</v>
      </c>
      <c r="C1635" s="1">
        <v>44418</v>
      </c>
      <c r="D1635" s="1" t="s">
        <v>56</v>
      </c>
      <c r="E1635" s="2" t="s">
        <v>404</v>
      </c>
      <c r="F1635" s="1"/>
      <c r="G1635" s="2">
        <v>15</v>
      </c>
      <c r="H1635" s="1"/>
      <c r="I1635" t="s">
        <v>1</v>
      </c>
      <c r="J1635" t="s">
        <v>64</v>
      </c>
      <c r="K1635" t="s">
        <v>363</v>
      </c>
      <c r="L1635" t="s">
        <v>407</v>
      </c>
      <c r="M1635" s="3" t="s">
        <v>1508</v>
      </c>
    </row>
    <row r="1636" spans="1:14" hidden="1" x14ac:dyDescent="0.25">
      <c r="A1636" s="1" t="str">
        <f>VLOOKUP(Table2[[#This Row],[Prod Line ]],Lists!A:E,5,0)</f>
        <v>a</v>
      </c>
      <c r="B1636" s="1">
        <v>44420</v>
      </c>
      <c r="C1636" s="1">
        <v>44418</v>
      </c>
      <c r="D1636" s="1" t="s">
        <v>56</v>
      </c>
      <c r="E1636" s="2" t="s">
        <v>404</v>
      </c>
      <c r="F1636" s="1"/>
      <c r="G1636" s="2">
        <v>10</v>
      </c>
      <c r="H1636" s="1"/>
      <c r="I1636" t="s">
        <v>1</v>
      </c>
      <c r="J1636" t="s">
        <v>65</v>
      </c>
      <c r="K1636" t="s">
        <v>27</v>
      </c>
      <c r="L1636" t="s">
        <v>441</v>
      </c>
      <c r="M1636" s="3" t="s">
        <v>612</v>
      </c>
    </row>
    <row r="1637" spans="1:14" hidden="1" x14ac:dyDescent="0.25">
      <c r="A1637" s="1" t="str">
        <f>VLOOKUP(Table2[[#This Row],[Prod Line ]],Lists!A:E,5,0)</f>
        <v>a</v>
      </c>
      <c r="B1637" s="1">
        <v>44420</v>
      </c>
      <c r="C1637" s="1">
        <v>44418</v>
      </c>
      <c r="D1637" s="1" t="s">
        <v>56</v>
      </c>
      <c r="E1637" s="2" t="s">
        <v>405</v>
      </c>
      <c r="F1637" s="1"/>
      <c r="G1637" s="2">
        <v>15</v>
      </c>
      <c r="H1637" s="1"/>
      <c r="I1637" t="s">
        <v>1</v>
      </c>
      <c r="J1637" t="s">
        <v>65</v>
      </c>
      <c r="K1637" t="s">
        <v>372</v>
      </c>
      <c r="L1637" t="s">
        <v>407</v>
      </c>
      <c r="M1637" s="3" t="s">
        <v>1509</v>
      </c>
    </row>
    <row r="1638" spans="1:14" hidden="1" x14ac:dyDescent="0.25">
      <c r="A1638" s="1" t="str">
        <f>VLOOKUP(Table2[[#This Row],[Prod Line ]],Lists!A:E,5,0)</f>
        <v>a</v>
      </c>
      <c r="B1638" s="1">
        <v>44420</v>
      </c>
      <c r="C1638" s="1">
        <v>44418</v>
      </c>
      <c r="D1638" s="1" t="s">
        <v>56</v>
      </c>
      <c r="E1638" s="2" t="s">
        <v>405</v>
      </c>
      <c r="F1638" s="1"/>
      <c r="G1638" s="2">
        <v>9</v>
      </c>
      <c r="H1638" s="1"/>
      <c r="I1638" t="s">
        <v>1</v>
      </c>
      <c r="J1638" t="s">
        <v>64</v>
      </c>
      <c r="K1638" t="s">
        <v>367</v>
      </c>
      <c r="L1638" t="s">
        <v>407</v>
      </c>
      <c r="M1638" s="3" t="s">
        <v>1320</v>
      </c>
    </row>
    <row r="1639" spans="1:14" hidden="1" x14ac:dyDescent="0.25">
      <c r="A1639" s="1" t="str">
        <f>VLOOKUP(Table2[[#This Row],[Prod Line ]],Lists!A:E,5,0)</f>
        <v>b</v>
      </c>
      <c r="B1639" s="1">
        <v>44420</v>
      </c>
      <c r="C1639" s="1">
        <v>44418</v>
      </c>
      <c r="D1639" s="1" t="s">
        <v>58</v>
      </c>
      <c r="E1639" s="2" t="s">
        <v>404</v>
      </c>
      <c r="F1639" s="1"/>
      <c r="G1639" s="2">
        <v>8</v>
      </c>
      <c r="H1639" s="1"/>
      <c r="I1639" t="s">
        <v>1</v>
      </c>
      <c r="J1639" t="s">
        <v>64</v>
      </c>
      <c r="K1639" t="s">
        <v>23</v>
      </c>
      <c r="L1639" t="s">
        <v>407</v>
      </c>
      <c r="M1639" s="3" t="s">
        <v>1510</v>
      </c>
    </row>
    <row r="1640" spans="1:14" hidden="1" x14ac:dyDescent="0.25">
      <c r="A1640" s="1" t="str">
        <f>VLOOKUP(Table2[[#This Row],[Prod Line ]],Lists!A:E,5,0)</f>
        <v>b</v>
      </c>
      <c r="B1640" s="1">
        <v>44420</v>
      </c>
      <c r="C1640" s="1">
        <v>44418</v>
      </c>
      <c r="D1640" s="1" t="s">
        <v>58</v>
      </c>
      <c r="E1640" s="2" t="s">
        <v>406</v>
      </c>
      <c r="F1640" s="1"/>
      <c r="G1640" s="2">
        <v>15</v>
      </c>
      <c r="H1640" s="1"/>
      <c r="I1640" t="s">
        <v>0</v>
      </c>
      <c r="J1640" t="s">
        <v>2</v>
      </c>
      <c r="K1640" t="s">
        <v>14</v>
      </c>
      <c r="L1640" t="s">
        <v>70</v>
      </c>
      <c r="M1640" s="3" t="s">
        <v>1511</v>
      </c>
    </row>
    <row r="1641" spans="1:14" hidden="1" x14ac:dyDescent="0.25">
      <c r="A1641" s="1" t="str">
        <f>VLOOKUP(Table2[[#This Row],[Prod Line ]],Lists!A:E,5,0)</f>
        <v>b</v>
      </c>
      <c r="B1641" s="1">
        <v>44420</v>
      </c>
      <c r="C1641" s="1">
        <v>44418</v>
      </c>
      <c r="D1641" s="1" t="s">
        <v>58</v>
      </c>
      <c r="E1641" s="2" t="s">
        <v>406</v>
      </c>
      <c r="F1641" s="1"/>
      <c r="G1641" s="2">
        <v>13</v>
      </c>
      <c r="H1641" s="1"/>
      <c r="I1641" t="s">
        <v>0</v>
      </c>
      <c r="J1641" t="s">
        <v>64</v>
      </c>
      <c r="K1641" t="s">
        <v>20</v>
      </c>
      <c r="L1641" t="s">
        <v>70</v>
      </c>
      <c r="M1641" s="3" t="s">
        <v>1331</v>
      </c>
    </row>
    <row r="1642" spans="1:14" hidden="1" x14ac:dyDescent="0.25">
      <c r="A1642" s="1" t="str">
        <f>VLOOKUP(Table2[[#This Row],[Prod Line ]],Lists!A:E,5,0)</f>
        <v>b</v>
      </c>
      <c r="B1642" s="1">
        <v>44420</v>
      </c>
      <c r="C1642" s="1">
        <v>44418</v>
      </c>
      <c r="D1642" s="1" t="s">
        <v>58</v>
      </c>
      <c r="E1642" s="2" t="s">
        <v>406</v>
      </c>
      <c r="F1642" s="1"/>
      <c r="G1642" s="2">
        <v>6</v>
      </c>
      <c r="H1642" s="1"/>
      <c r="I1642" t="s">
        <v>1</v>
      </c>
      <c r="J1642" t="s">
        <v>64</v>
      </c>
      <c r="K1642" t="s">
        <v>23</v>
      </c>
      <c r="L1642" t="s">
        <v>407</v>
      </c>
      <c r="M1642" s="3" t="s">
        <v>1510</v>
      </c>
    </row>
    <row r="1643" spans="1:14" hidden="1" x14ac:dyDescent="0.25">
      <c r="A1643" s="1" t="str">
        <f>VLOOKUP(Table2[[#This Row],[Prod Line ]],Lists!A:E,5,0)</f>
        <v>b</v>
      </c>
      <c r="B1643" s="1">
        <v>44420</v>
      </c>
      <c r="C1643" s="1">
        <v>44418</v>
      </c>
      <c r="D1643" s="1" t="s">
        <v>58</v>
      </c>
      <c r="E1643" s="2" t="s">
        <v>406</v>
      </c>
      <c r="F1643" s="1"/>
      <c r="G1643" s="2">
        <v>11</v>
      </c>
      <c r="H1643" s="1"/>
      <c r="I1643" t="s">
        <v>1</v>
      </c>
      <c r="J1643" t="s">
        <v>65</v>
      </c>
      <c r="K1643" t="s">
        <v>27</v>
      </c>
      <c r="L1643" t="s">
        <v>441</v>
      </c>
      <c r="M1643" s="3" t="s">
        <v>612</v>
      </c>
    </row>
    <row r="1644" spans="1:14" hidden="1" x14ac:dyDescent="0.25">
      <c r="A1644" s="1" t="str">
        <f>VLOOKUP(Table2[[#This Row],[Prod Line ]],Lists!A:E,5,0)</f>
        <v>c</v>
      </c>
      <c r="B1644" s="1">
        <v>44420</v>
      </c>
      <c r="C1644" s="1">
        <v>44418</v>
      </c>
      <c r="D1644" s="1" t="s">
        <v>60</v>
      </c>
      <c r="E1644" s="2" t="s">
        <v>404</v>
      </c>
      <c r="F1644" s="1"/>
      <c r="G1644" s="2">
        <v>23</v>
      </c>
      <c r="H1644" s="1"/>
      <c r="I1644" t="s">
        <v>1</v>
      </c>
      <c r="J1644" t="s">
        <v>64</v>
      </c>
      <c r="K1644" t="s">
        <v>379</v>
      </c>
      <c r="L1644" t="s">
        <v>407</v>
      </c>
      <c r="M1644" s="3" t="s">
        <v>833</v>
      </c>
    </row>
    <row r="1645" spans="1:14" hidden="1" x14ac:dyDescent="0.25">
      <c r="A1645" s="1" t="str">
        <f>VLOOKUP(Table2[[#This Row],[Prod Line ]],Lists!A:E,5,0)</f>
        <v>c</v>
      </c>
      <c r="B1645" s="1">
        <v>44420</v>
      </c>
      <c r="C1645" s="1">
        <v>44418</v>
      </c>
      <c r="D1645" s="1" t="s">
        <v>60</v>
      </c>
      <c r="E1645" s="2" t="s">
        <v>405</v>
      </c>
      <c r="F1645" s="1"/>
      <c r="G1645" s="2">
        <v>29</v>
      </c>
      <c r="H1645" s="1"/>
      <c r="I1645" t="s">
        <v>1</v>
      </c>
      <c r="J1645" t="s">
        <v>64</v>
      </c>
      <c r="K1645" t="s">
        <v>379</v>
      </c>
      <c r="L1645" t="s">
        <v>407</v>
      </c>
      <c r="M1645" s="3" t="s">
        <v>833</v>
      </c>
    </row>
    <row r="1646" spans="1:14" hidden="1" x14ac:dyDescent="0.25">
      <c r="A1646" s="1" t="str">
        <f>VLOOKUP(Table2[[#This Row],[Prod Line ]],Lists!A:E,5,0)</f>
        <v>d</v>
      </c>
      <c r="B1646" s="1">
        <v>44420</v>
      </c>
      <c r="C1646" s="1">
        <v>44418</v>
      </c>
      <c r="D1646" s="1" t="s">
        <v>62</v>
      </c>
      <c r="E1646" s="2" t="s">
        <v>404</v>
      </c>
      <c r="F1646" s="1"/>
      <c r="G1646" s="2">
        <v>8</v>
      </c>
      <c r="H1646" s="1"/>
      <c r="I1646" t="s">
        <v>1</v>
      </c>
      <c r="J1646" t="s">
        <v>5</v>
      </c>
      <c r="K1646" t="s">
        <v>396</v>
      </c>
      <c r="L1646" t="s">
        <v>407</v>
      </c>
      <c r="M1646" s="3" t="s">
        <v>1512</v>
      </c>
    </row>
    <row r="1647" spans="1:14" hidden="1" x14ac:dyDescent="0.25">
      <c r="A1647" s="1" t="str">
        <f>VLOOKUP(Table2[[#This Row],[Prod Line ]],Lists!A:E,5,0)</f>
        <v>d</v>
      </c>
      <c r="B1647" s="1">
        <v>44420</v>
      </c>
      <c r="C1647" s="1">
        <v>44418</v>
      </c>
      <c r="D1647" s="1" t="s">
        <v>62</v>
      </c>
      <c r="E1647" s="2" t="s">
        <v>404</v>
      </c>
      <c r="F1647" s="1"/>
      <c r="G1647" s="2">
        <v>125</v>
      </c>
      <c r="H1647" s="1"/>
      <c r="I1647" t="s">
        <v>1</v>
      </c>
      <c r="J1647" t="s">
        <v>5</v>
      </c>
      <c r="K1647" t="s">
        <v>396</v>
      </c>
      <c r="L1647" t="s">
        <v>407</v>
      </c>
      <c r="M1647" s="3" t="s">
        <v>1513</v>
      </c>
    </row>
    <row r="1648" spans="1:14" hidden="1" x14ac:dyDescent="0.25">
      <c r="A1648" s="1" t="str">
        <f>VLOOKUP(Table2[[#This Row],[Prod Line ]],Lists!A:E,5,0)</f>
        <v>a</v>
      </c>
      <c r="B1648" s="1">
        <v>44421</v>
      </c>
      <c r="C1648" s="1">
        <v>44419</v>
      </c>
      <c r="D1648" s="1" t="s">
        <v>56</v>
      </c>
      <c r="E1648" s="2" t="s">
        <v>404</v>
      </c>
      <c r="F1648" s="1"/>
      <c r="G1648" s="2">
        <v>4</v>
      </c>
      <c r="H1648" s="1"/>
      <c r="I1648" t="s">
        <v>1</v>
      </c>
      <c r="J1648" t="s">
        <v>65</v>
      </c>
      <c r="K1648" t="s">
        <v>27</v>
      </c>
      <c r="L1648" t="s">
        <v>441</v>
      </c>
      <c r="M1648" s="3" t="s">
        <v>612</v>
      </c>
    </row>
    <row r="1649" spans="1:14" hidden="1" x14ac:dyDescent="0.25">
      <c r="A1649" s="1" t="str">
        <f>VLOOKUP(Table2[[#This Row],[Prod Line ]],Lists!A:E,5,0)</f>
        <v>b</v>
      </c>
      <c r="B1649" s="1">
        <v>44421</v>
      </c>
      <c r="C1649" s="1">
        <v>44419</v>
      </c>
      <c r="D1649" s="1" t="s">
        <v>58</v>
      </c>
      <c r="E1649" s="2" t="s">
        <v>406</v>
      </c>
      <c r="F1649" s="1"/>
      <c r="G1649" s="2">
        <v>4</v>
      </c>
      <c r="H1649" s="1"/>
      <c r="I1649" t="s">
        <v>1</v>
      </c>
      <c r="J1649" t="s">
        <v>65</v>
      </c>
      <c r="K1649" t="s">
        <v>27</v>
      </c>
      <c r="L1649" t="s">
        <v>441</v>
      </c>
      <c r="M1649" s="3" t="s">
        <v>612</v>
      </c>
    </row>
    <row r="1650" spans="1:14" hidden="1" x14ac:dyDescent="0.25">
      <c r="A1650" s="1" t="str">
        <f>VLOOKUP(Table2[[#This Row],[Prod Line ]],Lists!A:E,5,0)</f>
        <v>d</v>
      </c>
      <c r="B1650" s="1">
        <v>44421</v>
      </c>
      <c r="C1650" s="1">
        <v>44419</v>
      </c>
      <c r="D1650" s="1" t="s">
        <v>62</v>
      </c>
      <c r="E1650" s="2" t="s">
        <v>404</v>
      </c>
      <c r="F1650" s="1"/>
      <c r="G1650" s="2">
        <v>15</v>
      </c>
      <c r="H1650" s="1"/>
      <c r="I1650" t="s">
        <v>0</v>
      </c>
      <c r="J1650" t="s">
        <v>66</v>
      </c>
      <c r="K1650" t="s">
        <v>34</v>
      </c>
      <c r="L1650" t="s">
        <v>70</v>
      </c>
      <c r="M1650" s="3" t="s">
        <v>1423</v>
      </c>
    </row>
    <row r="1651" spans="1:14" hidden="1" x14ac:dyDescent="0.25">
      <c r="A1651" s="1" t="str">
        <f>VLOOKUP(Table2[[#This Row],[Prod Line ]],Lists!A:E,5,0)</f>
        <v>d</v>
      </c>
      <c r="B1651" s="1">
        <v>44421</v>
      </c>
      <c r="C1651" s="1">
        <v>44419</v>
      </c>
      <c r="D1651" s="1" t="s">
        <v>62</v>
      </c>
      <c r="E1651" s="2" t="s">
        <v>404</v>
      </c>
      <c r="F1651" s="1"/>
      <c r="G1651" s="2">
        <v>15</v>
      </c>
      <c r="H1651" s="1"/>
      <c r="I1651" t="s">
        <v>1</v>
      </c>
      <c r="J1651" t="s">
        <v>2</v>
      </c>
      <c r="K1651" t="s">
        <v>19</v>
      </c>
      <c r="L1651" t="s">
        <v>349</v>
      </c>
      <c r="M1651" s="3" t="s">
        <v>1514</v>
      </c>
    </row>
    <row r="1652" spans="1:14" hidden="1" x14ac:dyDescent="0.25">
      <c r="A1652" s="1" t="str">
        <f>VLOOKUP(Table2[[#This Row],[Prod Line ]],Lists!A:E,5,0)</f>
        <v>d</v>
      </c>
      <c r="B1652" s="1">
        <v>44421</v>
      </c>
      <c r="C1652" s="1">
        <v>44419</v>
      </c>
      <c r="D1652" s="1" t="s">
        <v>62</v>
      </c>
      <c r="E1652" s="2" t="s">
        <v>405</v>
      </c>
      <c r="F1652" s="1"/>
      <c r="G1652" s="2">
        <v>70</v>
      </c>
      <c r="H1652" s="1"/>
      <c r="I1652" t="s">
        <v>1</v>
      </c>
      <c r="J1652" t="s">
        <v>2</v>
      </c>
      <c r="K1652" t="s">
        <v>19</v>
      </c>
      <c r="L1652" t="s">
        <v>407</v>
      </c>
      <c r="M1652" s="3" t="s">
        <v>1515</v>
      </c>
    </row>
    <row r="1653" spans="1:14" hidden="1" x14ac:dyDescent="0.25">
      <c r="A1653" s="1" t="str">
        <f>VLOOKUP(Table2[[#This Row],[Prod Line ]],Lists!A:E,5,0)</f>
        <v>d</v>
      </c>
      <c r="B1653" s="1">
        <v>44421</v>
      </c>
      <c r="C1653" s="1">
        <v>44419</v>
      </c>
      <c r="D1653" s="1" t="s">
        <v>62</v>
      </c>
      <c r="E1653" s="2" t="s">
        <v>404</v>
      </c>
      <c r="F1653" s="1"/>
      <c r="G1653" s="2">
        <v>39</v>
      </c>
      <c r="H1653" s="1"/>
      <c r="I1653" t="s">
        <v>1</v>
      </c>
      <c r="J1653" t="s">
        <v>64</v>
      </c>
      <c r="K1653" t="s">
        <v>379</v>
      </c>
      <c r="L1653" t="s">
        <v>72</v>
      </c>
      <c r="M1653" s="3" t="s">
        <v>1516</v>
      </c>
    </row>
    <row r="1654" spans="1:14" hidden="1" x14ac:dyDescent="0.25">
      <c r="A1654" s="1" t="str">
        <f>VLOOKUP(Table2[[#This Row],[Prod Line ]],Lists!A:E,5,0)</f>
        <v>a</v>
      </c>
      <c r="B1654" s="1">
        <v>44422</v>
      </c>
      <c r="C1654" s="1">
        <v>44420</v>
      </c>
      <c r="D1654" s="1" t="s">
        <v>56</v>
      </c>
      <c r="E1654" s="2" t="s">
        <v>404</v>
      </c>
      <c r="F1654" s="1"/>
      <c r="G1654" s="2">
        <v>15</v>
      </c>
      <c r="H1654" s="1"/>
      <c r="I1654" t="s">
        <v>0</v>
      </c>
      <c r="J1654" t="s">
        <v>64</v>
      </c>
      <c r="K1654" t="s">
        <v>367</v>
      </c>
      <c r="L1654" t="s">
        <v>70</v>
      </c>
      <c r="M1654" s="3" t="s">
        <v>1445</v>
      </c>
    </row>
    <row r="1655" spans="1:14" hidden="1" x14ac:dyDescent="0.25">
      <c r="A1655" s="1" t="str">
        <f>VLOOKUP(Table2[[#This Row],[Prod Line ]],Lists!A:E,5,0)</f>
        <v>b</v>
      </c>
      <c r="B1655" s="1">
        <v>44422</v>
      </c>
      <c r="C1655" s="1">
        <v>44420</v>
      </c>
      <c r="D1655" s="1" t="s">
        <v>58</v>
      </c>
      <c r="E1655" s="2" t="s">
        <v>404</v>
      </c>
      <c r="F1655" s="1"/>
      <c r="G1655" s="2">
        <v>3</v>
      </c>
      <c r="H1655" s="1"/>
      <c r="I1655" t="s">
        <v>1</v>
      </c>
      <c r="J1655" t="s">
        <v>64</v>
      </c>
      <c r="K1655" t="s">
        <v>23</v>
      </c>
      <c r="L1655" t="s">
        <v>441</v>
      </c>
      <c r="M1655" s="3" t="s">
        <v>1517</v>
      </c>
    </row>
    <row r="1656" spans="1:14" hidden="1" x14ac:dyDescent="0.25">
      <c r="A1656" s="1" t="str">
        <f>VLOOKUP(Table2[[#This Row],[Prod Line ]],Lists!A:E,5,0)</f>
        <v>c</v>
      </c>
      <c r="B1656" s="1">
        <v>44422</v>
      </c>
      <c r="C1656" s="1">
        <v>44420</v>
      </c>
      <c r="D1656" s="1" t="s">
        <v>60</v>
      </c>
      <c r="E1656" s="2" t="s">
        <v>404</v>
      </c>
      <c r="F1656" s="1"/>
      <c r="G1656" s="2">
        <v>22</v>
      </c>
      <c r="H1656" s="1"/>
      <c r="I1656" t="s">
        <v>0</v>
      </c>
      <c r="J1656" t="s">
        <v>2</v>
      </c>
      <c r="K1656" t="s">
        <v>378</v>
      </c>
      <c r="L1656" t="s">
        <v>70</v>
      </c>
      <c r="M1656" s="3" t="s">
        <v>719</v>
      </c>
    </row>
    <row r="1657" spans="1:14" hidden="1" x14ac:dyDescent="0.25">
      <c r="A1657" s="1" t="str">
        <f>VLOOKUP(Table2[[#This Row],[Prod Line ]],Lists!A:E,5,0)</f>
        <v>b</v>
      </c>
      <c r="B1657" s="1">
        <v>44422</v>
      </c>
      <c r="C1657" s="1">
        <v>44421</v>
      </c>
      <c r="D1657" s="1" t="s">
        <v>58</v>
      </c>
      <c r="E1657" s="2" t="s">
        <v>774</v>
      </c>
      <c r="F1657" s="1"/>
      <c r="G1657" s="2">
        <v>10</v>
      </c>
      <c r="H1657" s="1"/>
      <c r="I1657" t="s">
        <v>1</v>
      </c>
      <c r="J1657" t="s">
        <v>2</v>
      </c>
      <c r="K1657" t="s">
        <v>19</v>
      </c>
      <c r="L1657" t="s">
        <v>407</v>
      </c>
      <c r="M1657" s="3" t="s">
        <v>437</v>
      </c>
    </row>
    <row r="1658" spans="1:14" hidden="1" x14ac:dyDescent="0.25">
      <c r="A1658" s="1" t="str">
        <f>VLOOKUP(Table2[[#This Row],[Prod Line ]],Lists!A:E,5,0)</f>
        <v>b</v>
      </c>
      <c r="B1658" s="1">
        <v>44422</v>
      </c>
      <c r="C1658" s="1">
        <v>44421</v>
      </c>
      <c r="D1658" s="1" t="s">
        <v>58</v>
      </c>
      <c r="E1658" s="2" t="s">
        <v>406</v>
      </c>
      <c r="F1658" s="1"/>
      <c r="G1658" s="2">
        <v>10</v>
      </c>
      <c r="H1658" s="1"/>
      <c r="I1658" t="s">
        <v>1</v>
      </c>
      <c r="J1658" t="s">
        <v>66</v>
      </c>
      <c r="K1658" t="s">
        <v>4</v>
      </c>
      <c r="L1658" t="s">
        <v>407</v>
      </c>
      <c r="M1658" s="3" t="s">
        <v>1518</v>
      </c>
    </row>
    <row r="1659" spans="1:14" hidden="1" x14ac:dyDescent="0.25">
      <c r="A1659" s="1" t="str">
        <f>VLOOKUP(Table2[[#This Row],[Prod Line ]],Lists!A:E,5,0)</f>
        <v>b</v>
      </c>
      <c r="B1659" s="1">
        <v>44422</v>
      </c>
      <c r="C1659" s="1">
        <v>44421</v>
      </c>
      <c r="D1659" s="1" t="s">
        <v>58</v>
      </c>
      <c r="E1659" s="2" t="s">
        <v>406</v>
      </c>
      <c r="F1659" s="1"/>
      <c r="G1659" s="2">
        <v>10</v>
      </c>
      <c r="H1659" s="1"/>
      <c r="I1659" t="s">
        <v>1</v>
      </c>
      <c r="J1659" t="s">
        <v>64</v>
      </c>
      <c r="K1659" t="s">
        <v>24</v>
      </c>
      <c r="L1659" t="s">
        <v>441</v>
      </c>
      <c r="M1659" s="3" t="s">
        <v>1519</v>
      </c>
    </row>
    <row r="1660" spans="1:14" hidden="1" x14ac:dyDescent="0.25">
      <c r="A1660" s="1" t="str">
        <f>VLOOKUP(Table2[[#This Row],[Prod Line ]],Lists!A:E,5,0)</f>
        <v>b</v>
      </c>
      <c r="B1660" s="1">
        <v>44422</v>
      </c>
      <c r="C1660" s="1">
        <v>44421</v>
      </c>
      <c r="D1660" s="1" t="s">
        <v>58</v>
      </c>
      <c r="E1660" s="2" t="s">
        <v>406</v>
      </c>
      <c r="F1660" s="1"/>
      <c r="G1660" s="2">
        <v>10</v>
      </c>
      <c r="H1660" s="1"/>
      <c r="I1660" t="s">
        <v>1</v>
      </c>
      <c r="J1660" t="s">
        <v>26</v>
      </c>
      <c r="K1660" t="s">
        <v>26</v>
      </c>
      <c r="L1660" t="s">
        <v>441</v>
      </c>
      <c r="M1660" s="3" t="s">
        <v>1520</v>
      </c>
    </row>
    <row r="1661" spans="1:14" hidden="1" x14ac:dyDescent="0.25">
      <c r="A1661" s="1" t="str">
        <f>VLOOKUP(Table2[[#This Row],[Prod Line ]],Lists!A:E,5,0)</f>
        <v>b</v>
      </c>
      <c r="B1661" s="1">
        <v>44422</v>
      </c>
      <c r="C1661" s="1">
        <v>44421</v>
      </c>
      <c r="D1661" s="1" t="s">
        <v>58</v>
      </c>
      <c r="E1661" s="2" t="s">
        <v>404</v>
      </c>
      <c r="F1661" s="1"/>
      <c r="G1661" s="2">
        <v>16</v>
      </c>
      <c r="H1661" s="1"/>
      <c r="I1661" t="s">
        <v>1</v>
      </c>
      <c r="J1661" t="s">
        <v>64</v>
      </c>
      <c r="K1661" t="s">
        <v>23</v>
      </c>
      <c r="L1661" t="s">
        <v>407</v>
      </c>
      <c r="M1661" s="3" t="s">
        <v>1521</v>
      </c>
    </row>
    <row r="1662" spans="1:14" hidden="1" x14ac:dyDescent="0.25">
      <c r="A1662" s="1" t="str">
        <f>VLOOKUP(Table2[[#This Row],[Prod Line ]],Lists!A:E,5,0)</f>
        <v>b</v>
      </c>
      <c r="B1662" s="1">
        <v>44422</v>
      </c>
      <c r="C1662" s="1">
        <v>44421</v>
      </c>
      <c r="D1662" s="1" t="s">
        <v>58</v>
      </c>
      <c r="E1662" s="2" t="s">
        <v>404</v>
      </c>
      <c r="F1662" s="1"/>
      <c r="G1662" s="2">
        <v>135</v>
      </c>
      <c r="H1662" s="1"/>
      <c r="I1662" t="s">
        <v>0</v>
      </c>
      <c r="J1662" t="s">
        <v>65</v>
      </c>
      <c r="K1662" t="s">
        <v>3</v>
      </c>
      <c r="L1662" t="s">
        <v>70</v>
      </c>
      <c r="M1662" s="3" t="s">
        <v>1522</v>
      </c>
      <c r="N1662" s="20" t="s">
        <v>1528</v>
      </c>
    </row>
    <row r="1663" spans="1:14" hidden="1" x14ac:dyDescent="0.25">
      <c r="A1663" s="1" t="str">
        <f>VLOOKUP(Table2[[#This Row],[Prod Line ]],Lists!A:E,5,0)</f>
        <v>a</v>
      </c>
      <c r="B1663" s="1">
        <v>44424</v>
      </c>
      <c r="C1663" s="1">
        <v>44422</v>
      </c>
      <c r="D1663" s="1" t="s">
        <v>56</v>
      </c>
      <c r="E1663" s="2" t="s">
        <v>774</v>
      </c>
      <c r="F1663" s="1"/>
      <c r="G1663" s="2">
        <v>13</v>
      </c>
      <c r="H1663" s="1"/>
      <c r="I1663" t="s">
        <v>0</v>
      </c>
      <c r="J1663" t="s">
        <v>65</v>
      </c>
      <c r="K1663" t="s">
        <v>372</v>
      </c>
      <c r="L1663" t="s">
        <v>70</v>
      </c>
      <c r="M1663" s="3" t="s">
        <v>432</v>
      </c>
    </row>
    <row r="1664" spans="1:14" hidden="1" x14ac:dyDescent="0.25">
      <c r="A1664" s="1" t="str">
        <f>VLOOKUP(Table2[[#This Row],[Prod Line ]],Lists!A:E,5,0)</f>
        <v>a</v>
      </c>
      <c r="B1664" s="1">
        <v>44424</v>
      </c>
      <c r="C1664" s="1">
        <v>44422</v>
      </c>
      <c r="D1664" s="1" t="s">
        <v>56</v>
      </c>
      <c r="E1664" s="2" t="s">
        <v>774</v>
      </c>
      <c r="F1664" s="1"/>
      <c r="G1664" s="2">
        <v>8</v>
      </c>
      <c r="H1664" s="1"/>
      <c r="I1664" t="s">
        <v>0</v>
      </c>
      <c r="J1664" t="s">
        <v>2</v>
      </c>
      <c r="K1664" t="s">
        <v>14</v>
      </c>
      <c r="L1664" t="s">
        <v>70</v>
      </c>
      <c r="M1664" s="3" t="s">
        <v>1529</v>
      </c>
    </row>
    <row r="1665" spans="1:13" hidden="1" x14ac:dyDescent="0.25">
      <c r="A1665" s="1" t="str">
        <f>VLOOKUP(Table2[[#This Row],[Prod Line ]],Lists!A:E,5,0)</f>
        <v>a</v>
      </c>
      <c r="B1665" s="1">
        <v>44424</v>
      </c>
      <c r="C1665" s="1">
        <v>44422</v>
      </c>
      <c r="D1665" s="1" t="s">
        <v>56</v>
      </c>
      <c r="E1665" s="2" t="s">
        <v>404</v>
      </c>
      <c r="F1665" s="1"/>
      <c r="G1665" s="2">
        <v>15</v>
      </c>
      <c r="H1665" s="1"/>
      <c r="I1665" t="s">
        <v>1</v>
      </c>
      <c r="J1665" t="s">
        <v>64</v>
      </c>
      <c r="K1665" t="s">
        <v>370</v>
      </c>
      <c r="L1665" t="s">
        <v>72</v>
      </c>
      <c r="M1665" s="3" t="s">
        <v>811</v>
      </c>
    </row>
    <row r="1666" spans="1:13" hidden="1" x14ac:dyDescent="0.25">
      <c r="A1666" s="1" t="str">
        <f>VLOOKUP(Table2[[#This Row],[Prod Line ]],Lists!A:E,5,0)</f>
        <v>a</v>
      </c>
      <c r="B1666" s="1">
        <v>44424</v>
      </c>
      <c r="C1666" s="1">
        <v>44422</v>
      </c>
      <c r="D1666" s="1" t="s">
        <v>56</v>
      </c>
      <c r="E1666" s="2" t="s">
        <v>404</v>
      </c>
      <c r="F1666" s="1"/>
      <c r="G1666" s="2">
        <v>15</v>
      </c>
      <c r="H1666" s="1"/>
      <c r="I1666" t="s">
        <v>1</v>
      </c>
      <c r="J1666" t="s">
        <v>64</v>
      </c>
      <c r="K1666" t="s">
        <v>367</v>
      </c>
      <c r="L1666" t="s">
        <v>72</v>
      </c>
      <c r="M1666" s="3" t="s">
        <v>1530</v>
      </c>
    </row>
    <row r="1667" spans="1:13" hidden="1" x14ac:dyDescent="0.25">
      <c r="A1667" s="1" t="str">
        <f>VLOOKUP(Table2[[#This Row],[Prod Line ]],Lists!A:E,5,0)</f>
        <v>a</v>
      </c>
      <c r="B1667" s="1">
        <v>44425</v>
      </c>
      <c r="C1667" s="1">
        <v>44423</v>
      </c>
      <c r="D1667" s="1" t="s">
        <v>56</v>
      </c>
      <c r="E1667" s="2" t="s">
        <v>774</v>
      </c>
      <c r="F1667" s="1"/>
      <c r="G1667" s="2">
        <v>28</v>
      </c>
      <c r="H1667" s="1"/>
      <c r="I1667" t="s">
        <v>0</v>
      </c>
      <c r="J1667" t="s">
        <v>64</v>
      </c>
      <c r="K1667" t="s">
        <v>368</v>
      </c>
      <c r="L1667" t="s">
        <v>70</v>
      </c>
      <c r="M1667" s="3" t="s">
        <v>1531</v>
      </c>
    </row>
    <row r="1668" spans="1:13" hidden="1" x14ac:dyDescent="0.25">
      <c r="A1668" s="1" t="str">
        <f>VLOOKUP(Table2[[#This Row],[Prod Line ]],Lists!A:E,5,0)</f>
        <v>a</v>
      </c>
      <c r="B1668" s="1">
        <v>44425</v>
      </c>
      <c r="C1668" s="1">
        <v>44423</v>
      </c>
      <c r="D1668" s="1" t="s">
        <v>56</v>
      </c>
      <c r="E1668" s="2" t="s">
        <v>774</v>
      </c>
      <c r="F1668" s="1"/>
      <c r="G1668" s="2">
        <v>2</v>
      </c>
      <c r="H1668" s="1"/>
      <c r="I1668" t="s">
        <v>1</v>
      </c>
      <c r="J1668" t="s">
        <v>64</v>
      </c>
      <c r="K1668" t="s">
        <v>367</v>
      </c>
      <c r="L1668" t="s">
        <v>345</v>
      </c>
      <c r="M1668" s="3" t="s">
        <v>1532</v>
      </c>
    </row>
    <row r="1669" spans="1:13" hidden="1" x14ac:dyDescent="0.25">
      <c r="A1669" s="1" t="str">
        <f>VLOOKUP(Table2[[#This Row],[Prod Line ]],Lists!A:E,5,0)</f>
        <v>a</v>
      </c>
      <c r="B1669" s="1">
        <v>44425</v>
      </c>
      <c r="C1669" s="1">
        <v>44423</v>
      </c>
      <c r="D1669" s="1" t="s">
        <v>56</v>
      </c>
      <c r="E1669" s="2" t="s">
        <v>404</v>
      </c>
      <c r="F1669" s="1"/>
      <c r="G1669" s="2">
        <v>20</v>
      </c>
      <c r="H1669" s="1"/>
      <c r="I1669" t="s">
        <v>1</v>
      </c>
      <c r="J1669" t="s">
        <v>2</v>
      </c>
      <c r="K1669" t="s">
        <v>19</v>
      </c>
      <c r="L1669" t="s">
        <v>72</v>
      </c>
      <c r="M1669" s="3" t="s">
        <v>834</v>
      </c>
    </row>
    <row r="1670" spans="1:13" hidden="1" x14ac:dyDescent="0.25">
      <c r="A1670" s="1" t="str">
        <f>VLOOKUP(Table2[[#This Row],[Prod Line ]],Lists!A:E,5,0)</f>
        <v>a</v>
      </c>
      <c r="B1670" s="1">
        <v>44425</v>
      </c>
      <c r="C1670" s="1">
        <v>44423</v>
      </c>
      <c r="D1670" s="1" t="s">
        <v>56</v>
      </c>
      <c r="E1670" s="2" t="s">
        <v>404</v>
      </c>
      <c r="F1670" s="1"/>
      <c r="G1670" s="2">
        <v>10</v>
      </c>
      <c r="H1670" s="1"/>
      <c r="I1670" t="s">
        <v>1</v>
      </c>
      <c r="J1670" t="s">
        <v>64</v>
      </c>
      <c r="K1670" t="s">
        <v>370</v>
      </c>
      <c r="L1670" t="s">
        <v>72</v>
      </c>
      <c r="M1670" s="3" t="s">
        <v>811</v>
      </c>
    </row>
    <row r="1671" spans="1:13" hidden="1" x14ac:dyDescent="0.25">
      <c r="A1671" s="1" t="str">
        <f>VLOOKUP(Table2[[#This Row],[Prod Line ]],Lists!A:E,5,0)</f>
        <v>a</v>
      </c>
      <c r="B1671" s="1">
        <v>44425</v>
      </c>
      <c r="C1671" s="1">
        <v>44423</v>
      </c>
      <c r="D1671" s="1" t="s">
        <v>56</v>
      </c>
      <c r="E1671" s="2" t="s">
        <v>404</v>
      </c>
      <c r="F1671" s="1"/>
      <c r="G1671" s="2">
        <v>15</v>
      </c>
      <c r="H1671" s="1"/>
      <c r="I1671" t="s">
        <v>1</v>
      </c>
      <c r="J1671" t="s">
        <v>64</v>
      </c>
      <c r="K1671" t="s">
        <v>371</v>
      </c>
      <c r="L1671" t="s">
        <v>350</v>
      </c>
      <c r="M1671" s="3" t="s">
        <v>1401</v>
      </c>
    </row>
    <row r="1672" spans="1:13" hidden="1" x14ac:dyDescent="0.25">
      <c r="A1672" s="1" t="str">
        <f>VLOOKUP(Table2[[#This Row],[Prod Line ]],Lists!A:E,5,0)</f>
        <v>a</v>
      </c>
      <c r="B1672" s="1">
        <v>44427</v>
      </c>
      <c r="C1672" s="1">
        <v>44425</v>
      </c>
      <c r="D1672" s="1" t="s">
        <v>56</v>
      </c>
      <c r="E1672" s="2" t="s">
        <v>404</v>
      </c>
      <c r="F1672" s="1"/>
      <c r="G1672" s="2">
        <v>15</v>
      </c>
      <c r="H1672" s="1"/>
      <c r="I1672" t="s">
        <v>1</v>
      </c>
      <c r="J1672" t="s">
        <v>64</v>
      </c>
      <c r="K1672" t="s">
        <v>371</v>
      </c>
      <c r="L1672" t="s">
        <v>350</v>
      </c>
      <c r="M1672" s="3" t="s">
        <v>1058</v>
      </c>
    </row>
    <row r="1673" spans="1:13" hidden="1" x14ac:dyDescent="0.25">
      <c r="A1673" s="1" t="str">
        <f>VLOOKUP(Table2[[#This Row],[Prod Line ]],Lists!A:E,5,0)</f>
        <v>a</v>
      </c>
      <c r="B1673" s="1">
        <v>44427</v>
      </c>
      <c r="C1673" s="1">
        <v>44425</v>
      </c>
      <c r="D1673" s="1" t="s">
        <v>56</v>
      </c>
      <c r="E1673" s="2" t="s">
        <v>404</v>
      </c>
      <c r="F1673" s="1"/>
      <c r="G1673" s="2">
        <v>5</v>
      </c>
      <c r="H1673" s="1"/>
      <c r="I1673" t="s">
        <v>1</v>
      </c>
      <c r="J1673" t="s">
        <v>64</v>
      </c>
      <c r="K1673" t="s">
        <v>370</v>
      </c>
      <c r="L1673" t="s">
        <v>72</v>
      </c>
      <c r="M1673" s="3" t="s">
        <v>548</v>
      </c>
    </row>
    <row r="1674" spans="1:13" hidden="1" x14ac:dyDescent="0.25">
      <c r="A1674" s="1" t="str">
        <f>VLOOKUP(Table2[[#This Row],[Prod Line ]],Lists!A:E,5,0)</f>
        <v>b</v>
      </c>
      <c r="B1674" s="1">
        <v>44424</v>
      </c>
      <c r="C1674" s="1">
        <v>44422</v>
      </c>
      <c r="D1674" s="1" t="s">
        <v>58</v>
      </c>
      <c r="E1674" s="2" t="s">
        <v>406</v>
      </c>
      <c r="F1674" s="1"/>
      <c r="G1674" s="2">
        <v>10</v>
      </c>
      <c r="H1674" s="1"/>
      <c r="I1674" t="s">
        <v>0</v>
      </c>
      <c r="J1674" t="s">
        <v>64</v>
      </c>
      <c r="K1674" t="s">
        <v>20</v>
      </c>
      <c r="L1674" t="s">
        <v>70</v>
      </c>
      <c r="M1674" s="3" t="s">
        <v>1533</v>
      </c>
    </row>
    <row r="1675" spans="1:13" hidden="1" x14ac:dyDescent="0.25">
      <c r="A1675" s="1" t="str">
        <f>VLOOKUP(Table2[[#This Row],[Prod Line ]],Lists!A:E,5,0)</f>
        <v>b</v>
      </c>
      <c r="B1675" s="1">
        <v>44424</v>
      </c>
      <c r="C1675" s="1">
        <v>44422</v>
      </c>
      <c r="D1675" s="1" t="s">
        <v>58</v>
      </c>
      <c r="E1675" s="2" t="s">
        <v>406</v>
      </c>
      <c r="F1675" s="1"/>
      <c r="G1675" s="2">
        <v>3</v>
      </c>
      <c r="H1675" s="1"/>
      <c r="I1675" t="s">
        <v>0</v>
      </c>
      <c r="J1675" t="s">
        <v>64</v>
      </c>
      <c r="K1675" t="s">
        <v>22</v>
      </c>
      <c r="L1675" t="s">
        <v>70</v>
      </c>
      <c r="M1675" s="3" t="s">
        <v>1534</v>
      </c>
    </row>
    <row r="1676" spans="1:13" hidden="1" x14ac:dyDescent="0.25">
      <c r="A1676" s="1" t="str">
        <f>VLOOKUP(Table2[[#This Row],[Prod Line ]],Lists!A:E,5,0)</f>
        <v>b</v>
      </c>
      <c r="B1676" s="1">
        <v>44424</v>
      </c>
      <c r="C1676" s="1">
        <v>44422</v>
      </c>
      <c r="D1676" s="1" t="s">
        <v>58</v>
      </c>
      <c r="E1676" s="2" t="s">
        <v>406</v>
      </c>
      <c r="F1676" s="1"/>
      <c r="G1676" s="2">
        <v>7</v>
      </c>
      <c r="H1676" s="1"/>
      <c r="I1676" t="s">
        <v>0</v>
      </c>
      <c r="J1676" t="s">
        <v>66</v>
      </c>
      <c r="K1676" t="s">
        <v>4</v>
      </c>
      <c r="L1676" t="s">
        <v>70</v>
      </c>
      <c r="M1676" s="3" t="s">
        <v>1535</v>
      </c>
    </row>
    <row r="1677" spans="1:13" hidden="1" x14ac:dyDescent="0.25">
      <c r="A1677" s="1" t="str">
        <f>VLOOKUP(Table2[[#This Row],[Prod Line ]],Lists!A:E,5,0)</f>
        <v>b</v>
      </c>
      <c r="B1677" s="1">
        <v>44424</v>
      </c>
      <c r="C1677" s="1">
        <v>44422</v>
      </c>
      <c r="D1677" s="1" t="s">
        <v>58</v>
      </c>
      <c r="E1677" s="2" t="s">
        <v>404</v>
      </c>
      <c r="F1677" s="1"/>
      <c r="G1677" s="2">
        <v>10</v>
      </c>
      <c r="H1677" s="1"/>
      <c r="I1677" t="s">
        <v>1</v>
      </c>
      <c r="J1677" t="s">
        <v>5</v>
      </c>
      <c r="K1677" t="s">
        <v>36</v>
      </c>
      <c r="L1677" t="s">
        <v>72</v>
      </c>
      <c r="M1677" s="3" t="s">
        <v>1536</v>
      </c>
    </row>
    <row r="1678" spans="1:13" hidden="1" x14ac:dyDescent="0.25">
      <c r="A1678" s="1" t="str">
        <f>VLOOKUP(Table2[[#This Row],[Prod Line ]],Lists!A:E,5,0)</f>
        <v>b</v>
      </c>
      <c r="B1678" s="1">
        <v>44424</v>
      </c>
      <c r="C1678" s="1">
        <v>44422</v>
      </c>
      <c r="D1678" s="1" t="s">
        <v>58</v>
      </c>
      <c r="E1678" s="2" t="s">
        <v>404</v>
      </c>
      <c r="F1678" s="1"/>
      <c r="G1678" s="2">
        <v>5</v>
      </c>
      <c r="H1678" s="1"/>
      <c r="I1678" t="s">
        <v>1</v>
      </c>
      <c r="J1678" t="s">
        <v>64</v>
      </c>
      <c r="K1678" t="s">
        <v>22</v>
      </c>
      <c r="L1678" t="s">
        <v>72</v>
      </c>
      <c r="M1678" s="3" t="s">
        <v>1537</v>
      </c>
    </row>
    <row r="1679" spans="1:13" hidden="1" x14ac:dyDescent="0.25">
      <c r="A1679" s="1" t="str">
        <f>VLOOKUP(Table2[[#This Row],[Prod Line ]],Lists!A:E,5,0)</f>
        <v>b</v>
      </c>
      <c r="B1679" s="1">
        <v>44424</v>
      </c>
      <c r="C1679" s="1">
        <v>44422</v>
      </c>
      <c r="D1679" s="1" t="s">
        <v>58</v>
      </c>
      <c r="E1679" s="2" t="s">
        <v>404</v>
      </c>
      <c r="F1679" s="1"/>
      <c r="G1679" s="2">
        <v>6</v>
      </c>
      <c r="H1679" s="1"/>
      <c r="I1679" t="s">
        <v>1</v>
      </c>
      <c r="J1679" t="s">
        <v>2</v>
      </c>
      <c r="K1679" t="s">
        <v>19</v>
      </c>
      <c r="L1679" t="s">
        <v>349</v>
      </c>
      <c r="M1679" s="3" t="s">
        <v>748</v>
      </c>
    </row>
    <row r="1680" spans="1:13" hidden="1" x14ac:dyDescent="0.25">
      <c r="A1680" s="1" t="str">
        <f>VLOOKUP(Table2[[#This Row],[Prod Line ]],Lists!A:E,5,0)</f>
        <v>b</v>
      </c>
      <c r="B1680" s="1">
        <v>44424</v>
      </c>
      <c r="C1680" s="1">
        <v>44422</v>
      </c>
      <c r="D1680" s="1" t="s">
        <v>58</v>
      </c>
      <c r="E1680" s="2" t="s">
        <v>406</v>
      </c>
      <c r="F1680" s="1"/>
      <c r="G1680" s="2">
        <v>20</v>
      </c>
      <c r="H1680" s="1"/>
      <c r="I1680" t="s">
        <v>1</v>
      </c>
      <c r="J1680" t="s">
        <v>26</v>
      </c>
      <c r="K1680" t="s">
        <v>25</v>
      </c>
      <c r="L1680" t="s">
        <v>441</v>
      </c>
      <c r="M1680" s="3" t="s">
        <v>1538</v>
      </c>
    </row>
    <row r="1681" spans="1:14" hidden="1" x14ac:dyDescent="0.25">
      <c r="A1681" s="1" t="str">
        <f>VLOOKUP(Table2[[#This Row],[Prod Line ]],Lists!A:E,5,0)</f>
        <v>b</v>
      </c>
      <c r="B1681" s="1">
        <v>44425</v>
      </c>
      <c r="C1681" s="1">
        <v>44423</v>
      </c>
      <c r="D1681" s="1" t="s">
        <v>58</v>
      </c>
      <c r="E1681" s="2" t="s">
        <v>406</v>
      </c>
      <c r="F1681" s="1"/>
      <c r="G1681" s="2">
        <v>11</v>
      </c>
      <c r="H1681" s="1"/>
      <c r="I1681" t="s">
        <v>1</v>
      </c>
      <c r="J1681" t="s">
        <v>2</v>
      </c>
      <c r="K1681" t="s">
        <v>19</v>
      </c>
      <c r="L1681" t="s">
        <v>72</v>
      </c>
      <c r="M1681" s="3" t="s">
        <v>1539</v>
      </c>
    </row>
    <row r="1682" spans="1:14" hidden="1" x14ac:dyDescent="0.25">
      <c r="A1682" s="1" t="str">
        <f>VLOOKUP(Table2[[#This Row],[Prod Line ]],Lists!A:E,5,0)</f>
        <v>b</v>
      </c>
      <c r="B1682" s="1">
        <v>44425</v>
      </c>
      <c r="C1682" s="1">
        <v>44423</v>
      </c>
      <c r="D1682" s="1" t="s">
        <v>58</v>
      </c>
      <c r="E1682" s="2" t="s">
        <v>404</v>
      </c>
      <c r="F1682" s="1"/>
      <c r="G1682" s="2">
        <v>15</v>
      </c>
      <c r="H1682" s="1"/>
      <c r="I1682" t="s">
        <v>1</v>
      </c>
      <c r="J1682" t="s">
        <v>64</v>
      </c>
      <c r="K1682" t="s">
        <v>22</v>
      </c>
      <c r="L1682" t="s">
        <v>441</v>
      </c>
      <c r="M1682" s="3"/>
    </row>
    <row r="1683" spans="1:14" hidden="1" x14ac:dyDescent="0.25">
      <c r="A1683" s="1" t="str">
        <f>VLOOKUP(Table2[[#This Row],[Prod Line ]],Lists!A:E,5,0)</f>
        <v>b</v>
      </c>
      <c r="B1683" s="1">
        <v>44425</v>
      </c>
      <c r="C1683" s="1">
        <v>44423</v>
      </c>
      <c r="D1683" s="1" t="s">
        <v>58</v>
      </c>
      <c r="E1683" s="2" t="s">
        <v>406</v>
      </c>
      <c r="F1683" s="1"/>
      <c r="G1683" s="2">
        <v>40</v>
      </c>
      <c r="H1683" s="1"/>
      <c r="I1683" t="s">
        <v>0</v>
      </c>
      <c r="J1683" t="s">
        <v>26</v>
      </c>
      <c r="K1683" t="s">
        <v>25</v>
      </c>
      <c r="L1683" t="s">
        <v>70</v>
      </c>
      <c r="M1683" s="3" t="s">
        <v>1540</v>
      </c>
      <c r="N1683" s="20" t="s">
        <v>1640</v>
      </c>
    </row>
    <row r="1684" spans="1:14" hidden="1" x14ac:dyDescent="0.25">
      <c r="A1684" s="1" t="str">
        <f>VLOOKUP(Table2[[#This Row],[Prod Line ]],Lists!A:E,5,0)</f>
        <v>b</v>
      </c>
      <c r="B1684" s="1">
        <v>44425</v>
      </c>
      <c r="C1684" s="1">
        <v>44423</v>
      </c>
      <c r="D1684" s="1" t="s">
        <v>58</v>
      </c>
      <c r="E1684" s="2" t="s">
        <v>404</v>
      </c>
      <c r="F1684" s="1"/>
      <c r="G1684" s="2">
        <v>40</v>
      </c>
      <c r="H1684" s="1" t="s">
        <v>0</v>
      </c>
      <c r="I1684" t="s">
        <v>0</v>
      </c>
      <c r="J1684" t="s">
        <v>5</v>
      </c>
      <c r="K1684" t="s">
        <v>37</v>
      </c>
      <c r="L1684" t="s">
        <v>70</v>
      </c>
      <c r="M1684" s="3" t="s">
        <v>1541</v>
      </c>
      <c r="N1684" s="20" t="s">
        <v>1640</v>
      </c>
    </row>
    <row r="1685" spans="1:14" hidden="1" x14ac:dyDescent="0.25">
      <c r="A1685" s="1" t="str">
        <f>VLOOKUP(Table2[[#This Row],[Prod Line ]],Lists!A:E,5,0)</f>
        <v>b</v>
      </c>
      <c r="B1685" s="1">
        <v>44425</v>
      </c>
      <c r="C1685" s="1">
        <v>44423</v>
      </c>
      <c r="D1685" s="1" t="s">
        <v>58</v>
      </c>
      <c r="E1685" s="2" t="s">
        <v>404</v>
      </c>
      <c r="F1685" s="1"/>
      <c r="G1685" s="2">
        <v>20</v>
      </c>
      <c r="H1685" s="1" t="s">
        <v>0</v>
      </c>
      <c r="I1685" t="s">
        <v>0</v>
      </c>
      <c r="J1685" t="s">
        <v>26</v>
      </c>
      <c r="K1685" t="s">
        <v>26</v>
      </c>
      <c r="L1685" t="s">
        <v>70</v>
      </c>
      <c r="M1685" s="3" t="s">
        <v>1542</v>
      </c>
    </row>
    <row r="1686" spans="1:14" hidden="1" x14ac:dyDescent="0.25">
      <c r="A1686" s="1" t="str">
        <f>VLOOKUP(Table2[[#This Row],[Prod Line ]],Lists!A:E,5,0)</f>
        <v>b</v>
      </c>
      <c r="B1686" s="1">
        <v>44425</v>
      </c>
      <c r="C1686" s="1">
        <v>44423</v>
      </c>
      <c r="D1686" s="1" t="s">
        <v>58</v>
      </c>
      <c r="E1686" s="2" t="s">
        <v>404</v>
      </c>
      <c r="F1686" s="1"/>
      <c r="G1686" s="2">
        <v>20</v>
      </c>
      <c r="H1686" s="1" t="s">
        <v>1</v>
      </c>
      <c r="I1686" t="s">
        <v>1</v>
      </c>
      <c r="J1686" t="s">
        <v>5</v>
      </c>
      <c r="K1686" t="s">
        <v>36</v>
      </c>
      <c r="L1686" t="s">
        <v>72</v>
      </c>
      <c r="M1686" s="3" t="s">
        <v>1543</v>
      </c>
    </row>
    <row r="1687" spans="1:14" hidden="1" x14ac:dyDescent="0.25">
      <c r="A1687" s="1" t="str">
        <f>VLOOKUP(Table2[[#This Row],[Prod Line ]],Lists!A:E,5,0)</f>
        <v>b</v>
      </c>
      <c r="B1687" s="1">
        <v>44425</v>
      </c>
      <c r="C1687" s="1">
        <v>44423</v>
      </c>
      <c r="D1687" s="1" t="s">
        <v>58</v>
      </c>
      <c r="E1687" s="2" t="s">
        <v>404</v>
      </c>
      <c r="F1687" s="1"/>
      <c r="G1687" s="2">
        <v>20</v>
      </c>
      <c r="H1687" s="1" t="s">
        <v>1</v>
      </c>
      <c r="I1687" t="s">
        <v>1</v>
      </c>
      <c r="J1687" t="s">
        <v>5</v>
      </c>
      <c r="K1687" t="s">
        <v>36</v>
      </c>
      <c r="L1687" t="s">
        <v>72</v>
      </c>
      <c r="M1687" s="3" t="s">
        <v>1544</v>
      </c>
    </row>
    <row r="1688" spans="1:14" hidden="1" x14ac:dyDescent="0.25">
      <c r="A1688" s="1" t="str">
        <f>VLOOKUP(Table2[[#This Row],[Prod Line ]],Lists!A:E,5,0)</f>
        <v>b</v>
      </c>
      <c r="B1688" s="1">
        <v>44427</v>
      </c>
      <c r="C1688" s="1">
        <v>44425</v>
      </c>
      <c r="D1688" s="1" t="s">
        <v>58</v>
      </c>
      <c r="E1688" s="2" t="s">
        <v>404</v>
      </c>
      <c r="F1688" s="1"/>
      <c r="G1688" s="2">
        <v>5</v>
      </c>
      <c r="H1688" s="1"/>
      <c r="I1688" t="s">
        <v>1</v>
      </c>
      <c r="J1688" t="s">
        <v>65</v>
      </c>
      <c r="K1688" t="s">
        <v>3</v>
      </c>
      <c r="L1688" t="s">
        <v>72</v>
      </c>
      <c r="M1688" s="3" t="s">
        <v>1545</v>
      </c>
    </row>
    <row r="1689" spans="1:14" hidden="1" x14ac:dyDescent="0.25">
      <c r="A1689" s="1" t="str">
        <f>VLOOKUP(Table2[[#This Row],[Prod Line ]],Lists!A:E,5,0)</f>
        <v>b</v>
      </c>
      <c r="B1689" s="1">
        <v>44427</v>
      </c>
      <c r="C1689" s="1">
        <v>44425</v>
      </c>
      <c r="D1689" s="1" t="s">
        <v>58</v>
      </c>
      <c r="E1689" s="2" t="s">
        <v>404</v>
      </c>
      <c r="F1689" s="1"/>
      <c r="G1689" s="2">
        <v>8</v>
      </c>
      <c r="H1689" s="1"/>
      <c r="I1689" t="s">
        <v>1</v>
      </c>
      <c r="J1689" t="s">
        <v>2</v>
      </c>
      <c r="K1689" t="s">
        <v>19</v>
      </c>
      <c r="L1689" t="s">
        <v>349</v>
      </c>
      <c r="M1689" s="3" t="s">
        <v>1546</v>
      </c>
    </row>
    <row r="1690" spans="1:14" hidden="1" x14ac:dyDescent="0.25">
      <c r="A1690" s="1" t="str">
        <f>VLOOKUP(Table2[[#This Row],[Prod Line ]],Lists!A:E,5,0)</f>
        <v>b</v>
      </c>
      <c r="B1690" s="1">
        <v>44427</v>
      </c>
      <c r="C1690" s="1">
        <v>44425</v>
      </c>
      <c r="D1690" s="1" t="s">
        <v>58</v>
      </c>
      <c r="E1690" s="2" t="s">
        <v>406</v>
      </c>
      <c r="F1690" s="1"/>
      <c r="G1690" s="2">
        <v>98</v>
      </c>
      <c r="H1690" s="1"/>
      <c r="I1690" t="s">
        <v>1</v>
      </c>
      <c r="J1690" t="s">
        <v>26</v>
      </c>
      <c r="K1690" t="s">
        <v>25</v>
      </c>
      <c r="L1690" t="s">
        <v>441</v>
      </c>
      <c r="M1690" s="3" t="s">
        <v>1547</v>
      </c>
    </row>
    <row r="1691" spans="1:14" hidden="1" x14ac:dyDescent="0.25">
      <c r="A1691" s="1" t="str">
        <f>VLOOKUP(Table2[[#This Row],[Prod Line ]],Lists!A:E,5,0)</f>
        <v>b</v>
      </c>
      <c r="B1691" s="1">
        <v>44427</v>
      </c>
      <c r="C1691" s="1">
        <v>44425</v>
      </c>
      <c r="D1691" s="1" t="s">
        <v>58</v>
      </c>
      <c r="E1691" s="2" t="s">
        <v>404</v>
      </c>
      <c r="F1691" s="1"/>
      <c r="G1691" s="2">
        <v>12</v>
      </c>
      <c r="H1691" s="1"/>
      <c r="I1691" t="s">
        <v>1</v>
      </c>
      <c r="J1691" t="s">
        <v>26</v>
      </c>
      <c r="K1691" t="s">
        <v>25</v>
      </c>
      <c r="L1691" t="s">
        <v>441</v>
      </c>
      <c r="M1691" s="3" t="s">
        <v>1497</v>
      </c>
    </row>
    <row r="1692" spans="1:14" hidden="1" x14ac:dyDescent="0.25">
      <c r="A1692" s="1" t="str">
        <f>VLOOKUP(Table2[[#This Row],[Prod Line ]],Lists!A:E,5,0)</f>
        <v>b</v>
      </c>
      <c r="B1692" s="1">
        <v>44428</v>
      </c>
      <c r="C1692" s="1">
        <v>44426</v>
      </c>
      <c r="D1692" s="1" t="s">
        <v>58</v>
      </c>
      <c r="E1692" s="2" t="s">
        <v>404</v>
      </c>
      <c r="F1692" s="1"/>
      <c r="G1692" s="2">
        <v>4</v>
      </c>
      <c r="H1692" s="1"/>
      <c r="I1692" t="s">
        <v>1</v>
      </c>
      <c r="J1692" t="s">
        <v>26</v>
      </c>
      <c r="K1692" t="s">
        <v>25</v>
      </c>
      <c r="L1692" t="s">
        <v>441</v>
      </c>
      <c r="M1692" s="3"/>
    </row>
    <row r="1693" spans="1:14" hidden="1" x14ac:dyDescent="0.25">
      <c r="A1693" s="1" t="str">
        <f>VLOOKUP(Table2[[#This Row],[Prod Line ]],Lists!A:E,5,0)</f>
        <v>b</v>
      </c>
      <c r="B1693" s="1">
        <v>44428</v>
      </c>
      <c r="C1693" s="1">
        <v>44426</v>
      </c>
      <c r="D1693" s="1" t="s">
        <v>58</v>
      </c>
      <c r="E1693" s="2" t="s">
        <v>405</v>
      </c>
      <c r="F1693" s="1"/>
      <c r="G1693" s="2">
        <v>9</v>
      </c>
      <c r="H1693" s="1"/>
      <c r="I1693" t="s">
        <v>1</v>
      </c>
      <c r="J1693" t="s">
        <v>26</v>
      </c>
      <c r="K1693" t="s">
        <v>25</v>
      </c>
      <c r="L1693" t="s">
        <v>441</v>
      </c>
      <c r="M1693" s="3"/>
    </row>
    <row r="1694" spans="1:14" hidden="1" x14ac:dyDescent="0.25">
      <c r="A1694" s="1" t="str">
        <f>VLOOKUP(Table2[[#This Row],[Prod Line ]],Lists!A:E,5,0)</f>
        <v>b</v>
      </c>
      <c r="B1694" s="1">
        <v>44428</v>
      </c>
      <c r="C1694" s="1">
        <v>44426</v>
      </c>
      <c r="D1694" s="1" t="s">
        <v>58</v>
      </c>
      <c r="E1694" s="2" t="s">
        <v>405</v>
      </c>
      <c r="F1694" s="1"/>
      <c r="G1694" s="2">
        <v>5</v>
      </c>
      <c r="H1694" s="1"/>
      <c r="I1694" t="s">
        <v>1</v>
      </c>
      <c r="J1694" t="s">
        <v>64</v>
      </c>
      <c r="K1694" t="s">
        <v>21</v>
      </c>
      <c r="L1694" t="s">
        <v>344</v>
      </c>
      <c r="M1694" s="3"/>
    </row>
    <row r="1695" spans="1:14" hidden="1" x14ac:dyDescent="0.25">
      <c r="A1695" s="1" t="str">
        <f>VLOOKUP(Table2[[#This Row],[Prod Line ]],Lists!A:E,5,0)</f>
        <v>c</v>
      </c>
      <c r="B1695" s="1">
        <v>44425</v>
      </c>
      <c r="C1695" s="1">
        <v>44423</v>
      </c>
      <c r="D1695" s="1" t="s">
        <v>60</v>
      </c>
      <c r="E1695" s="2" t="s">
        <v>404</v>
      </c>
      <c r="F1695" s="1"/>
      <c r="G1695" s="2">
        <v>20</v>
      </c>
      <c r="H1695" s="1"/>
      <c r="I1695" t="s">
        <v>1</v>
      </c>
      <c r="J1695" t="s">
        <v>26</v>
      </c>
      <c r="K1695" t="s">
        <v>26</v>
      </c>
      <c r="L1695" t="s">
        <v>430</v>
      </c>
      <c r="M1695" s="3" t="s">
        <v>1548</v>
      </c>
    </row>
    <row r="1696" spans="1:14" hidden="1" x14ac:dyDescent="0.25">
      <c r="A1696" s="1" t="str">
        <f>VLOOKUP(Table2[[#This Row],[Prod Line ]],Lists!A:E,5,0)</f>
        <v>c</v>
      </c>
      <c r="B1696" s="1">
        <v>44425</v>
      </c>
      <c r="C1696" s="1">
        <v>44423</v>
      </c>
      <c r="D1696" s="1" t="s">
        <v>60</v>
      </c>
      <c r="E1696" s="2" t="s">
        <v>404</v>
      </c>
      <c r="F1696" s="1"/>
      <c r="G1696" s="2">
        <v>28</v>
      </c>
      <c r="H1696" s="1"/>
      <c r="I1696" t="s">
        <v>1</v>
      </c>
      <c r="J1696" t="s">
        <v>2</v>
      </c>
      <c r="K1696" t="s">
        <v>378</v>
      </c>
      <c r="L1696" t="s">
        <v>349</v>
      </c>
      <c r="M1696" s="3" t="s">
        <v>557</v>
      </c>
    </row>
    <row r="1697" spans="1:13" hidden="1" x14ac:dyDescent="0.25">
      <c r="A1697" s="1" t="str">
        <f>VLOOKUP(Table2[[#This Row],[Prod Line ]],Lists!A:E,5,0)</f>
        <v>c</v>
      </c>
      <c r="B1697" s="1">
        <v>44425</v>
      </c>
      <c r="C1697" s="1">
        <v>44423</v>
      </c>
      <c r="D1697" s="1" t="s">
        <v>60</v>
      </c>
      <c r="E1697" s="2" t="s">
        <v>404</v>
      </c>
      <c r="F1697" s="1"/>
      <c r="G1697" s="2">
        <v>32</v>
      </c>
      <c r="H1697" s="1"/>
      <c r="I1697" t="s">
        <v>1</v>
      </c>
      <c r="J1697" t="s">
        <v>64</v>
      </c>
      <c r="K1697" t="s">
        <v>380</v>
      </c>
      <c r="L1697" t="s">
        <v>72</v>
      </c>
      <c r="M1697" s="3" t="s">
        <v>1549</v>
      </c>
    </row>
    <row r="1698" spans="1:13" hidden="1" x14ac:dyDescent="0.25">
      <c r="A1698" s="1" t="str">
        <f>VLOOKUP(Table2[[#This Row],[Prod Line ]],Lists!A:E,5,0)</f>
        <v>c</v>
      </c>
      <c r="B1698" s="1">
        <v>44427</v>
      </c>
      <c r="C1698" s="1">
        <v>44425</v>
      </c>
      <c r="D1698" s="1" t="s">
        <v>60</v>
      </c>
      <c r="E1698" s="2" t="s">
        <v>404</v>
      </c>
      <c r="F1698" s="1"/>
      <c r="G1698" s="2">
        <v>48</v>
      </c>
      <c r="H1698" s="1"/>
      <c r="I1698" t="s">
        <v>1</v>
      </c>
      <c r="J1698" t="s">
        <v>2</v>
      </c>
      <c r="K1698" t="s">
        <v>378</v>
      </c>
      <c r="L1698" t="s">
        <v>72</v>
      </c>
      <c r="M1698" s="3" t="s">
        <v>1550</v>
      </c>
    </row>
    <row r="1699" spans="1:13" hidden="1" x14ac:dyDescent="0.25">
      <c r="A1699" s="1" t="str">
        <f>VLOOKUP(Table2[[#This Row],[Prod Line ]],Lists!A:E,5,0)</f>
        <v>c</v>
      </c>
      <c r="B1699" s="1">
        <v>44427</v>
      </c>
      <c r="C1699" s="1">
        <v>44425</v>
      </c>
      <c r="D1699" s="1" t="s">
        <v>60</v>
      </c>
      <c r="E1699" s="2" t="s">
        <v>404</v>
      </c>
      <c r="F1699" s="1"/>
      <c r="G1699" s="2">
        <v>17</v>
      </c>
      <c r="H1699" s="1"/>
      <c r="I1699" t="s">
        <v>1</v>
      </c>
      <c r="J1699" t="s">
        <v>64</v>
      </c>
      <c r="K1699" t="s">
        <v>380</v>
      </c>
      <c r="L1699" t="s">
        <v>72</v>
      </c>
      <c r="M1699" s="3" t="s">
        <v>811</v>
      </c>
    </row>
    <row r="1700" spans="1:13" hidden="1" x14ac:dyDescent="0.25">
      <c r="A1700" s="1" t="str">
        <f>VLOOKUP(Table2[[#This Row],[Prod Line ]],Lists!A:E,5,0)</f>
        <v>c</v>
      </c>
      <c r="B1700" s="1">
        <v>44427</v>
      </c>
      <c r="C1700" s="1">
        <v>44425</v>
      </c>
      <c r="D1700" s="1" t="s">
        <v>60</v>
      </c>
      <c r="E1700" s="2" t="s">
        <v>405</v>
      </c>
      <c r="F1700" s="1"/>
      <c r="G1700" s="2">
        <v>7</v>
      </c>
      <c r="H1700" s="1"/>
      <c r="I1700" t="s">
        <v>1</v>
      </c>
      <c r="J1700" t="s">
        <v>2</v>
      </c>
      <c r="K1700" t="s">
        <v>378</v>
      </c>
      <c r="L1700" t="s">
        <v>349</v>
      </c>
      <c r="M1700" s="3" t="s">
        <v>1551</v>
      </c>
    </row>
    <row r="1701" spans="1:13" hidden="1" x14ac:dyDescent="0.25">
      <c r="A1701" s="1" t="str">
        <f>VLOOKUP(Table2[[#This Row],[Prod Line ]],Lists!A:E,5,0)</f>
        <v>d</v>
      </c>
      <c r="B1701" s="1">
        <v>44425</v>
      </c>
      <c r="C1701" s="1">
        <v>44423</v>
      </c>
      <c r="D1701" s="1" t="s">
        <v>62</v>
      </c>
      <c r="E1701" s="2" t="s">
        <v>406</v>
      </c>
      <c r="F1701" s="1"/>
      <c r="G1701" s="2">
        <v>15</v>
      </c>
      <c r="H1701" s="1"/>
      <c r="I1701" t="s">
        <v>1</v>
      </c>
      <c r="J1701" t="s">
        <v>64</v>
      </c>
      <c r="K1701" t="s">
        <v>379</v>
      </c>
      <c r="L1701" t="s">
        <v>72</v>
      </c>
      <c r="M1701" s="3" t="s">
        <v>1552</v>
      </c>
    </row>
    <row r="1702" spans="1:13" hidden="1" x14ac:dyDescent="0.25">
      <c r="A1702" s="1" t="str">
        <f>VLOOKUP(Table2[[#This Row],[Prod Line ]],Lists!A:E,5,0)</f>
        <v>d</v>
      </c>
      <c r="B1702" s="1">
        <v>44425</v>
      </c>
      <c r="C1702" s="1">
        <v>44423</v>
      </c>
      <c r="D1702" s="1" t="s">
        <v>62</v>
      </c>
      <c r="E1702" s="2" t="s">
        <v>404</v>
      </c>
      <c r="F1702" s="1"/>
      <c r="G1702" s="2">
        <v>6</v>
      </c>
      <c r="H1702" s="1"/>
      <c r="I1702" t="s">
        <v>1</v>
      </c>
      <c r="J1702" t="s">
        <v>64</v>
      </c>
      <c r="K1702" t="s">
        <v>379</v>
      </c>
      <c r="L1702" t="s">
        <v>72</v>
      </c>
      <c r="M1702" s="3" t="s">
        <v>548</v>
      </c>
    </row>
    <row r="1703" spans="1:13" hidden="1" x14ac:dyDescent="0.25">
      <c r="A1703" s="1" t="str">
        <f>VLOOKUP(Table2[[#This Row],[Prod Line ]],Lists!A:E,5,0)</f>
        <v>d</v>
      </c>
      <c r="B1703" s="1">
        <v>44427</v>
      </c>
      <c r="C1703" s="1">
        <v>44425</v>
      </c>
      <c r="D1703" s="1" t="s">
        <v>62</v>
      </c>
      <c r="E1703" s="2" t="s">
        <v>405</v>
      </c>
      <c r="F1703" s="1"/>
      <c r="G1703" s="2">
        <v>30</v>
      </c>
      <c r="H1703" s="1"/>
      <c r="I1703" t="s">
        <v>1</v>
      </c>
      <c r="J1703" t="s">
        <v>2</v>
      </c>
      <c r="K1703" t="s">
        <v>19</v>
      </c>
      <c r="L1703" t="s">
        <v>72</v>
      </c>
      <c r="M1703" s="3" t="s">
        <v>1539</v>
      </c>
    </row>
    <row r="1704" spans="1:13" hidden="1" x14ac:dyDescent="0.25">
      <c r="A1704" s="1" t="str">
        <f>VLOOKUP(Table2[[#This Row],[Prod Line ]],Lists!A:E,5,0)</f>
        <v>a</v>
      </c>
      <c r="B1704" s="1">
        <v>44429</v>
      </c>
      <c r="C1704" s="1">
        <v>44427</v>
      </c>
      <c r="D1704" s="1" t="s">
        <v>56</v>
      </c>
      <c r="E1704" s="2" t="s">
        <v>404</v>
      </c>
      <c r="F1704" s="1"/>
      <c r="G1704" s="2">
        <v>9</v>
      </c>
      <c r="H1704" s="1"/>
      <c r="I1704" t="s">
        <v>0</v>
      </c>
      <c r="J1704" t="s">
        <v>64</v>
      </c>
      <c r="K1704" t="s">
        <v>370</v>
      </c>
      <c r="L1704" t="s">
        <v>70</v>
      </c>
      <c r="M1704" s="3" t="s">
        <v>1553</v>
      </c>
    </row>
    <row r="1705" spans="1:13" hidden="1" x14ac:dyDescent="0.25">
      <c r="A1705" s="1" t="str">
        <f>VLOOKUP(Table2[[#This Row],[Prod Line ]],Lists!A:E,5,0)</f>
        <v>b</v>
      </c>
      <c r="B1705" s="1">
        <v>44427</v>
      </c>
      <c r="C1705" s="1">
        <v>44425</v>
      </c>
      <c r="D1705" s="1" t="s">
        <v>58</v>
      </c>
      <c r="E1705" s="2" t="s">
        <v>404</v>
      </c>
      <c r="F1705" s="1"/>
      <c r="G1705" s="2">
        <v>8</v>
      </c>
      <c r="H1705" s="1"/>
      <c r="I1705" t="s">
        <v>1</v>
      </c>
      <c r="J1705" t="s">
        <v>2</v>
      </c>
      <c r="K1705" t="s">
        <v>19</v>
      </c>
      <c r="L1705" t="s">
        <v>349</v>
      </c>
      <c r="M1705" s="3" t="s">
        <v>1554</v>
      </c>
    </row>
    <row r="1706" spans="1:13" hidden="1" x14ac:dyDescent="0.25">
      <c r="A1706" s="1" t="str">
        <f>VLOOKUP(Table2[[#This Row],[Prod Line ]],Lists!A:E,5,0)</f>
        <v>b</v>
      </c>
      <c r="B1706" s="1">
        <v>44427</v>
      </c>
      <c r="C1706" s="1">
        <v>44425</v>
      </c>
      <c r="D1706" s="1" t="s">
        <v>58</v>
      </c>
      <c r="E1706" s="2" t="s">
        <v>404</v>
      </c>
      <c r="F1706" s="1"/>
      <c r="G1706" s="2">
        <v>5</v>
      </c>
      <c r="H1706" s="1"/>
      <c r="I1706" t="s">
        <v>1</v>
      </c>
      <c r="J1706" t="s">
        <v>26</v>
      </c>
      <c r="K1706" t="s">
        <v>26</v>
      </c>
      <c r="L1706" t="s">
        <v>72</v>
      </c>
      <c r="M1706" s="3" t="s">
        <v>1555</v>
      </c>
    </row>
    <row r="1707" spans="1:13" hidden="1" x14ac:dyDescent="0.25">
      <c r="A1707" s="1" t="str">
        <f>VLOOKUP(Table2[[#This Row],[Prod Line ]],Lists!A:E,5,0)</f>
        <v>b</v>
      </c>
      <c r="B1707" s="1">
        <v>44427</v>
      </c>
      <c r="C1707" s="1">
        <v>44425</v>
      </c>
      <c r="D1707" s="1" t="s">
        <v>58</v>
      </c>
      <c r="E1707" s="2" t="s">
        <v>406</v>
      </c>
      <c r="F1707" s="1"/>
      <c r="G1707" s="2">
        <v>98</v>
      </c>
      <c r="H1707" s="1"/>
      <c r="I1707" t="s">
        <v>1</v>
      </c>
      <c r="J1707" t="s">
        <v>65</v>
      </c>
      <c r="K1707" t="s">
        <v>27</v>
      </c>
      <c r="L1707" t="s">
        <v>441</v>
      </c>
      <c r="M1707" s="3" t="s">
        <v>1556</v>
      </c>
    </row>
    <row r="1708" spans="1:13" hidden="1" x14ac:dyDescent="0.25">
      <c r="A1708" s="1" t="str">
        <f>VLOOKUP(Table2[[#This Row],[Prod Line ]],Lists!A:E,5,0)</f>
        <v>b</v>
      </c>
      <c r="B1708" s="1">
        <v>44427</v>
      </c>
      <c r="C1708" s="1">
        <v>44425</v>
      </c>
      <c r="D1708" s="1" t="s">
        <v>58</v>
      </c>
      <c r="E1708" s="2" t="s">
        <v>404</v>
      </c>
      <c r="F1708" s="1"/>
      <c r="G1708" s="2">
        <v>12</v>
      </c>
      <c r="H1708" s="1"/>
      <c r="I1708" t="s">
        <v>1</v>
      </c>
      <c r="J1708" t="s">
        <v>65</v>
      </c>
      <c r="K1708" t="s">
        <v>27</v>
      </c>
      <c r="L1708" t="s">
        <v>441</v>
      </c>
      <c r="M1708" s="3" t="s">
        <v>1557</v>
      </c>
    </row>
    <row r="1709" spans="1:13" hidden="1" x14ac:dyDescent="0.25">
      <c r="A1709" s="1" t="str">
        <f>VLOOKUP(Table2[[#This Row],[Prod Line ]],Lists!A:E,5,0)</f>
        <v>b</v>
      </c>
      <c r="B1709" s="1">
        <v>44428</v>
      </c>
      <c r="C1709" s="1">
        <v>44426</v>
      </c>
      <c r="D1709" s="1" t="s">
        <v>58</v>
      </c>
      <c r="E1709" s="2" t="s">
        <v>404</v>
      </c>
      <c r="F1709" s="1"/>
      <c r="G1709" s="2">
        <v>4</v>
      </c>
      <c r="H1709" s="1"/>
      <c r="I1709" t="s">
        <v>1</v>
      </c>
      <c r="J1709" t="s">
        <v>26</v>
      </c>
      <c r="K1709" t="s">
        <v>25</v>
      </c>
      <c r="L1709" t="s">
        <v>441</v>
      </c>
      <c r="M1709" s="3" t="s">
        <v>1558</v>
      </c>
    </row>
    <row r="1710" spans="1:13" hidden="1" x14ac:dyDescent="0.25">
      <c r="A1710" s="1" t="str">
        <f>VLOOKUP(Table2[[#This Row],[Prod Line ]],Lists!A:E,5,0)</f>
        <v>b</v>
      </c>
      <c r="B1710" s="1">
        <v>44428</v>
      </c>
      <c r="C1710" s="1">
        <v>44426</v>
      </c>
      <c r="D1710" s="1" t="s">
        <v>58</v>
      </c>
      <c r="E1710" s="2" t="s">
        <v>405</v>
      </c>
      <c r="F1710" s="1"/>
      <c r="G1710" s="2">
        <v>9</v>
      </c>
      <c r="H1710" s="1"/>
      <c r="I1710" t="s">
        <v>1</v>
      </c>
      <c r="J1710" t="s">
        <v>26</v>
      </c>
      <c r="K1710" t="s">
        <v>25</v>
      </c>
      <c r="L1710" t="s">
        <v>441</v>
      </c>
      <c r="M1710" s="3" t="s">
        <v>1559</v>
      </c>
    </row>
    <row r="1711" spans="1:13" hidden="1" x14ac:dyDescent="0.25">
      <c r="A1711" s="1" t="str">
        <f>VLOOKUP(Table2[[#This Row],[Prod Line ]],Lists!A:E,5,0)</f>
        <v>b</v>
      </c>
      <c r="B1711" s="1">
        <v>44428</v>
      </c>
      <c r="C1711" s="1">
        <v>44426</v>
      </c>
      <c r="D1711" s="1" t="s">
        <v>58</v>
      </c>
      <c r="E1711" s="2" t="s">
        <v>405</v>
      </c>
      <c r="F1711" s="1"/>
      <c r="G1711" s="2">
        <v>5</v>
      </c>
      <c r="H1711" s="1"/>
      <c r="I1711" t="s">
        <v>1</v>
      </c>
      <c r="J1711" t="s">
        <v>67</v>
      </c>
      <c r="K1711" t="s">
        <v>67</v>
      </c>
      <c r="L1711" t="s">
        <v>72</v>
      </c>
      <c r="M1711" s="3" t="s">
        <v>1560</v>
      </c>
    </row>
    <row r="1712" spans="1:13" hidden="1" x14ac:dyDescent="0.25">
      <c r="A1712" s="1" t="str">
        <f>VLOOKUP(Table2[[#This Row],[Prod Line ]],Lists!A:E,5,0)</f>
        <v>b</v>
      </c>
      <c r="B1712" s="1">
        <v>44429</v>
      </c>
      <c r="C1712" s="1">
        <v>44427</v>
      </c>
      <c r="D1712" s="1" t="s">
        <v>58</v>
      </c>
      <c r="E1712" s="2" t="s">
        <v>404</v>
      </c>
      <c r="F1712" s="1"/>
      <c r="G1712" s="2">
        <v>5</v>
      </c>
      <c r="H1712" s="1"/>
      <c r="I1712" t="s">
        <v>1</v>
      </c>
      <c r="J1712" t="s">
        <v>65</v>
      </c>
      <c r="K1712" t="s">
        <v>27</v>
      </c>
      <c r="L1712" t="s">
        <v>441</v>
      </c>
      <c r="M1712" s="3" t="s">
        <v>1557</v>
      </c>
    </row>
    <row r="1713" spans="1:14" hidden="1" x14ac:dyDescent="0.25">
      <c r="A1713" s="1" t="str">
        <f>VLOOKUP(Table2[[#This Row],[Prod Line ]],Lists!A:E,5,0)</f>
        <v>d</v>
      </c>
      <c r="B1713" s="1">
        <v>44427</v>
      </c>
      <c r="C1713" s="1">
        <v>44425</v>
      </c>
      <c r="D1713" s="1" t="s">
        <v>62</v>
      </c>
      <c r="E1713" s="2" t="s">
        <v>404</v>
      </c>
      <c r="F1713" s="1"/>
      <c r="G1713" s="2">
        <v>14</v>
      </c>
      <c r="H1713" s="1"/>
      <c r="I1713" t="s">
        <v>1</v>
      </c>
      <c r="J1713" t="s">
        <v>2</v>
      </c>
      <c r="K1713" t="s">
        <v>13</v>
      </c>
      <c r="L1713" t="s">
        <v>407</v>
      </c>
      <c r="M1713" s="3" t="s">
        <v>437</v>
      </c>
    </row>
    <row r="1714" spans="1:14" hidden="1" x14ac:dyDescent="0.25">
      <c r="A1714" s="1" t="str">
        <f>VLOOKUP(Table2[[#This Row],[Prod Line ]],Lists!A:E,5,0)</f>
        <v>d</v>
      </c>
      <c r="B1714" s="1">
        <v>44429</v>
      </c>
      <c r="C1714" s="1">
        <v>44427</v>
      </c>
      <c r="D1714" s="1" t="s">
        <v>62</v>
      </c>
      <c r="E1714" s="2" t="s">
        <v>405</v>
      </c>
      <c r="F1714" s="1"/>
      <c r="G1714" s="2">
        <v>120</v>
      </c>
      <c r="H1714" s="1"/>
      <c r="I1714" t="s">
        <v>1</v>
      </c>
      <c r="J1714" t="s">
        <v>2</v>
      </c>
      <c r="K1714" t="s">
        <v>19</v>
      </c>
      <c r="L1714" t="s">
        <v>407</v>
      </c>
      <c r="M1714" s="3" t="s">
        <v>1561</v>
      </c>
    </row>
    <row r="1715" spans="1:14" hidden="1" x14ac:dyDescent="0.25">
      <c r="A1715" s="1" t="str">
        <f>VLOOKUP(Table2[[#This Row],[Prod Line ]],Lists!A:E,5,0)</f>
        <v>b</v>
      </c>
      <c r="B1715" s="1">
        <v>44431</v>
      </c>
      <c r="C1715" s="1">
        <v>44430</v>
      </c>
      <c r="D1715" s="1" t="s">
        <v>58</v>
      </c>
      <c r="E1715" s="2" t="s">
        <v>404</v>
      </c>
      <c r="F1715" s="1"/>
      <c r="G1715" s="2">
        <v>55</v>
      </c>
      <c r="H1715" s="1"/>
      <c r="I1715" t="s">
        <v>0</v>
      </c>
      <c r="J1715" t="s">
        <v>65</v>
      </c>
      <c r="K1715" t="s">
        <v>27</v>
      </c>
      <c r="L1715" t="s">
        <v>70</v>
      </c>
      <c r="M1715" s="3" t="s">
        <v>1562</v>
      </c>
    </row>
    <row r="1716" spans="1:14" hidden="1" x14ac:dyDescent="0.25">
      <c r="A1716" s="1" t="str">
        <f>VLOOKUP(Table2[[#This Row],[Prod Line ]],Lists!A:E,5,0)</f>
        <v>b</v>
      </c>
      <c r="B1716" s="1">
        <v>44431</v>
      </c>
      <c r="C1716" s="1">
        <v>44430</v>
      </c>
      <c r="D1716" s="1" t="s">
        <v>58</v>
      </c>
      <c r="E1716" s="2" t="s">
        <v>405</v>
      </c>
      <c r="F1716" s="1"/>
      <c r="G1716" s="2">
        <v>29</v>
      </c>
      <c r="H1716" s="1"/>
      <c r="I1716" t="s">
        <v>1</v>
      </c>
      <c r="J1716" t="s">
        <v>26</v>
      </c>
      <c r="K1716" t="s">
        <v>26</v>
      </c>
      <c r="L1716" t="s">
        <v>441</v>
      </c>
      <c r="M1716" s="3" t="s">
        <v>1563</v>
      </c>
    </row>
    <row r="1717" spans="1:14" hidden="1" x14ac:dyDescent="0.25">
      <c r="A1717" s="1" t="str">
        <f>VLOOKUP(Table2[[#This Row],[Prod Line ]],Lists!A:E,5,0)</f>
        <v>d</v>
      </c>
      <c r="B1717" s="1">
        <v>44431</v>
      </c>
      <c r="C1717" s="1">
        <v>44430</v>
      </c>
      <c r="D1717" s="1" t="s">
        <v>62</v>
      </c>
      <c r="E1717" s="2" t="s">
        <v>406</v>
      </c>
      <c r="F1717" s="1"/>
      <c r="G1717" s="2">
        <v>161</v>
      </c>
      <c r="H1717" s="1"/>
      <c r="I1717" t="s">
        <v>0</v>
      </c>
      <c r="J1717" t="s">
        <v>5</v>
      </c>
      <c r="K1717" t="s">
        <v>396</v>
      </c>
      <c r="L1717" t="s">
        <v>70</v>
      </c>
      <c r="M1717" s="3" t="s">
        <v>1564</v>
      </c>
      <c r="N1717" s="20" t="s">
        <v>1641</v>
      </c>
    </row>
    <row r="1718" spans="1:14" hidden="1" x14ac:dyDescent="0.25">
      <c r="A1718" s="1" t="str">
        <f>VLOOKUP(Table2[[#This Row],[Prod Line ]],Lists!A:E,5,0)</f>
        <v>d</v>
      </c>
      <c r="B1718" s="1">
        <v>44431</v>
      </c>
      <c r="C1718" s="1">
        <v>44430</v>
      </c>
      <c r="D1718" s="1" t="s">
        <v>62</v>
      </c>
      <c r="E1718" s="2" t="s">
        <v>404</v>
      </c>
      <c r="F1718" s="1"/>
      <c r="G1718" s="2">
        <v>20</v>
      </c>
      <c r="H1718" s="1"/>
      <c r="I1718" t="s">
        <v>1</v>
      </c>
      <c r="J1718" t="s">
        <v>2</v>
      </c>
      <c r="K1718" t="s">
        <v>19</v>
      </c>
      <c r="L1718" t="s">
        <v>1003</v>
      </c>
      <c r="M1718" s="3" t="s">
        <v>1514</v>
      </c>
    </row>
    <row r="1719" spans="1:14" hidden="1" x14ac:dyDescent="0.25">
      <c r="A1719" s="1" t="str">
        <f>VLOOKUP(Table2[[#This Row],[Prod Line ]],Lists!A:E,5,0)</f>
        <v>b</v>
      </c>
      <c r="B1719" s="1">
        <v>44432</v>
      </c>
      <c r="C1719" s="1">
        <v>44430</v>
      </c>
      <c r="D1719" s="1" t="s">
        <v>58</v>
      </c>
      <c r="E1719" s="2" t="s">
        <v>1565</v>
      </c>
      <c r="F1719" s="1"/>
      <c r="G1719" s="2">
        <v>9</v>
      </c>
      <c r="H1719" s="1"/>
      <c r="I1719" t="s">
        <v>1</v>
      </c>
      <c r="J1719" t="s">
        <v>64</v>
      </c>
      <c r="K1719" t="s">
        <v>21</v>
      </c>
      <c r="L1719" t="s">
        <v>407</v>
      </c>
      <c r="M1719" s="3" t="s">
        <v>1566</v>
      </c>
    </row>
    <row r="1720" spans="1:14" hidden="1" x14ac:dyDescent="0.25">
      <c r="A1720" s="1" t="str">
        <f>VLOOKUP(Table2[[#This Row],[Prod Line ]],Lists!A:E,5,0)</f>
        <v>b</v>
      </c>
      <c r="B1720" s="1">
        <v>44432</v>
      </c>
      <c r="C1720" s="1">
        <v>44430</v>
      </c>
      <c r="D1720" s="1" t="s">
        <v>58</v>
      </c>
      <c r="E1720" s="2" t="s">
        <v>404</v>
      </c>
      <c r="F1720" s="1"/>
      <c r="G1720" s="2">
        <v>15</v>
      </c>
      <c r="H1720" s="1"/>
      <c r="I1720" t="s">
        <v>0</v>
      </c>
      <c r="J1720" t="s">
        <v>65</v>
      </c>
      <c r="K1720" t="s">
        <v>28</v>
      </c>
      <c r="L1720" t="s">
        <v>70</v>
      </c>
      <c r="M1720" s="3" t="s">
        <v>1567</v>
      </c>
    </row>
    <row r="1721" spans="1:14" hidden="1" x14ac:dyDescent="0.25">
      <c r="A1721" s="1" t="str">
        <f>VLOOKUP(Table2[[#This Row],[Prod Line ]],Lists!A:E,5,0)</f>
        <v>b</v>
      </c>
      <c r="B1721" s="1">
        <v>44432</v>
      </c>
      <c r="C1721" s="1">
        <v>44430</v>
      </c>
      <c r="D1721" s="1" t="s">
        <v>58</v>
      </c>
      <c r="E1721" s="2" t="s">
        <v>404</v>
      </c>
      <c r="F1721" s="1"/>
      <c r="G1721" s="2">
        <v>5</v>
      </c>
      <c r="H1721" s="1"/>
      <c r="I1721" t="s">
        <v>0</v>
      </c>
      <c r="J1721" t="s">
        <v>66</v>
      </c>
      <c r="K1721" t="s">
        <v>4</v>
      </c>
      <c r="L1721" t="s">
        <v>70</v>
      </c>
      <c r="M1721" s="3" t="s">
        <v>922</v>
      </c>
    </row>
    <row r="1722" spans="1:14" hidden="1" x14ac:dyDescent="0.25">
      <c r="A1722" s="1" t="str">
        <f>VLOOKUP(Table2[[#This Row],[Prod Line ]],Lists!A:E,5,0)</f>
        <v>b</v>
      </c>
      <c r="B1722" s="1">
        <v>44432</v>
      </c>
      <c r="C1722" s="1">
        <v>44430</v>
      </c>
      <c r="D1722" s="1" t="s">
        <v>58</v>
      </c>
      <c r="E1722" s="2" t="s">
        <v>406</v>
      </c>
      <c r="F1722" s="1"/>
      <c r="G1722" s="2">
        <v>25</v>
      </c>
      <c r="H1722" s="1"/>
      <c r="I1722" t="s">
        <v>1</v>
      </c>
      <c r="J1722" t="s">
        <v>26</v>
      </c>
      <c r="K1722" t="s">
        <v>25</v>
      </c>
      <c r="L1722" t="s">
        <v>441</v>
      </c>
      <c r="M1722" s="3" t="s">
        <v>1568</v>
      </c>
    </row>
    <row r="1723" spans="1:14" hidden="1" x14ac:dyDescent="0.25">
      <c r="A1723" s="1" t="str">
        <f>VLOOKUP(Table2[[#This Row],[Prod Line ]],Lists!A:E,5,0)</f>
        <v>b</v>
      </c>
      <c r="B1723" s="1">
        <v>44432</v>
      </c>
      <c r="C1723" s="1">
        <v>44430</v>
      </c>
      <c r="D1723" s="1" t="s">
        <v>58</v>
      </c>
      <c r="E1723" s="2" t="s">
        <v>406</v>
      </c>
      <c r="F1723" s="1"/>
      <c r="G1723" s="2">
        <v>5</v>
      </c>
      <c r="H1723" s="1"/>
      <c r="I1723" t="s">
        <v>0</v>
      </c>
      <c r="J1723" t="s">
        <v>64</v>
      </c>
      <c r="K1723" t="s">
        <v>20</v>
      </c>
      <c r="L1723" t="s">
        <v>70</v>
      </c>
      <c r="M1723" s="3" t="s">
        <v>1569</v>
      </c>
    </row>
    <row r="1724" spans="1:14" hidden="1" x14ac:dyDescent="0.25">
      <c r="A1724" s="1" t="str">
        <f>VLOOKUP(Table2[[#This Row],[Prod Line ]],Lists!A:E,5,0)</f>
        <v>b</v>
      </c>
      <c r="B1724" s="1">
        <v>44432</v>
      </c>
      <c r="C1724" s="1">
        <v>44430</v>
      </c>
      <c r="D1724" s="1" t="s">
        <v>58</v>
      </c>
      <c r="E1724" s="2" t="s">
        <v>406</v>
      </c>
      <c r="F1724" s="1"/>
      <c r="G1724" s="2">
        <v>7</v>
      </c>
      <c r="H1724" s="1"/>
      <c r="I1724" t="s">
        <v>1</v>
      </c>
      <c r="J1724" t="s">
        <v>65</v>
      </c>
      <c r="K1724" t="s">
        <v>3</v>
      </c>
      <c r="L1724" t="s">
        <v>441</v>
      </c>
      <c r="M1724" s="3" t="s">
        <v>1570</v>
      </c>
    </row>
    <row r="1725" spans="1:14" hidden="1" x14ac:dyDescent="0.25">
      <c r="A1725" s="1" t="str">
        <f>VLOOKUP(Table2[[#This Row],[Prod Line ]],Lists!A:E,5,0)</f>
        <v>c</v>
      </c>
      <c r="B1725" s="1">
        <v>44432</v>
      </c>
      <c r="C1725" s="1">
        <v>44430</v>
      </c>
      <c r="D1725" s="1" t="s">
        <v>60</v>
      </c>
      <c r="E1725" s="2" t="s">
        <v>404</v>
      </c>
      <c r="F1725" s="1"/>
      <c r="G1725" s="2">
        <v>16</v>
      </c>
      <c r="H1725" s="1"/>
      <c r="I1725" t="s">
        <v>1</v>
      </c>
      <c r="J1725" t="s">
        <v>64</v>
      </c>
      <c r="K1725" t="s">
        <v>381</v>
      </c>
      <c r="L1725" t="s">
        <v>1003</v>
      </c>
      <c r="M1725" s="3" t="s">
        <v>1514</v>
      </c>
    </row>
    <row r="1726" spans="1:14" hidden="1" x14ac:dyDescent="0.25">
      <c r="A1726" s="1" t="str">
        <f>VLOOKUP(Table2[[#This Row],[Prod Line ]],Lists!A:E,5,0)</f>
        <v>c</v>
      </c>
      <c r="B1726" s="1">
        <v>44432</v>
      </c>
      <c r="C1726" s="1">
        <v>44430</v>
      </c>
      <c r="D1726" s="1" t="s">
        <v>60</v>
      </c>
      <c r="E1726" s="2" t="s">
        <v>404</v>
      </c>
      <c r="F1726" s="1"/>
      <c r="G1726" s="2">
        <v>38</v>
      </c>
      <c r="H1726" s="1"/>
      <c r="I1726" t="s">
        <v>1</v>
      </c>
      <c r="J1726" t="s">
        <v>64</v>
      </c>
      <c r="K1726" t="s">
        <v>381</v>
      </c>
      <c r="L1726" t="s">
        <v>441</v>
      </c>
      <c r="M1726" s="3" t="s">
        <v>1571</v>
      </c>
    </row>
    <row r="1727" spans="1:14" hidden="1" x14ac:dyDescent="0.25">
      <c r="A1727" s="1" t="str">
        <f>VLOOKUP(Table2[[#This Row],[Prod Line ]],Lists!A:E,5,0)</f>
        <v>d</v>
      </c>
      <c r="B1727" s="1">
        <v>44432</v>
      </c>
      <c r="C1727" s="1">
        <v>44430</v>
      </c>
      <c r="D1727" s="1" t="s">
        <v>62</v>
      </c>
      <c r="E1727" s="2" t="s">
        <v>404</v>
      </c>
      <c r="F1727" s="1"/>
      <c r="G1727" s="2">
        <v>7</v>
      </c>
      <c r="H1727" s="1"/>
      <c r="I1727" t="s">
        <v>1</v>
      </c>
      <c r="J1727" t="s">
        <v>64</v>
      </c>
      <c r="K1727" t="s">
        <v>379</v>
      </c>
      <c r="L1727" t="s">
        <v>1003</v>
      </c>
      <c r="M1727" s="3" t="s">
        <v>1514</v>
      </c>
    </row>
    <row r="1728" spans="1:14" hidden="1" x14ac:dyDescent="0.25">
      <c r="A1728" s="1" t="str">
        <f>VLOOKUP(Table2[[#This Row],[Prod Line ]],Lists!A:E,5,0)</f>
        <v>b</v>
      </c>
      <c r="B1728" s="1">
        <v>44432</v>
      </c>
      <c r="C1728" s="1">
        <v>44430</v>
      </c>
      <c r="D1728" s="1" t="s">
        <v>58</v>
      </c>
      <c r="E1728" s="2" t="s">
        <v>404</v>
      </c>
      <c r="F1728" s="1"/>
      <c r="G1728" s="2">
        <v>21</v>
      </c>
      <c r="H1728" s="1"/>
      <c r="I1728" t="s">
        <v>1</v>
      </c>
      <c r="J1728" t="s">
        <v>64</v>
      </c>
      <c r="K1728" t="s">
        <v>22</v>
      </c>
      <c r="L1728" t="s">
        <v>407</v>
      </c>
      <c r="M1728" s="3" t="s">
        <v>48</v>
      </c>
    </row>
    <row r="1729" spans="1:13" hidden="1" x14ac:dyDescent="0.25">
      <c r="A1729" s="1" t="str">
        <f>VLOOKUP(Table2[[#This Row],[Prod Line ]],Lists!A:E,5,0)</f>
        <v>b</v>
      </c>
      <c r="B1729" s="1">
        <v>44432</v>
      </c>
      <c r="C1729" s="1">
        <v>44430</v>
      </c>
      <c r="D1729" s="1" t="s">
        <v>58</v>
      </c>
      <c r="E1729" s="2" t="s">
        <v>404</v>
      </c>
      <c r="F1729" s="1"/>
      <c r="G1729" s="2">
        <v>15</v>
      </c>
      <c r="H1729" s="1"/>
      <c r="I1729" t="s">
        <v>1</v>
      </c>
      <c r="J1729" t="s">
        <v>64</v>
      </c>
      <c r="K1729" t="s">
        <v>22</v>
      </c>
      <c r="L1729" t="s">
        <v>441</v>
      </c>
      <c r="M1729" s="3" t="s">
        <v>48</v>
      </c>
    </row>
    <row r="1730" spans="1:13" hidden="1" x14ac:dyDescent="0.25">
      <c r="A1730" s="1" t="str">
        <f>VLOOKUP(Table2[[#This Row],[Prod Line ]],Lists!A:E,5,0)</f>
        <v>b</v>
      </c>
      <c r="B1730" s="1">
        <v>44432</v>
      </c>
      <c r="C1730" s="1">
        <v>44430</v>
      </c>
      <c r="D1730" s="1" t="s">
        <v>58</v>
      </c>
      <c r="E1730" s="2" t="s">
        <v>404</v>
      </c>
      <c r="F1730" s="1"/>
      <c r="G1730" s="2">
        <v>34</v>
      </c>
      <c r="H1730" s="1"/>
      <c r="I1730" t="s">
        <v>1</v>
      </c>
      <c r="J1730" t="s">
        <v>64</v>
      </c>
      <c r="K1730" t="s">
        <v>22</v>
      </c>
      <c r="L1730" t="s">
        <v>407</v>
      </c>
      <c r="M1730" s="3" t="s">
        <v>48</v>
      </c>
    </row>
    <row r="1731" spans="1:13" hidden="1" x14ac:dyDescent="0.25">
      <c r="A1731" s="1" t="str">
        <f>VLOOKUP(Table2[[#This Row],[Prod Line ]],Lists!A:E,5,0)</f>
        <v>a</v>
      </c>
      <c r="B1731" s="1">
        <v>44434</v>
      </c>
      <c r="C1731" s="1">
        <v>44432</v>
      </c>
      <c r="D1731" s="1" t="s">
        <v>56</v>
      </c>
      <c r="E1731" s="2" t="s">
        <v>404</v>
      </c>
      <c r="F1731" s="1"/>
      <c r="G1731" s="2">
        <v>25</v>
      </c>
      <c r="H1731" s="1"/>
      <c r="I1731" t="s">
        <v>0</v>
      </c>
      <c r="J1731" t="s">
        <v>64</v>
      </c>
      <c r="K1731" t="s">
        <v>367</v>
      </c>
      <c r="L1731" t="s">
        <v>70</v>
      </c>
      <c r="M1731" s="3" t="s">
        <v>1432</v>
      </c>
    </row>
    <row r="1732" spans="1:13" hidden="1" x14ac:dyDescent="0.25">
      <c r="A1732" s="1" t="str">
        <f>VLOOKUP(Table2[[#This Row],[Prod Line ]],Lists!A:E,5,0)</f>
        <v>c</v>
      </c>
      <c r="B1732" s="1">
        <v>44434</v>
      </c>
      <c r="C1732" s="1">
        <v>44432</v>
      </c>
      <c r="D1732" s="1" t="s">
        <v>60</v>
      </c>
      <c r="E1732" s="2" t="s">
        <v>404</v>
      </c>
      <c r="F1732" s="1"/>
      <c r="G1732" s="2">
        <v>22</v>
      </c>
      <c r="H1732" s="1"/>
      <c r="I1732" t="s">
        <v>1</v>
      </c>
      <c r="J1732" t="s">
        <v>2</v>
      </c>
      <c r="K1732" t="s">
        <v>378</v>
      </c>
      <c r="L1732" t="s">
        <v>349</v>
      </c>
      <c r="M1732" s="3" t="s">
        <v>557</v>
      </c>
    </row>
    <row r="1733" spans="1:13" hidden="1" x14ac:dyDescent="0.25">
      <c r="A1733" s="1" t="str">
        <f>VLOOKUP(Table2[[#This Row],[Prod Line ]],Lists!A:E,5,0)</f>
        <v>d</v>
      </c>
      <c r="B1733" s="1">
        <v>44434</v>
      </c>
      <c r="C1733" s="1">
        <v>44432</v>
      </c>
      <c r="D1733" s="1" t="s">
        <v>62</v>
      </c>
      <c r="E1733" s="2" t="s">
        <v>404</v>
      </c>
      <c r="F1733" s="1"/>
      <c r="G1733" s="2">
        <v>25</v>
      </c>
      <c r="H1733" s="1"/>
      <c r="I1733" t="s">
        <v>0</v>
      </c>
      <c r="J1733" t="s">
        <v>64</v>
      </c>
      <c r="K1733" t="s">
        <v>379</v>
      </c>
      <c r="L1733" t="s">
        <v>70</v>
      </c>
      <c r="M1733" s="3" t="s">
        <v>1572</v>
      </c>
    </row>
    <row r="1734" spans="1:13" hidden="1" x14ac:dyDescent="0.25">
      <c r="A1734" s="1" t="str">
        <f>VLOOKUP(Table2[[#This Row],[Prod Line ]],Lists!A:E,5,0)</f>
        <v>d</v>
      </c>
      <c r="B1734" s="1">
        <v>44434</v>
      </c>
      <c r="C1734" s="1">
        <v>44432</v>
      </c>
      <c r="D1734" s="1" t="s">
        <v>62</v>
      </c>
      <c r="E1734" s="2" t="s">
        <v>405</v>
      </c>
      <c r="F1734" s="1"/>
      <c r="G1734" s="2">
        <v>33</v>
      </c>
      <c r="H1734" s="1"/>
      <c r="I1734" t="s">
        <v>1</v>
      </c>
      <c r="J1734" t="s">
        <v>2</v>
      </c>
      <c r="K1734" t="s">
        <v>19</v>
      </c>
      <c r="L1734" t="s">
        <v>349</v>
      </c>
      <c r="M1734" s="3" t="s">
        <v>1539</v>
      </c>
    </row>
    <row r="1735" spans="1:13" hidden="1" x14ac:dyDescent="0.25">
      <c r="A1735" s="1" t="str">
        <f>VLOOKUP(Table2[[#This Row],[Prod Line ]],Lists!A:E,5,0)</f>
        <v>d</v>
      </c>
      <c r="B1735" s="1">
        <v>44434</v>
      </c>
      <c r="C1735" s="1">
        <v>44432</v>
      </c>
      <c r="D1735" s="1" t="s">
        <v>62</v>
      </c>
      <c r="E1735" s="2" t="s">
        <v>405</v>
      </c>
      <c r="F1735" s="1"/>
      <c r="G1735" s="2">
        <v>10</v>
      </c>
      <c r="H1735" s="1"/>
      <c r="I1735" t="s">
        <v>1</v>
      </c>
      <c r="J1735" t="s">
        <v>64</v>
      </c>
      <c r="K1735" t="s">
        <v>379</v>
      </c>
      <c r="L1735" t="s">
        <v>72</v>
      </c>
      <c r="M1735" s="3" t="s">
        <v>1573</v>
      </c>
    </row>
    <row r="1736" spans="1:13" hidden="1" x14ac:dyDescent="0.25">
      <c r="A1736" s="1" t="str">
        <f>VLOOKUP(Table2[[#This Row],[Prod Line ]],Lists!A:E,5,0)</f>
        <v>d</v>
      </c>
      <c r="B1736" s="1">
        <v>44434</v>
      </c>
      <c r="C1736" s="1">
        <v>44432</v>
      </c>
      <c r="D1736" s="1" t="s">
        <v>62</v>
      </c>
      <c r="E1736" s="2" t="s">
        <v>406</v>
      </c>
      <c r="F1736" s="1"/>
      <c r="G1736" s="2">
        <v>10</v>
      </c>
      <c r="H1736" s="1"/>
      <c r="I1736" t="s">
        <v>1</v>
      </c>
      <c r="J1736" t="s">
        <v>64</v>
      </c>
      <c r="K1736" t="s">
        <v>379</v>
      </c>
      <c r="L1736" t="s">
        <v>349</v>
      </c>
      <c r="M1736" s="3" t="s">
        <v>941</v>
      </c>
    </row>
    <row r="1737" spans="1:13" hidden="1" x14ac:dyDescent="0.25">
      <c r="A1737" s="1" t="str">
        <f>VLOOKUP(Table2[[#This Row],[Prod Line ]],Lists!A:E,5,0)</f>
        <v>d</v>
      </c>
      <c r="B1737" s="1">
        <v>44434</v>
      </c>
      <c r="C1737" s="1">
        <v>44432</v>
      </c>
      <c r="D1737" s="1" t="s">
        <v>62</v>
      </c>
      <c r="E1737" s="2" t="s">
        <v>406</v>
      </c>
      <c r="F1737" s="1"/>
      <c r="G1737" s="2">
        <v>10</v>
      </c>
      <c r="H1737" s="1"/>
      <c r="I1737" t="s">
        <v>1</v>
      </c>
      <c r="J1737" t="s">
        <v>64</v>
      </c>
      <c r="K1737" t="s">
        <v>379</v>
      </c>
      <c r="L1737" t="s">
        <v>72</v>
      </c>
      <c r="M1737" s="3" t="s">
        <v>1574</v>
      </c>
    </row>
    <row r="1738" spans="1:13" hidden="1" x14ac:dyDescent="0.25">
      <c r="A1738" s="1" t="str">
        <f>VLOOKUP(Table2[[#This Row],[Prod Line ]],Lists!A:E,5,0)</f>
        <v>d</v>
      </c>
      <c r="B1738" s="1">
        <v>44434</v>
      </c>
      <c r="C1738" s="1">
        <v>44432</v>
      </c>
      <c r="D1738" s="1" t="s">
        <v>62</v>
      </c>
      <c r="E1738" s="2" t="s">
        <v>406</v>
      </c>
      <c r="F1738" s="1"/>
      <c r="G1738" s="2">
        <v>10</v>
      </c>
      <c r="H1738" s="1"/>
      <c r="I1738" t="s">
        <v>1</v>
      </c>
      <c r="J1738" t="s">
        <v>2</v>
      </c>
      <c r="K1738" t="s">
        <v>19</v>
      </c>
      <c r="L1738" t="s">
        <v>349</v>
      </c>
      <c r="M1738" s="3" t="s">
        <v>1575</v>
      </c>
    </row>
    <row r="1739" spans="1:13" hidden="1" x14ac:dyDescent="0.25">
      <c r="A1739" s="1" t="str">
        <f>VLOOKUP(Table2[[#This Row],[Prod Line ]],Lists!A:E,5,0)</f>
        <v>d</v>
      </c>
      <c r="B1739" s="1">
        <v>44434</v>
      </c>
      <c r="C1739" s="1">
        <v>44432</v>
      </c>
      <c r="D1739" s="1" t="s">
        <v>62</v>
      </c>
      <c r="E1739" s="2" t="s">
        <v>406</v>
      </c>
      <c r="F1739" s="1"/>
      <c r="G1739" s="2">
        <v>14</v>
      </c>
      <c r="H1739" s="1"/>
      <c r="I1739" t="s">
        <v>1</v>
      </c>
      <c r="J1739" t="s">
        <v>64</v>
      </c>
      <c r="K1739" t="s">
        <v>379</v>
      </c>
      <c r="L1739" t="s">
        <v>349</v>
      </c>
      <c r="M1739" s="3" t="s">
        <v>602</v>
      </c>
    </row>
    <row r="1740" spans="1:13" hidden="1" x14ac:dyDescent="0.25">
      <c r="A1740" s="1" t="str">
        <f>VLOOKUP(Table2[[#This Row],[Prod Line ]],Lists!A:E,5,0)</f>
        <v>d</v>
      </c>
      <c r="B1740" s="1">
        <v>44434</v>
      </c>
      <c r="C1740" s="1">
        <v>44432</v>
      </c>
      <c r="D1740" s="1" t="s">
        <v>62</v>
      </c>
      <c r="E1740" s="2" t="s">
        <v>406</v>
      </c>
      <c r="F1740" s="1"/>
      <c r="G1740" s="2">
        <v>10</v>
      </c>
      <c r="H1740" s="1"/>
      <c r="I1740" t="s">
        <v>1</v>
      </c>
      <c r="J1740" t="s">
        <v>64</v>
      </c>
      <c r="K1740" t="s">
        <v>379</v>
      </c>
      <c r="L1740" t="s">
        <v>349</v>
      </c>
      <c r="M1740" s="3" t="s">
        <v>1576</v>
      </c>
    </row>
    <row r="1741" spans="1:13" hidden="1" x14ac:dyDescent="0.25">
      <c r="A1741" s="1" t="str">
        <f>VLOOKUP(Table2[[#This Row],[Prod Line ]],Lists!A:E,5,0)</f>
        <v>b</v>
      </c>
      <c r="B1741" s="1">
        <v>44434</v>
      </c>
      <c r="C1741" s="1">
        <v>44432</v>
      </c>
      <c r="D1741" s="1" t="s">
        <v>58</v>
      </c>
      <c r="E1741" s="2" t="s">
        <v>404</v>
      </c>
      <c r="F1741" s="1"/>
      <c r="G1741" s="2">
        <v>3</v>
      </c>
      <c r="H1741" s="1"/>
      <c r="I1741" t="s">
        <v>1</v>
      </c>
      <c r="J1741" t="s">
        <v>64</v>
      </c>
      <c r="K1741" t="s">
        <v>21</v>
      </c>
      <c r="L1741" t="s">
        <v>350</v>
      </c>
      <c r="M1741" s="3" t="s">
        <v>1058</v>
      </c>
    </row>
    <row r="1742" spans="1:13" hidden="1" x14ac:dyDescent="0.25">
      <c r="A1742" s="1" t="str">
        <f>VLOOKUP(Table2[[#This Row],[Prod Line ]],Lists!A:E,5,0)</f>
        <v>b</v>
      </c>
      <c r="B1742" s="1">
        <v>44434</v>
      </c>
      <c r="C1742" s="1">
        <v>44432</v>
      </c>
      <c r="D1742" s="1" t="s">
        <v>58</v>
      </c>
      <c r="E1742" s="2" t="s">
        <v>404</v>
      </c>
      <c r="F1742" s="1"/>
      <c r="G1742" s="2">
        <v>4</v>
      </c>
      <c r="H1742" s="1"/>
      <c r="I1742" t="s">
        <v>1</v>
      </c>
      <c r="J1742" t="s">
        <v>26</v>
      </c>
      <c r="K1742" t="s">
        <v>26</v>
      </c>
      <c r="L1742" t="s">
        <v>441</v>
      </c>
      <c r="M1742" s="3" t="s">
        <v>1577</v>
      </c>
    </row>
    <row r="1743" spans="1:13" hidden="1" x14ac:dyDescent="0.25">
      <c r="A1743" s="1" t="str">
        <f>VLOOKUP(Table2[[#This Row],[Prod Line ]],Lists!A:E,5,0)</f>
        <v>b</v>
      </c>
      <c r="B1743" s="1">
        <v>44434</v>
      </c>
      <c r="C1743" s="1">
        <v>44432</v>
      </c>
      <c r="D1743" s="1" t="s">
        <v>58</v>
      </c>
      <c r="E1743" s="2" t="s">
        <v>406</v>
      </c>
      <c r="F1743" s="1"/>
      <c r="G1743" s="2">
        <v>18</v>
      </c>
      <c r="H1743" s="1"/>
      <c r="I1743" t="s">
        <v>1</v>
      </c>
      <c r="J1743" t="s">
        <v>26</v>
      </c>
      <c r="K1743" t="s">
        <v>26</v>
      </c>
      <c r="L1743" t="s">
        <v>441</v>
      </c>
      <c r="M1743" s="3" t="s">
        <v>1578</v>
      </c>
    </row>
    <row r="1744" spans="1:13" hidden="1" x14ac:dyDescent="0.25">
      <c r="A1744" s="1" t="str">
        <f>VLOOKUP(Table2[[#This Row],[Prod Line ]],Lists!A:E,5,0)</f>
        <v>b</v>
      </c>
      <c r="B1744" s="1">
        <v>44434</v>
      </c>
      <c r="C1744" s="1">
        <v>44432</v>
      </c>
      <c r="D1744" s="1" t="s">
        <v>58</v>
      </c>
      <c r="E1744" s="2" t="s">
        <v>406</v>
      </c>
      <c r="F1744" s="1"/>
      <c r="G1744" s="2">
        <v>25</v>
      </c>
      <c r="H1744" s="1"/>
      <c r="I1744" t="s">
        <v>1</v>
      </c>
      <c r="J1744" t="s">
        <v>67</v>
      </c>
      <c r="K1744" t="s">
        <v>67</v>
      </c>
      <c r="L1744" t="s">
        <v>441</v>
      </c>
      <c r="M1744" s="3" t="s">
        <v>1579</v>
      </c>
    </row>
    <row r="1745" spans="1:13" hidden="1" x14ac:dyDescent="0.25">
      <c r="A1745" s="1" t="str">
        <f>VLOOKUP(Table2[[#This Row],[Prod Line ]],Lists!A:E,5,0)</f>
        <v>b</v>
      </c>
      <c r="B1745" s="1">
        <v>44434</v>
      </c>
      <c r="C1745" s="1">
        <v>44432</v>
      </c>
      <c r="D1745" s="1" t="s">
        <v>58</v>
      </c>
      <c r="E1745" s="2" t="s">
        <v>406</v>
      </c>
      <c r="F1745" s="1"/>
      <c r="G1745" s="2">
        <v>5</v>
      </c>
      <c r="H1745" s="1"/>
      <c r="I1745" t="s">
        <v>1</v>
      </c>
      <c r="J1745" t="s">
        <v>2</v>
      </c>
      <c r="K1745" t="s">
        <v>19</v>
      </c>
      <c r="L1745" t="s">
        <v>441</v>
      </c>
      <c r="M1745" s="3" t="s">
        <v>1580</v>
      </c>
    </row>
    <row r="1746" spans="1:13" hidden="1" x14ac:dyDescent="0.25">
      <c r="A1746" s="1" t="str">
        <f>VLOOKUP(Table2[[#This Row],[Prod Line ]],Lists!A:E,5,0)</f>
        <v>b</v>
      </c>
      <c r="B1746" s="1">
        <v>44434</v>
      </c>
      <c r="C1746" s="1">
        <v>44432</v>
      </c>
      <c r="D1746" s="1" t="s">
        <v>58</v>
      </c>
      <c r="E1746" s="2" t="s">
        <v>406</v>
      </c>
      <c r="F1746" s="1"/>
      <c r="G1746" s="2">
        <v>7</v>
      </c>
      <c r="H1746" s="1"/>
      <c r="I1746" t="s">
        <v>1</v>
      </c>
      <c r="J1746" t="s">
        <v>64</v>
      </c>
      <c r="K1746" t="s">
        <v>21</v>
      </c>
      <c r="L1746" t="s">
        <v>72</v>
      </c>
      <c r="M1746" s="3" t="s">
        <v>1581</v>
      </c>
    </row>
    <row r="1747" spans="1:13" hidden="1" x14ac:dyDescent="0.25">
      <c r="A1747" s="1" t="str">
        <f>VLOOKUP(Table2[[#This Row],[Prod Line ]],Lists!A:E,5,0)</f>
        <v>a</v>
      </c>
      <c r="B1747" s="1">
        <v>44435</v>
      </c>
      <c r="C1747" s="1">
        <v>44433</v>
      </c>
      <c r="D1747" s="1" t="s">
        <v>56</v>
      </c>
      <c r="E1747" s="2" t="s">
        <v>404</v>
      </c>
      <c r="F1747" s="1"/>
      <c r="G1747" s="2">
        <v>5</v>
      </c>
      <c r="H1747" s="1"/>
      <c r="I1747" t="s">
        <v>1</v>
      </c>
      <c r="J1747" t="s">
        <v>64</v>
      </c>
      <c r="K1747" t="s">
        <v>370</v>
      </c>
      <c r="L1747" t="s">
        <v>72</v>
      </c>
      <c r="M1747" s="3" t="s">
        <v>1582</v>
      </c>
    </row>
    <row r="1748" spans="1:13" hidden="1" x14ac:dyDescent="0.25">
      <c r="A1748" s="1" t="str">
        <f>VLOOKUP(Table2[[#This Row],[Prod Line ]],Lists!A:E,5,0)</f>
        <v>b</v>
      </c>
      <c r="B1748" s="1">
        <v>44435</v>
      </c>
      <c r="C1748" s="1">
        <v>44433</v>
      </c>
      <c r="D1748" s="1" t="s">
        <v>58</v>
      </c>
      <c r="E1748" s="2" t="s">
        <v>404</v>
      </c>
      <c r="F1748" s="1"/>
      <c r="G1748" s="2">
        <v>7</v>
      </c>
      <c r="H1748" s="1"/>
      <c r="I1748" t="s">
        <v>1</v>
      </c>
      <c r="J1748" t="s">
        <v>64</v>
      </c>
      <c r="K1748" t="s">
        <v>21</v>
      </c>
      <c r="L1748" t="s">
        <v>441</v>
      </c>
      <c r="M1748" s="3" t="s">
        <v>1583</v>
      </c>
    </row>
    <row r="1749" spans="1:13" hidden="1" x14ac:dyDescent="0.25">
      <c r="A1749" s="1" t="str">
        <f>VLOOKUP(Table2[[#This Row],[Prod Line ]],Lists!A:E,5,0)</f>
        <v>b</v>
      </c>
      <c r="B1749" s="1">
        <v>44435</v>
      </c>
      <c r="C1749" s="1">
        <v>44433</v>
      </c>
      <c r="D1749" s="1" t="s">
        <v>58</v>
      </c>
      <c r="E1749" s="2" t="s">
        <v>406</v>
      </c>
      <c r="F1749" s="1"/>
      <c r="G1749" s="2">
        <v>14</v>
      </c>
      <c r="H1749" s="1"/>
      <c r="I1749" t="s">
        <v>1</v>
      </c>
      <c r="J1749" t="s">
        <v>26</v>
      </c>
      <c r="K1749" t="s">
        <v>25</v>
      </c>
      <c r="L1749" t="s">
        <v>441</v>
      </c>
      <c r="M1749" s="3" t="s">
        <v>1584</v>
      </c>
    </row>
    <row r="1750" spans="1:13" hidden="1" x14ac:dyDescent="0.25">
      <c r="A1750" s="1" t="str">
        <f>VLOOKUP(Table2[[#This Row],[Prod Line ]],Lists!A:E,5,0)</f>
        <v>d</v>
      </c>
      <c r="B1750" s="1">
        <v>44435</v>
      </c>
      <c r="C1750" s="1">
        <v>44433</v>
      </c>
      <c r="D1750" s="1" t="s">
        <v>62</v>
      </c>
      <c r="E1750" s="2" t="s">
        <v>404</v>
      </c>
      <c r="F1750" s="1"/>
      <c r="G1750" s="2">
        <v>10</v>
      </c>
      <c r="H1750" s="1"/>
      <c r="I1750" t="s">
        <v>1</v>
      </c>
      <c r="J1750" t="s">
        <v>2</v>
      </c>
      <c r="K1750" t="s">
        <v>19</v>
      </c>
      <c r="L1750" t="s">
        <v>349</v>
      </c>
      <c r="M1750" s="3" t="s">
        <v>557</v>
      </c>
    </row>
    <row r="1751" spans="1:13" hidden="1" x14ac:dyDescent="0.25">
      <c r="A1751" s="1" t="str">
        <f>VLOOKUP(Table2[[#This Row],[Prod Line ]],Lists!A:E,5,0)</f>
        <v>d</v>
      </c>
      <c r="B1751" s="1">
        <v>44436</v>
      </c>
      <c r="C1751" s="1">
        <v>44434</v>
      </c>
      <c r="D1751" s="1" t="s">
        <v>62</v>
      </c>
      <c r="E1751" s="2" t="s">
        <v>404</v>
      </c>
      <c r="F1751" s="1"/>
      <c r="G1751" s="2">
        <v>22</v>
      </c>
      <c r="H1751" s="1"/>
      <c r="I1751" t="s">
        <v>1</v>
      </c>
      <c r="J1751" t="s">
        <v>2</v>
      </c>
      <c r="K1751" t="s">
        <v>14</v>
      </c>
      <c r="L1751" t="s">
        <v>72</v>
      </c>
      <c r="M1751" s="3" t="s">
        <v>1585</v>
      </c>
    </row>
    <row r="1752" spans="1:13" hidden="1" x14ac:dyDescent="0.25">
      <c r="A1752" s="1" t="str">
        <f>VLOOKUP(Table2[[#This Row],[Prod Line ]],Lists!A:E,5,0)</f>
        <v>d</v>
      </c>
      <c r="B1752" s="1">
        <v>44436</v>
      </c>
      <c r="C1752" s="1">
        <v>44434</v>
      </c>
      <c r="D1752" s="1" t="s">
        <v>62</v>
      </c>
      <c r="E1752" s="2" t="s">
        <v>404</v>
      </c>
      <c r="F1752" s="1"/>
      <c r="G1752" s="2">
        <v>15</v>
      </c>
      <c r="H1752" s="1"/>
      <c r="I1752" t="s">
        <v>1</v>
      </c>
      <c r="J1752" t="s">
        <v>2</v>
      </c>
      <c r="K1752" t="s">
        <v>19</v>
      </c>
      <c r="L1752" t="s">
        <v>344</v>
      </c>
      <c r="M1752" s="3" t="s">
        <v>1586</v>
      </c>
    </row>
    <row r="1753" spans="1:13" hidden="1" x14ac:dyDescent="0.25">
      <c r="A1753" s="1" t="str">
        <f>VLOOKUP(Table2[[#This Row],[Prod Line ]],Lists!A:E,5,0)</f>
        <v>d</v>
      </c>
      <c r="B1753" s="1">
        <v>44436</v>
      </c>
      <c r="C1753" s="1">
        <v>44434</v>
      </c>
      <c r="D1753" s="1" t="s">
        <v>62</v>
      </c>
      <c r="E1753" s="2" t="s">
        <v>404</v>
      </c>
      <c r="F1753" s="1"/>
      <c r="G1753" s="2">
        <v>10</v>
      </c>
      <c r="H1753" s="1"/>
      <c r="I1753" t="s">
        <v>1</v>
      </c>
      <c r="J1753" t="s">
        <v>2</v>
      </c>
      <c r="K1753" t="s">
        <v>14</v>
      </c>
      <c r="L1753" t="s">
        <v>72</v>
      </c>
      <c r="M1753" s="3" t="s">
        <v>1294</v>
      </c>
    </row>
    <row r="1754" spans="1:13" hidden="1" x14ac:dyDescent="0.25">
      <c r="A1754" s="1" t="str">
        <f>VLOOKUP(Table2[[#This Row],[Prod Line ]],Lists!A:E,5,0)</f>
        <v>c</v>
      </c>
      <c r="B1754" s="1">
        <v>44436</v>
      </c>
      <c r="C1754" s="1">
        <v>44434</v>
      </c>
      <c r="D1754" s="1" t="s">
        <v>60</v>
      </c>
      <c r="E1754" s="2" t="s">
        <v>404</v>
      </c>
      <c r="F1754" s="1"/>
      <c r="G1754" s="2">
        <v>33</v>
      </c>
      <c r="H1754" s="1"/>
      <c r="I1754" t="s">
        <v>1</v>
      </c>
      <c r="J1754" t="s">
        <v>2</v>
      </c>
      <c r="K1754" t="s">
        <v>378</v>
      </c>
      <c r="L1754" t="s">
        <v>72</v>
      </c>
      <c r="M1754" s="3" t="s">
        <v>1587</v>
      </c>
    </row>
    <row r="1755" spans="1:13" hidden="1" x14ac:dyDescent="0.25">
      <c r="A1755" s="1" t="str">
        <f>VLOOKUP(Table2[[#This Row],[Prod Line ]],Lists!A:E,5,0)</f>
        <v>b</v>
      </c>
      <c r="B1755" s="1">
        <v>44436</v>
      </c>
      <c r="C1755" s="1">
        <v>44434</v>
      </c>
      <c r="D1755" s="1" t="s">
        <v>58</v>
      </c>
      <c r="E1755" s="2" t="s">
        <v>406</v>
      </c>
      <c r="F1755" s="1"/>
      <c r="G1755" s="2">
        <v>27</v>
      </c>
      <c r="H1755" s="1"/>
      <c r="I1755" t="s">
        <v>1</v>
      </c>
      <c r="J1755" t="s">
        <v>26</v>
      </c>
      <c r="K1755" t="s">
        <v>26</v>
      </c>
      <c r="L1755" t="s">
        <v>441</v>
      </c>
      <c r="M1755" s="3" t="s">
        <v>1588</v>
      </c>
    </row>
    <row r="1756" spans="1:13" hidden="1" x14ac:dyDescent="0.25">
      <c r="A1756" s="1" t="str">
        <f>VLOOKUP(Table2[[#This Row],[Prod Line ]],Lists!A:E,5,0)</f>
        <v>b</v>
      </c>
      <c r="B1756" s="1">
        <v>44436</v>
      </c>
      <c r="C1756" s="1">
        <v>44434</v>
      </c>
      <c r="D1756" s="1" t="s">
        <v>58</v>
      </c>
      <c r="E1756" s="2" t="s">
        <v>406</v>
      </c>
      <c r="F1756" s="1"/>
      <c r="G1756" s="2">
        <v>15</v>
      </c>
      <c r="H1756" s="1"/>
      <c r="I1756" t="s">
        <v>1</v>
      </c>
      <c r="J1756" t="s">
        <v>26</v>
      </c>
      <c r="K1756" t="s">
        <v>25</v>
      </c>
      <c r="L1756" t="s">
        <v>441</v>
      </c>
      <c r="M1756" s="3" t="s">
        <v>1589</v>
      </c>
    </row>
    <row r="1757" spans="1:13" hidden="1" x14ac:dyDescent="0.25">
      <c r="A1757" s="1" t="str">
        <f>VLOOKUP(Table2[[#This Row],[Prod Line ]],Lists!A:E,5,0)</f>
        <v>b</v>
      </c>
      <c r="B1757" s="1">
        <v>44436</v>
      </c>
      <c r="C1757" s="1">
        <v>44434</v>
      </c>
      <c r="D1757" s="1" t="s">
        <v>58</v>
      </c>
      <c r="E1757" s="2" t="s">
        <v>406</v>
      </c>
      <c r="F1757" s="1"/>
      <c r="G1757" s="2">
        <v>4</v>
      </c>
      <c r="H1757" s="1"/>
      <c r="I1757" t="s">
        <v>0</v>
      </c>
      <c r="J1757" t="s">
        <v>65</v>
      </c>
      <c r="K1757" t="s">
        <v>27</v>
      </c>
      <c r="L1757" t="s">
        <v>70</v>
      </c>
      <c r="M1757" s="3" t="s">
        <v>1590</v>
      </c>
    </row>
    <row r="1758" spans="1:13" hidden="1" x14ac:dyDescent="0.25">
      <c r="A1758" s="1" t="str">
        <f>VLOOKUP(Table2[[#This Row],[Prod Line ]],Lists!A:E,5,0)</f>
        <v>c</v>
      </c>
      <c r="B1758" s="1">
        <v>44436</v>
      </c>
      <c r="C1758" s="1">
        <v>44435</v>
      </c>
      <c r="D1758" s="1" t="s">
        <v>60</v>
      </c>
      <c r="E1758" s="2" t="s">
        <v>404</v>
      </c>
      <c r="F1758" s="1"/>
      <c r="G1758" s="2">
        <v>28</v>
      </c>
      <c r="H1758" s="1"/>
      <c r="I1758" t="s">
        <v>1</v>
      </c>
      <c r="J1758" t="s">
        <v>2</v>
      </c>
      <c r="K1758" t="s">
        <v>378</v>
      </c>
      <c r="L1758" t="s">
        <v>72</v>
      </c>
      <c r="M1758" s="3" t="s">
        <v>1591</v>
      </c>
    </row>
    <row r="1759" spans="1:13" hidden="1" x14ac:dyDescent="0.25">
      <c r="A1759" s="1" t="str">
        <f>VLOOKUP(Table2[[#This Row],[Prod Line ]],Lists!A:E,5,0)</f>
        <v>b</v>
      </c>
      <c r="B1759" s="1">
        <v>44436</v>
      </c>
      <c r="C1759" s="1">
        <v>44435</v>
      </c>
      <c r="D1759" s="1" t="s">
        <v>58</v>
      </c>
      <c r="E1759" s="2" t="s">
        <v>404</v>
      </c>
      <c r="F1759" s="1"/>
      <c r="G1759" s="2">
        <v>15</v>
      </c>
      <c r="H1759" s="1"/>
      <c r="I1759" t="s">
        <v>1</v>
      </c>
      <c r="J1759" t="s">
        <v>64</v>
      </c>
      <c r="K1759" t="s">
        <v>21</v>
      </c>
      <c r="L1759" t="s">
        <v>72</v>
      </c>
      <c r="M1759" s="3" t="s">
        <v>1592</v>
      </c>
    </row>
    <row r="1760" spans="1:13" hidden="1" x14ac:dyDescent="0.25">
      <c r="A1760" s="1" t="str">
        <f>VLOOKUP(Table2[[#This Row],[Prod Line ]],Lists!A:E,5,0)</f>
        <v>b</v>
      </c>
      <c r="B1760" s="1">
        <v>44436</v>
      </c>
      <c r="C1760" s="1">
        <v>44435</v>
      </c>
      <c r="D1760" s="1" t="s">
        <v>58</v>
      </c>
      <c r="E1760" s="2" t="s">
        <v>404</v>
      </c>
      <c r="F1760" s="1"/>
      <c r="G1760" s="2">
        <v>8</v>
      </c>
      <c r="H1760" s="1"/>
      <c r="I1760" t="s">
        <v>1</v>
      </c>
      <c r="J1760" t="s">
        <v>64</v>
      </c>
      <c r="K1760" t="s">
        <v>21</v>
      </c>
      <c r="L1760" t="s">
        <v>441</v>
      </c>
      <c r="M1760" s="3" t="s">
        <v>1593</v>
      </c>
    </row>
    <row r="1761" spans="1:14" hidden="1" x14ac:dyDescent="0.25">
      <c r="A1761" s="1" t="str">
        <f>VLOOKUP(Table2[[#This Row],[Prod Line ]],Lists!A:E,5,0)</f>
        <v>b</v>
      </c>
      <c r="B1761" s="1">
        <v>44438</v>
      </c>
      <c r="C1761" s="1">
        <v>44436</v>
      </c>
      <c r="D1761" s="1" t="s">
        <v>58</v>
      </c>
      <c r="E1761" s="2" t="s">
        <v>404</v>
      </c>
      <c r="F1761" s="1"/>
      <c r="G1761" s="2">
        <v>5</v>
      </c>
      <c r="H1761" s="1"/>
      <c r="I1761" t="s">
        <v>1</v>
      </c>
      <c r="J1761" t="s">
        <v>2</v>
      </c>
      <c r="K1761" t="s">
        <v>19</v>
      </c>
      <c r="L1761" t="s">
        <v>349</v>
      </c>
      <c r="M1761" s="3" t="s">
        <v>575</v>
      </c>
    </row>
    <row r="1762" spans="1:14" hidden="1" x14ac:dyDescent="0.25">
      <c r="A1762" s="1" t="str">
        <f>VLOOKUP(Table2[[#This Row],[Prod Line ]],Lists!A:E,5,0)</f>
        <v>b</v>
      </c>
      <c r="B1762" s="1">
        <v>44438</v>
      </c>
      <c r="C1762" s="1">
        <v>44436</v>
      </c>
      <c r="D1762" s="1" t="s">
        <v>58</v>
      </c>
      <c r="E1762" s="2" t="s">
        <v>404</v>
      </c>
      <c r="F1762" s="1"/>
      <c r="G1762" s="2">
        <v>5</v>
      </c>
      <c r="H1762" s="1"/>
      <c r="I1762" t="s">
        <v>1</v>
      </c>
      <c r="J1762" t="s">
        <v>64</v>
      </c>
      <c r="K1762" t="s">
        <v>24</v>
      </c>
      <c r="L1762" t="s">
        <v>345</v>
      </c>
      <c r="M1762" s="3" t="s">
        <v>1594</v>
      </c>
    </row>
    <row r="1763" spans="1:14" hidden="1" x14ac:dyDescent="0.25">
      <c r="A1763" s="1" t="str">
        <f>VLOOKUP(Table2[[#This Row],[Prod Line ]],Lists!A:E,5,0)</f>
        <v>b</v>
      </c>
      <c r="B1763" s="1">
        <v>44438</v>
      </c>
      <c r="C1763" s="1">
        <v>44436</v>
      </c>
      <c r="D1763" s="1" t="s">
        <v>58</v>
      </c>
      <c r="E1763" s="2" t="s">
        <v>774</v>
      </c>
      <c r="F1763" s="1"/>
      <c r="G1763" s="2">
        <v>30</v>
      </c>
      <c r="H1763" s="1"/>
      <c r="I1763" t="s">
        <v>1</v>
      </c>
      <c r="J1763" t="s">
        <v>26</v>
      </c>
      <c r="K1763" t="s">
        <v>25</v>
      </c>
      <c r="L1763" t="s">
        <v>441</v>
      </c>
      <c r="M1763" s="3" t="s">
        <v>1589</v>
      </c>
    </row>
    <row r="1764" spans="1:14" hidden="1" x14ac:dyDescent="0.25">
      <c r="A1764" s="1" t="str">
        <f>VLOOKUP(Table2[[#This Row],[Prod Line ]],Lists!A:E,5,0)</f>
        <v>c</v>
      </c>
      <c r="B1764" s="1">
        <v>44438</v>
      </c>
      <c r="C1764" s="1">
        <v>44436</v>
      </c>
      <c r="D1764" s="1" t="s">
        <v>60</v>
      </c>
      <c r="E1764" s="2" t="s">
        <v>404</v>
      </c>
      <c r="F1764" s="1"/>
      <c r="G1764" s="2">
        <v>12</v>
      </c>
      <c r="H1764" s="1"/>
      <c r="I1764" t="s">
        <v>1</v>
      </c>
      <c r="J1764" t="s">
        <v>64</v>
      </c>
      <c r="K1764" t="s">
        <v>379</v>
      </c>
      <c r="L1764" t="s">
        <v>407</v>
      </c>
      <c r="M1764" s="3" t="s">
        <v>833</v>
      </c>
    </row>
    <row r="1765" spans="1:14" hidden="1" x14ac:dyDescent="0.25">
      <c r="A1765" s="1" t="str">
        <f>VLOOKUP(Table2[[#This Row],[Prod Line ]],Lists!A:E,5,0)</f>
        <v>c</v>
      </c>
      <c r="B1765" s="1">
        <v>44438</v>
      </c>
      <c r="C1765" s="1">
        <v>44436</v>
      </c>
      <c r="D1765" s="1" t="s">
        <v>60</v>
      </c>
      <c r="E1765" s="2" t="s">
        <v>774</v>
      </c>
      <c r="F1765" s="1"/>
      <c r="G1765" s="2">
        <v>18</v>
      </c>
      <c r="H1765" s="1"/>
      <c r="I1765" t="s">
        <v>1</v>
      </c>
      <c r="J1765" t="s">
        <v>2</v>
      </c>
      <c r="K1765" t="s">
        <v>378</v>
      </c>
      <c r="L1765" t="s">
        <v>349</v>
      </c>
      <c r="M1765" s="3" t="s">
        <v>575</v>
      </c>
    </row>
    <row r="1766" spans="1:14" hidden="1" x14ac:dyDescent="0.25">
      <c r="A1766" s="1" t="str">
        <f>VLOOKUP(Table2[[#This Row],[Prod Line ]],Lists!A:E,5,0)</f>
        <v>d</v>
      </c>
      <c r="B1766" s="1">
        <v>44438</v>
      </c>
      <c r="C1766" s="1">
        <v>44436</v>
      </c>
      <c r="D1766" s="1" t="s">
        <v>62</v>
      </c>
      <c r="E1766" s="2" t="s">
        <v>406</v>
      </c>
      <c r="F1766" s="1"/>
      <c r="G1766" s="2">
        <v>100</v>
      </c>
      <c r="H1766" s="1"/>
      <c r="I1766" t="s">
        <v>0</v>
      </c>
      <c r="J1766" t="s">
        <v>2</v>
      </c>
      <c r="K1766" t="s">
        <v>392</v>
      </c>
      <c r="L1766" t="s">
        <v>70</v>
      </c>
      <c r="M1766" s="3" t="s">
        <v>1595</v>
      </c>
      <c r="N1766" s="20" t="s">
        <v>1642</v>
      </c>
    </row>
    <row r="1767" spans="1:14" hidden="1" x14ac:dyDescent="0.25">
      <c r="A1767" s="1" t="str">
        <f>VLOOKUP(Table2[[#This Row],[Prod Line ]],Lists!A:E,5,0)</f>
        <v>d</v>
      </c>
      <c r="B1767" s="1">
        <v>44438</v>
      </c>
      <c r="C1767" s="1">
        <v>44436</v>
      </c>
      <c r="D1767" s="1" t="s">
        <v>62</v>
      </c>
      <c r="E1767" s="2" t="s">
        <v>404</v>
      </c>
      <c r="F1767" s="1"/>
      <c r="G1767" s="2">
        <v>10</v>
      </c>
      <c r="H1767" s="1"/>
      <c r="I1767" t="s">
        <v>1</v>
      </c>
      <c r="J1767" t="s">
        <v>5</v>
      </c>
      <c r="K1767" t="s">
        <v>397</v>
      </c>
      <c r="L1767" t="s">
        <v>407</v>
      </c>
      <c r="M1767" s="3" t="s">
        <v>1217</v>
      </c>
    </row>
    <row r="1768" spans="1:14" hidden="1" x14ac:dyDescent="0.25">
      <c r="A1768" s="1" t="str">
        <f>VLOOKUP(Table2[[#This Row],[Prod Line ]],Lists!A:E,5,0)</f>
        <v>d</v>
      </c>
      <c r="B1768" s="1">
        <v>44438</v>
      </c>
      <c r="C1768" s="1">
        <v>44436</v>
      </c>
      <c r="D1768" s="1" t="s">
        <v>62</v>
      </c>
      <c r="E1768" s="2" t="s">
        <v>404</v>
      </c>
      <c r="F1768" s="1"/>
      <c r="G1768" s="2">
        <v>5</v>
      </c>
      <c r="H1768" s="1"/>
      <c r="I1768" t="s">
        <v>0</v>
      </c>
      <c r="J1768" t="s">
        <v>2</v>
      </c>
      <c r="K1768" t="s">
        <v>14</v>
      </c>
      <c r="L1768" t="s">
        <v>70</v>
      </c>
      <c r="M1768" s="3" t="s">
        <v>1466</v>
      </c>
    </row>
    <row r="1769" spans="1:14" hidden="1" x14ac:dyDescent="0.25">
      <c r="A1769" s="1" t="str">
        <f>VLOOKUP(Table2[[#This Row],[Prod Line ]],Lists!A:E,5,0)</f>
        <v>d</v>
      </c>
      <c r="B1769" s="1">
        <v>44438</v>
      </c>
      <c r="C1769" s="1">
        <v>44436</v>
      </c>
      <c r="D1769" s="1" t="s">
        <v>62</v>
      </c>
      <c r="E1769" s="2" t="s">
        <v>406</v>
      </c>
      <c r="F1769" s="1"/>
      <c r="G1769" s="2">
        <v>20</v>
      </c>
      <c r="H1769" s="1"/>
      <c r="I1769" t="s">
        <v>1</v>
      </c>
      <c r="J1769" t="s">
        <v>2</v>
      </c>
      <c r="K1769" t="s">
        <v>19</v>
      </c>
      <c r="L1769" t="s">
        <v>407</v>
      </c>
      <c r="M1769" s="3" t="s">
        <v>834</v>
      </c>
    </row>
    <row r="1770" spans="1:14" hidden="1" x14ac:dyDescent="0.25">
      <c r="A1770" s="1" t="str">
        <f>VLOOKUP(Table2[[#This Row],[Prod Line ]],Lists!A:E,5,0)</f>
        <v>b</v>
      </c>
      <c r="B1770" s="1">
        <v>44439</v>
      </c>
      <c r="C1770" s="1">
        <v>44437</v>
      </c>
      <c r="D1770" s="1" t="s">
        <v>58</v>
      </c>
      <c r="E1770" s="2" t="s">
        <v>405</v>
      </c>
      <c r="F1770" s="1"/>
      <c r="G1770" s="2">
        <v>13</v>
      </c>
      <c r="H1770" s="1"/>
      <c r="I1770" t="s">
        <v>1</v>
      </c>
      <c r="J1770" t="s">
        <v>5</v>
      </c>
      <c r="K1770" t="s">
        <v>37</v>
      </c>
      <c r="L1770" t="s">
        <v>407</v>
      </c>
      <c r="M1770" s="3" t="s">
        <v>48</v>
      </c>
    </row>
    <row r="1771" spans="1:14" hidden="1" x14ac:dyDescent="0.25">
      <c r="A1771" s="1" t="str">
        <f>VLOOKUP(Table2[[#This Row],[Prod Line ]],Lists!A:E,5,0)</f>
        <v>c</v>
      </c>
      <c r="B1771" s="1">
        <v>44439</v>
      </c>
      <c r="C1771" s="1">
        <v>44437</v>
      </c>
      <c r="D1771" s="1" t="s">
        <v>60</v>
      </c>
      <c r="E1771" s="2" t="s">
        <v>404</v>
      </c>
      <c r="F1771" s="1"/>
      <c r="G1771" s="2">
        <v>23</v>
      </c>
      <c r="H1771" s="1"/>
      <c r="I1771" t="s">
        <v>1</v>
      </c>
      <c r="J1771" t="s">
        <v>64</v>
      </c>
      <c r="K1771" t="s">
        <v>379</v>
      </c>
      <c r="L1771" t="s">
        <v>407</v>
      </c>
      <c r="M1771" s="3" t="s">
        <v>833</v>
      </c>
    </row>
    <row r="1772" spans="1:14" hidden="1" x14ac:dyDescent="0.25">
      <c r="A1772" s="1" t="str">
        <f>VLOOKUP(Table2[[#This Row],[Prod Line ]],Lists!A:E,5,0)</f>
        <v>c</v>
      </c>
      <c r="B1772" s="1">
        <v>44439</v>
      </c>
      <c r="C1772" s="1">
        <v>44437</v>
      </c>
      <c r="D1772" s="1" t="s">
        <v>60</v>
      </c>
      <c r="E1772" s="2" t="s">
        <v>404</v>
      </c>
      <c r="F1772" s="1"/>
      <c r="G1772" s="2">
        <v>17</v>
      </c>
      <c r="H1772" s="1"/>
      <c r="I1772" t="s">
        <v>1</v>
      </c>
      <c r="J1772" t="s">
        <v>2</v>
      </c>
      <c r="K1772" t="s">
        <v>378</v>
      </c>
      <c r="L1772" t="s">
        <v>349</v>
      </c>
      <c r="M1772" s="3" t="s">
        <v>575</v>
      </c>
    </row>
    <row r="1773" spans="1:14" hidden="1" x14ac:dyDescent="0.25">
      <c r="A1773" s="1" t="str">
        <f>VLOOKUP(Table2[[#This Row],[Prod Line ]],Lists!A:E,5,0)</f>
        <v>d</v>
      </c>
      <c r="B1773" s="1">
        <v>44439</v>
      </c>
      <c r="C1773" s="1">
        <v>44437</v>
      </c>
      <c r="D1773" s="1" t="s">
        <v>62</v>
      </c>
      <c r="E1773" s="2" t="s">
        <v>404</v>
      </c>
      <c r="F1773" s="1"/>
      <c r="G1773" s="2">
        <v>480</v>
      </c>
      <c r="H1773" s="1"/>
      <c r="I1773" t="s">
        <v>0</v>
      </c>
      <c r="J1773" t="s">
        <v>2</v>
      </c>
      <c r="K1773" t="s">
        <v>392</v>
      </c>
      <c r="L1773" t="s">
        <v>70</v>
      </c>
      <c r="M1773" s="3" t="s">
        <v>1613</v>
      </c>
      <c r="N1773" s="20" t="s">
        <v>1643</v>
      </c>
    </row>
    <row r="1774" spans="1:14" hidden="1" x14ac:dyDescent="0.25">
      <c r="A1774" s="1" t="str">
        <f>VLOOKUP(Table2[[#This Row],[Prod Line ]],Lists!A:E,5,0)</f>
        <v>d</v>
      </c>
      <c r="B1774" s="1">
        <v>44439</v>
      </c>
      <c r="C1774" s="1">
        <v>44437</v>
      </c>
      <c r="D1774" s="1" t="s">
        <v>62</v>
      </c>
      <c r="E1774" s="2" t="s">
        <v>404</v>
      </c>
      <c r="F1774" s="1"/>
      <c r="G1774" s="2">
        <v>23</v>
      </c>
      <c r="H1774" s="1"/>
      <c r="I1774" t="s">
        <v>0</v>
      </c>
      <c r="J1774" t="s">
        <v>64</v>
      </c>
      <c r="K1774" t="s">
        <v>379</v>
      </c>
      <c r="L1774" t="s">
        <v>70</v>
      </c>
      <c r="M1774" s="3" t="s">
        <v>1597</v>
      </c>
    </row>
    <row r="1775" spans="1:14" hidden="1" x14ac:dyDescent="0.25">
      <c r="A1775" s="1" t="str">
        <f>VLOOKUP(Table2[[#This Row],[Prod Line ]],Lists!A:E,5,0)</f>
        <v>d</v>
      </c>
      <c r="B1775" s="1">
        <v>44439</v>
      </c>
      <c r="C1775" s="1">
        <v>44437</v>
      </c>
      <c r="D1775" s="1" t="s">
        <v>62</v>
      </c>
      <c r="E1775" s="2" t="s">
        <v>405</v>
      </c>
      <c r="F1775" s="1"/>
      <c r="G1775" s="2">
        <v>10</v>
      </c>
      <c r="H1775" s="1"/>
      <c r="I1775" t="s">
        <v>1</v>
      </c>
      <c r="J1775" t="s">
        <v>2</v>
      </c>
      <c r="K1775" t="s">
        <v>19</v>
      </c>
      <c r="L1775" t="s">
        <v>349</v>
      </c>
      <c r="M1775" s="3" t="s">
        <v>575</v>
      </c>
    </row>
    <row r="1776" spans="1:14" hidden="1" x14ac:dyDescent="0.25">
      <c r="A1776" s="1" t="str">
        <f>VLOOKUP(Table2[[#This Row],[Prod Line ]],Lists!A:E,5,0)</f>
        <v>b</v>
      </c>
      <c r="B1776" s="1">
        <v>44439</v>
      </c>
      <c r="C1776" s="1">
        <v>44437</v>
      </c>
      <c r="D1776" s="1" t="s">
        <v>58</v>
      </c>
      <c r="E1776" s="2" t="s">
        <v>406</v>
      </c>
      <c r="F1776" s="1"/>
      <c r="G1776" s="2">
        <v>23</v>
      </c>
      <c r="H1776" s="1"/>
      <c r="I1776" t="s">
        <v>1</v>
      </c>
      <c r="J1776" t="s">
        <v>26</v>
      </c>
      <c r="K1776" t="s">
        <v>25</v>
      </c>
      <c r="L1776" t="s">
        <v>441</v>
      </c>
      <c r="M1776" s="3"/>
    </row>
    <row r="1777" spans="1:14" hidden="1" x14ac:dyDescent="0.25">
      <c r="A1777" s="1" t="str">
        <f>VLOOKUP(Table2[[#This Row],[Prod Line ]],Lists!A:E,5,0)</f>
        <v>b</v>
      </c>
      <c r="B1777" s="1">
        <v>44439</v>
      </c>
      <c r="C1777" s="1">
        <v>44437</v>
      </c>
      <c r="D1777" s="1" t="s">
        <v>58</v>
      </c>
      <c r="E1777" s="2" t="s">
        <v>404</v>
      </c>
      <c r="F1777" s="1"/>
      <c r="G1777" s="2">
        <v>12</v>
      </c>
      <c r="H1777" s="1"/>
      <c r="I1777" t="s">
        <v>1</v>
      </c>
      <c r="J1777" t="s">
        <v>26</v>
      </c>
      <c r="K1777" t="s">
        <v>25</v>
      </c>
      <c r="L1777" t="s">
        <v>441</v>
      </c>
      <c r="M1777" s="3"/>
    </row>
    <row r="1778" spans="1:14" hidden="1" x14ac:dyDescent="0.25">
      <c r="A1778" s="1" t="str">
        <f>VLOOKUP(Table2[[#This Row],[Prod Line ]],Lists!A:E,5,0)</f>
        <v>b</v>
      </c>
      <c r="B1778" s="1">
        <v>44439</v>
      </c>
      <c r="C1778" s="1">
        <v>44438</v>
      </c>
      <c r="D1778" s="1" t="s">
        <v>58</v>
      </c>
      <c r="E1778" s="2" t="s">
        <v>404</v>
      </c>
      <c r="F1778" s="1"/>
      <c r="G1778" s="2">
        <v>161</v>
      </c>
      <c r="H1778" s="1"/>
      <c r="I1778" t="s">
        <v>0</v>
      </c>
      <c r="J1778" t="s">
        <v>2</v>
      </c>
      <c r="K1778" t="s">
        <v>14</v>
      </c>
      <c r="L1778" t="s">
        <v>70</v>
      </c>
      <c r="M1778" s="3" t="s">
        <v>1598</v>
      </c>
      <c r="N1778" s="20" t="s">
        <v>1644</v>
      </c>
    </row>
    <row r="1779" spans="1:14" hidden="1" x14ac:dyDescent="0.25">
      <c r="A1779" s="1" t="str">
        <f>VLOOKUP(Table2[[#This Row],[Prod Line ]],Lists!A:E,5,0)</f>
        <v>d</v>
      </c>
      <c r="B1779" s="1">
        <v>44439</v>
      </c>
      <c r="C1779" s="1">
        <v>44438</v>
      </c>
      <c r="D1779" s="1" t="s">
        <v>62</v>
      </c>
      <c r="E1779" s="2" t="s">
        <v>404</v>
      </c>
      <c r="F1779" s="1"/>
      <c r="G1779" s="2">
        <v>125</v>
      </c>
      <c r="H1779" s="1"/>
      <c r="I1779" t="s">
        <v>0</v>
      </c>
      <c r="J1779" t="s">
        <v>2</v>
      </c>
      <c r="K1779" t="s">
        <v>14</v>
      </c>
      <c r="L1779" t="s">
        <v>70</v>
      </c>
      <c r="M1779" s="3" t="s">
        <v>1599</v>
      </c>
      <c r="N1779" s="20" t="s">
        <v>1644</v>
      </c>
    </row>
    <row r="1780" spans="1:14" hidden="1" x14ac:dyDescent="0.25">
      <c r="A1780" s="1" t="str">
        <f>VLOOKUP(Table2[[#This Row],[Prod Line ]],Lists!A:E,5,0)</f>
        <v>b</v>
      </c>
      <c r="B1780" s="1">
        <v>44441</v>
      </c>
      <c r="C1780" s="1">
        <v>44439</v>
      </c>
      <c r="D1780" s="1" t="s">
        <v>58</v>
      </c>
      <c r="E1780" s="2" t="s">
        <v>406</v>
      </c>
      <c r="F1780" s="1"/>
      <c r="G1780" s="2">
        <v>6</v>
      </c>
      <c r="H1780" s="1"/>
      <c r="I1780" t="s">
        <v>0</v>
      </c>
      <c r="J1780" t="s">
        <v>65</v>
      </c>
      <c r="K1780" t="s">
        <v>3</v>
      </c>
      <c r="L1780" t="s">
        <v>70</v>
      </c>
      <c r="M1780" s="3" t="s">
        <v>1600</v>
      </c>
    </row>
    <row r="1781" spans="1:14" hidden="1" x14ac:dyDescent="0.25">
      <c r="A1781" s="1" t="str">
        <f>VLOOKUP(Table2[[#This Row],[Prod Line ]],Lists!A:E,5,0)</f>
        <v>b</v>
      </c>
      <c r="B1781" s="1">
        <v>44441</v>
      </c>
      <c r="C1781" s="1">
        <v>44439</v>
      </c>
      <c r="D1781" s="1" t="s">
        <v>58</v>
      </c>
      <c r="E1781" s="2" t="s">
        <v>406</v>
      </c>
      <c r="F1781" s="1"/>
      <c r="G1781" s="2">
        <v>10</v>
      </c>
      <c r="H1781" s="1"/>
      <c r="I1781" t="s">
        <v>1</v>
      </c>
      <c r="J1781" t="s">
        <v>64</v>
      </c>
      <c r="K1781" t="s">
        <v>21</v>
      </c>
      <c r="L1781" t="s">
        <v>441</v>
      </c>
      <c r="M1781" s="3"/>
    </row>
    <row r="1782" spans="1:14" hidden="1" x14ac:dyDescent="0.25">
      <c r="A1782" s="1" t="str">
        <f>VLOOKUP(Table2[[#This Row],[Prod Line ]],Lists!A:E,5,0)</f>
        <v>b</v>
      </c>
      <c r="B1782" s="1">
        <v>44441</v>
      </c>
      <c r="C1782" s="1">
        <v>44439</v>
      </c>
      <c r="D1782" s="1" t="s">
        <v>58</v>
      </c>
      <c r="E1782" s="2" t="s">
        <v>406</v>
      </c>
      <c r="F1782" s="1"/>
      <c r="G1782" s="2">
        <v>5</v>
      </c>
      <c r="H1782" s="1"/>
      <c r="I1782" t="s">
        <v>1</v>
      </c>
      <c r="J1782" t="s">
        <v>64</v>
      </c>
      <c r="K1782" t="s">
        <v>22</v>
      </c>
      <c r="L1782" t="s">
        <v>72</v>
      </c>
      <c r="M1782" s="3" t="s">
        <v>1601</v>
      </c>
    </row>
    <row r="1783" spans="1:14" hidden="1" x14ac:dyDescent="0.25">
      <c r="A1783" s="1" t="str">
        <f>VLOOKUP(Table2[[#This Row],[Prod Line ]],Lists!A:E,5,0)</f>
        <v>b</v>
      </c>
      <c r="B1783" s="1">
        <v>44441</v>
      </c>
      <c r="C1783" s="1">
        <v>44439</v>
      </c>
      <c r="D1783" s="1" t="s">
        <v>58</v>
      </c>
      <c r="E1783" s="2" t="s">
        <v>406</v>
      </c>
      <c r="F1783" s="1"/>
      <c r="G1783" s="2">
        <v>7</v>
      </c>
      <c r="H1783" s="1"/>
      <c r="I1783" t="s">
        <v>1</v>
      </c>
      <c r="J1783" t="s">
        <v>65</v>
      </c>
      <c r="K1783" t="s">
        <v>27</v>
      </c>
      <c r="L1783" t="s">
        <v>350</v>
      </c>
      <c r="M1783" s="3" t="s">
        <v>884</v>
      </c>
    </row>
    <row r="1784" spans="1:14" hidden="1" x14ac:dyDescent="0.25">
      <c r="A1784" s="1" t="str">
        <f>VLOOKUP(Table2[[#This Row],[Prod Line ]],Lists!A:E,5,0)</f>
        <v>c</v>
      </c>
      <c r="B1784" s="1">
        <v>44441</v>
      </c>
      <c r="C1784" s="1">
        <v>44439</v>
      </c>
      <c r="D1784" s="1" t="s">
        <v>60</v>
      </c>
      <c r="E1784" s="2" t="s">
        <v>404</v>
      </c>
      <c r="F1784" s="1"/>
      <c r="G1784" s="2">
        <v>28</v>
      </c>
      <c r="H1784" s="1"/>
      <c r="I1784" t="s">
        <v>1</v>
      </c>
      <c r="J1784" t="s">
        <v>2</v>
      </c>
      <c r="K1784" t="s">
        <v>377</v>
      </c>
      <c r="L1784" t="s">
        <v>407</v>
      </c>
      <c r="M1784" s="3" t="s">
        <v>759</v>
      </c>
    </row>
    <row r="1785" spans="1:14" hidden="1" x14ac:dyDescent="0.25">
      <c r="A1785" s="1" t="str">
        <f>VLOOKUP(Table2[[#This Row],[Prod Line ]],Lists!A:E,5,0)</f>
        <v>c</v>
      </c>
      <c r="B1785" s="1">
        <v>44441</v>
      </c>
      <c r="C1785" s="1">
        <v>44439</v>
      </c>
      <c r="D1785" s="1" t="s">
        <v>60</v>
      </c>
      <c r="E1785" s="2" t="s">
        <v>405</v>
      </c>
      <c r="F1785" s="1"/>
      <c r="G1785" s="2">
        <v>9</v>
      </c>
      <c r="H1785" s="1"/>
      <c r="I1785" t="s">
        <v>1</v>
      </c>
      <c r="J1785" t="s">
        <v>2</v>
      </c>
      <c r="K1785" t="s">
        <v>378</v>
      </c>
      <c r="L1785" t="s">
        <v>407</v>
      </c>
      <c r="M1785" s="3" t="s">
        <v>575</v>
      </c>
    </row>
    <row r="1786" spans="1:14" hidden="1" x14ac:dyDescent="0.25">
      <c r="A1786" s="1" t="str">
        <f>VLOOKUP(Table2[[#This Row],[Prod Line ]],Lists!A:E,5,0)</f>
        <v>b</v>
      </c>
      <c r="B1786" s="1">
        <v>44441</v>
      </c>
      <c r="C1786" s="1">
        <v>44439</v>
      </c>
      <c r="D1786" s="1" t="s">
        <v>58</v>
      </c>
      <c r="E1786" s="2" t="s">
        <v>406</v>
      </c>
      <c r="F1786" s="1"/>
      <c r="G1786" s="2">
        <v>4</v>
      </c>
      <c r="H1786" s="1"/>
      <c r="I1786" t="s">
        <v>0</v>
      </c>
      <c r="J1786" t="s">
        <v>65</v>
      </c>
      <c r="K1786" t="s">
        <v>27</v>
      </c>
      <c r="L1786" t="s">
        <v>70</v>
      </c>
      <c r="M1786" s="3" t="s">
        <v>1602</v>
      </c>
    </row>
    <row r="1787" spans="1:14" hidden="1" x14ac:dyDescent="0.25">
      <c r="A1787" s="1" t="str">
        <f>VLOOKUP(Table2[[#This Row],[Prod Line ]],Lists!A:E,5,0)</f>
        <v>b</v>
      </c>
      <c r="B1787" s="1">
        <v>44441</v>
      </c>
      <c r="C1787" s="1">
        <v>44439</v>
      </c>
      <c r="D1787" s="1" t="s">
        <v>58</v>
      </c>
      <c r="E1787" s="2" t="s">
        <v>406</v>
      </c>
      <c r="F1787" s="1"/>
      <c r="G1787" s="2">
        <v>26</v>
      </c>
      <c r="H1787" s="1"/>
      <c r="I1787" t="s">
        <v>1</v>
      </c>
      <c r="J1787" t="s">
        <v>65</v>
      </c>
      <c r="K1787" t="s">
        <v>27</v>
      </c>
      <c r="L1787" t="s">
        <v>441</v>
      </c>
      <c r="M1787" s="3" t="s">
        <v>1603</v>
      </c>
    </row>
    <row r="1788" spans="1:14" hidden="1" x14ac:dyDescent="0.25">
      <c r="A1788" s="1" t="str">
        <f>VLOOKUP(Table2[[#This Row],[Prod Line ]],Lists!A:E,5,0)</f>
        <v>d</v>
      </c>
      <c r="B1788" s="1">
        <v>44441</v>
      </c>
      <c r="C1788" s="1">
        <v>44439</v>
      </c>
      <c r="D1788" s="1" t="s">
        <v>62</v>
      </c>
      <c r="E1788" s="2" t="s">
        <v>404</v>
      </c>
      <c r="F1788" s="1"/>
      <c r="G1788" s="2">
        <v>25</v>
      </c>
      <c r="H1788" s="1"/>
      <c r="I1788" t="s">
        <v>0</v>
      </c>
      <c r="J1788" t="s">
        <v>64</v>
      </c>
      <c r="K1788" t="s">
        <v>379</v>
      </c>
      <c r="L1788" t="s">
        <v>70</v>
      </c>
      <c r="M1788" s="3" t="s">
        <v>1596</v>
      </c>
    </row>
    <row r="1789" spans="1:14" hidden="1" x14ac:dyDescent="0.25">
      <c r="A1789" s="1" t="str">
        <f>VLOOKUP(Table2[[#This Row],[Prod Line ]],Lists!A:E,5,0)</f>
        <v>d</v>
      </c>
      <c r="B1789" s="1">
        <v>44441</v>
      </c>
      <c r="C1789" s="1">
        <v>44439</v>
      </c>
      <c r="D1789" s="1" t="s">
        <v>62</v>
      </c>
      <c r="E1789" s="2" t="s">
        <v>406</v>
      </c>
      <c r="F1789" s="1"/>
      <c r="G1789" s="2">
        <v>20</v>
      </c>
      <c r="H1789" s="1"/>
      <c r="I1789" t="s">
        <v>0</v>
      </c>
      <c r="J1789" t="s">
        <v>66</v>
      </c>
      <c r="K1789" t="s">
        <v>4</v>
      </c>
      <c r="L1789" t="s">
        <v>70</v>
      </c>
      <c r="M1789" s="3" t="s">
        <v>1604</v>
      </c>
    </row>
    <row r="1790" spans="1:14" hidden="1" x14ac:dyDescent="0.25">
      <c r="A1790" s="1" t="str">
        <f>VLOOKUP(Table2[[#This Row],[Prod Line ]],Lists!A:E,5,0)</f>
        <v>d</v>
      </c>
      <c r="B1790" s="1">
        <v>44441</v>
      </c>
      <c r="C1790" s="1">
        <v>44439</v>
      </c>
      <c r="D1790" s="1" t="s">
        <v>62</v>
      </c>
      <c r="E1790" s="2" t="s">
        <v>406</v>
      </c>
      <c r="F1790" s="1"/>
      <c r="G1790" s="2">
        <v>20</v>
      </c>
      <c r="H1790" s="1"/>
      <c r="I1790" t="s">
        <v>1</v>
      </c>
      <c r="J1790" t="s">
        <v>2</v>
      </c>
      <c r="K1790" t="s">
        <v>19</v>
      </c>
      <c r="L1790" t="s">
        <v>407</v>
      </c>
      <c r="M1790" s="3" t="s">
        <v>1605</v>
      </c>
    </row>
    <row r="1791" spans="1:14" hidden="1" x14ac:dyDescent="0.25">
      <c r="A1791" s="1" t="str">
        <f>VLOOKUP(Table2[[#This Row],[Prod Line ]],Lists!A:E,5,0)</f>
        <v>d</v>
      </c>
      <c r="B1791" s="1">
        <v>44441</v>
      </c>
      <c r="C1791" s="1">
        <v>44439</v>
      </c>
      <c r="D1791" s="1" t="s">
        <v>62</v>
      </c>
      <c r="E1791" s="2" t="s">
        <v>406</v>
      </c>
      <c r="F1791" s="1"/>
      <c r="G1791" s="2">
        <v>24</v>
      </c>
      <c r="H1791" s="1"/>
      <c r="I1791" t="s">
        <v>1</v>
      </c>
      <c r="J1791" t="s">
        <v>2</v>
      </c>
      <c r="K1791" t="s">
        <v>19</v>
      </c>
      <c r="L1791" t="s">
        <v>407</v>
      </c>
      <c r="M1791" s="3" t="s">
        <v>1606</v>
      </c>
    </row>
    <row r="1792" spans="1:14" hidden="1" x14ac:dyDescent="0.25">
      <c r="A1792" s="1" t="str">
        <f>VLOOKUP(Table2[[#This Row],[Prod Line ]],Lists!A:E,5,0)</f>
        <v>a</v>
      </c>
      <c r="B1792" s="1">
        <v>44442</v>
      </c>
      <c r="C1792" s="1">
        <v>44440</v>
      </c>
      <c r="D1792" s="1" t="s">
        <v>56</v>
      </c>
      <c r="E1792" s="2" t="s">
        <v>404</v>
      </c>
      <c r="F1792" s="1"/>
      <c r="G1792" s="2">
        <v>12</v>
      </c>
      <c r="H1792" s="1"/>
      <c r="I1792" t="s">
        <v>0</v>
      </c>
      <c r="J1792" t="s">
        <v>64</v>
      </c>
      <c r="K1792" t="s">
        <v>364</v>
      </c>
      <c r="L1792" t="s">
        <v>70</v>
      </c>
      <c r="M1792" s="3" t="s">
        <v>1607</v>
      </c>
    </row>
    <row r="1793" spans="1:13" hidden="1" x14ac:dyDescent="0.25">
      <c r="A1793" s="1" t="str">
        <f>VLOOKUP(Table2[[#This Row],[Prod Line ]],Lists!A:E,5,0)</f>
        <v>a</v>
      </c>
      <c r="B1793" s="1">
        <v>44442</v>
      </c>
      <c r="C1793" s="1">
        <v>44440</v>
      </c>
      <c r="D1793" s="1" t="s">
        <v>56</v>
      </c>
      <c r="E1793" s="2" t="s">
        <v>404</v>
      </c>
      <c r="F1793" s="1"/>
      <c r="G1793" s="2">
        <v>40</v>
      </c>
      <c r="H1793" s="1"/>
      <c r="I1793" t="s">
        <v>0</v>
      </c>
      <c r="J1793" t="s">
        <v>64</v>
      </c>
      <c r="K1793" t="s">
        <v>363</v>
      </c>
      <c r="L1793" t="s">
        <v>70</v>
      </c>
      <c r="M1793" s="3" t="s">
        <v>1608</v>
      </c>
    </row>
    <row r="1794" spans="1:13" hidden="1" x14ac:dyDescent="0.25">
      <c r="A1794" s="1" t="str">
        <f>VLOOKUP(Table2[[#This Row],[Prod Line ]],Lists!A:E,5,0)</f>
        <v>a</v>
      </c>
      <c r="B1794" s="1">
        <v>44442</v>
      </c>
      <c r="C1794" s="1">
        <v>44440</v>
      </c>
      <c r="D1794" s="1" t="s">
        <v>56</v>
      </c>
      <c r="E1794" s="2" t="s">
        <v>404</v>
      </c>
      <c r="F1794" s="1"/>
      <c r="G1794" s="2">
        <v>28</v>
      </c>
      <c r="H1794" s="1"/>
      <c r="I1794" t="s">
        <v>1</v>
      </c>
      <c r="J1794" t="s">
        <v>64</v>
      </c>
      <c r="K1794" t="s">
        <v>366</v>
      </c>
      <c r="L1794" t="s">
        <v>350</v>
      </c>
      <c r="M1794" s="3" t="s">
        <v>1590</v>
      </c>
    </row>
    <row r="1795" spans="1:13" hidden="1" x14ac:dyDescent="0.25">
      <c r="A1795" s="1" t="str">
        <f>VLOOKUP(Table2[[#This Row],[Prod Line ]],Lists!A:E,5,0)</f>
        <v>a</v>
      </c>
      <c r="B1795" s="1">
        <v>44442</v>
      </c>
      <c r="C1795" s="1">
        <v>44440</v>
      </c>
      <c r="D1795" s="1" t="s">
        <v>56</v>
      </c>
      <c r="E1795" s="2" t="s">
        <v>404</v>
      </c>
      <c r="F1795" s="1"/>
      <c r="G1795" s="2">
        <v>10</v>
      </c>
      <c r="H1795" s="1"/>
      <c r="I1795" t="s">
        <v>1</v>
      </c>
      <c r="J1795" t="s">
        <v>64</v>
      </c>
      <c r="K1795" t="s">
        <v>370</v>
      </c>
      <c r="L1795" t="s">
        <v>407</v>
      </c>
      <c r="M1795" s="3" t="s">
        <v>939</v>
      </c>
    </row>
    <row r="1796" spans="1:13" hidden="1" x14ac:dyDescent="0.25">
      <c r="A1796" s="1" t="str">
        <f>VLOOKUP(Table2[[#This Row],[Prod Line ]],Lists!A:E,5,0)</f>
        <v>a</v>
      </c>
      <c r="B1796" s="1">
        <v>44442</v>
      </c>
      <c r="C1796" s="1">
        <v>44440</v>
      </c>
      <c r="D1796" s="1" t="s">
        <v>56</v>
      </c>
      <c r="E1796" s="2" t="s">
        <v>404</v>
      </c>
      <c r="F1796" s="1"/>
      <c r="G1796" s="2">
        <v>22</v>
      </c>
      <c r="H1796" s="1"/>
      <c r="I1796" t="s">
        <v>1</v>
      </c>
      <c r="J1796" t="s">
        <v>64</v>
      </c>
      <c r="K1796" t="s">
        <v>370</v>
      </c>
      <c r="L1796" t="s">
        <v>407</v>
      </c>
      <c r="M1796" s="3" t="s">
        <v>712</v>
      </c>
    </row>
    <row r="1797" spans="1:13" hidden="1" x14ac:dyDescent="0.25">
      <c r="A1797" s="1" t="str">
        <f>VLOOKUP(Table2[[#This Row],[Prod Line ]],Lists!A:E,5,0)</f>
        <v>b</v>
      </c>
      <c r="B1797" s="1">
        <v>44442</v>
      </c>
      <c r="C1797" s="1">
        <v>44440</v>
      </c>
      <c r="D1797" s="1" t="s">
        <v>58</v>
      </c>
      <c r="E1797" s="2" t="s">
        <v>404</v>
      </c>
      <c r="F1797" s="1"/>
      <c r="G1797" s="2">
        <v>4</v>
      </c>
      <c r="H1797" s="1"/>
      <c r="I1797" t="s">
        <v>1</v>
      </c>
      <c r="J1797" t="s">
        <v>65</v>
      </c>
      <c r="K1797" t="s">
        <v>27</v>
      </c>
      <c r="L1797" t="s">
        <v>441</v>
      </c>
      <c r="M1797" s="3" t="s">
        <v>514</v>
      </c>
    </row>
    <row r="1798" spans="1:13" hidden="1" x14ac:dyDescent="0.25">
      <c r="A1798" s="1" t="str">
        <f>VLOOKUP(Table2[[#This Row],[Prod Line ]],Lists!A:E,5,0)</f>
        <v>c</v>
      </c>
      <c r="B1798" s="1">
        <v>44442</v>
      </c>
      <c r="C1798" s="1">
        <v>44440</v>
      </c>
      <c r="D1798" s="1" t="s">
        <v>60</v>
      </c>
      <c r="E1798" s="2" t="s">
        <v>405</v>
      </c>
      <c r="F1798" s="1"/>
      <c r="G1798" s="2">
        <v>16</v>
      </c>
      <c r="H1798" s="1"/>
      <c r="I1798" t="s">
        <v>0</v>
      </c>
      <c r="J1798" t="s">
        <v>64</v>
      </c>
      <c r="K1798" t="s">
        <v>381</v>
      </c>
      <c r="L1798" t="s">
        <v>70</v>
      </c>
      <c r="M1798" s="3" t="s">
        <v>1609</v>
      </c>
    </row>
    <row r="1799" spans="1:13" hidden="1" x14ac:dyDescent="0.25">
      <c r="A1799" s="1" t="str">
        <f>VLOOKUP(Table2[[#This Row],[Prod Line ]],Lists!A:E,5,0)</f>
        <v>d</v>
      </c>
      <c r="B1799" s="1">
        <v>44442</v>
      </c>
      <c r="C1799" s="1">
        <v>44440</v>
      </c>
      <c r="D1799" s="1" t="s">
        <v>62</v>
      </c>
      <c r="E1799" s="2" t="s">
        <v>404</v>
      </c>
      <c r="F1799" s="1"/>
      <c r="G1799" s="2">
        <v>67</v>
      </c>
      <c r="H1799" s="1"/>
      <c r="I1799" t="s">
        <v>1</v>
      </c>
      <c r="J1799" t="s">
        <v>2</v>
      </c>
      <c r="K1799" t="s">
        <v>19</v>
      </c>
      <c r="L1799" t="s">
        <v>407</v>
      </c>
      <c r="M1799" s="3" t="s">
        <v>1261</v>
      </c>
    </row>
    <row r="1800" spans="1:13" hidden="1" x14ac:dyDescent="0.25">
      <c r="A1800" s="1" t="str">
        <f>VLOOKUP(Table2[[#This Row],[Prod Line ]],Lists!A:E,5,0)</f>
        <v>d</v>
      </c>
      <c r="B1800" s="1">
        <v>44442</v>
      </c>
      <c r="C1800" s="1">
        <v>44440</v>
      </c>
      <c r="D1800" s="1" t="s">
        <v>62</v>
      </c>
      <c r="E1800" s="2" t="s">
        <v>406</v>
      </c>
      <c r="F1800" s="1"/>
      <c r="G1800" s="2">
        <v>30</v>
      </c>
      <c r="H1800" s="1"/>
      <c r="I1800" t="s">
        <v>1</v>
      </c>
      <c r="J1800" t="s">
        <v>2</v>
      </c>
      <c r="K1800" t="s">
        <v>19</v>
      </c>
      <c r="L1800" t="s">
        <v>349</v>
      </c>
      <c r="M1800" s="3" t="s">
        <v>1345</v>
      </c>
    </row>
    <row r="1801" spans="1:13" hidden="1" x14ac:dyDescent="0.25">
      <c r="A1801" s="1" t="str">
        <f>VLOOKUP(Table2[[#This Row],[Prod Line ]],Lists!A:E,5,0)</f>
        <v>d</v>
      </c>
      <c r="B1801" s="1">
        <v>44442</v>
      </c>
      <c r="C1801" s="1">
        <v>44440</v>
      </c>
      <c r="D1801" s="1" t="s">
        <v>62</v>
      </c>
      <c r="E1801" s="2" t="s">
        <v>406</v>
      </c>
      <c r="F1801" s="1"/>
      <c r="G1801" s="2">
        <v>23</v>
      </c>
      <c r="H1801" s="1"/>
      <c r="I1801" t="s">
        <v>1</v>
      </c>
      <c r="J1801" t="s">
        <v>2</v>
      </c>
      <c r="K1801" t="s">
        <v>19</v>
      </c>
      <c r="L1801" t="s">
        <v>407</v>
      </c>
      <c r="M1801" s="3" t="s">
        <v>1610</v>
      </c>
    </row>
    <row r="1802" spans="1:13" hidden="1" x14ac:dyDescent="0.25">
      <c r="A1802" s="1" t="str">
        <f>VLOOKUP(Table2[[#This Row],[Prod Line ]],Lists!A:E,5,0)</f>
        <v>a</v>
      </c>
      <c r="B1802" s="1">
        <v>44443</v>
      </c>
      <c r="C1802" s="1">
        <v>44441</v>
      </c>
      <c r="D1802" s="1" t="s">
        <v>56</v>
      </c>
      <c r="E1802" s="2" t="s">
        <v>404</v>
      </c>
      <c r="F1802" s="1"/>
      <c r="G1802" s="2">
        <v>7</v>
      </c>
      <c r="H1802" s="1"/>
      <c r="I1802" t="s">
        <v>1</v>
      </c>
      <c r="J1802" t="s">
        <v>64</v>
      </c>
      <c r="K1802" t="s">
        <v>370</v>
      </c>
      <c r="L1802" t="s">
        <v>407</v>
      </c>
      <c r="M1802" s="3" t="s">
        <v>939</v>
      </c>
    </row>
    <row r="1803" spans="1:13" hidden="1" x14ac:dyDescent="0.25">
      <c r="A1803" s="1" t="str">
        <f>VLOOKUP(Table2[[#This Row],[Prod Line ]],Lists!A:E,5,0)</f>
        <v>a</v>
      </c>
      <c r="B1803" s="1">
        <v>44443</v>
      </c>
      <c r="C1803" s="1">
        <v>44441</v>
      </c>
      <c r="D1803" s="1" t="s">
        <v>56</v>
      </c>
      <c r="E1803" s="2" t="s">
        <v>405</v>
      </c>
      <c r="F1803" s="1"/>
      <c r="G1803" s="2">
        <v>25</v>
      </c>
      <c r="H1803" s="1"/>
      <c r="I1803" t="s">
        <v>0</v>
      </c>
      <c r="J1803" t="s">
        <v>5</v>
      </c>
      <c r="K1803" t="s">
        <v>375</v>
      </c>
      <c r="L1803" t="s">
        <v>70</v>
      </c>
      <c r="M1803" s="3" t="s">
        <v>1611</v>
      </c>
    </row>
    <row r="1804" spans="1:13" hidden="1" x14ac:dyDescent="0.25">
      <c r="A1804" s="1" t="str">
        <f>VLOOKUP(Table2[[#This Row],[Prod Line ]],Lists!A:E,5,0)</f>
        <v>b</v>
      </c>
      <c r="B1804" s="1">
        <v>44443</v>
      </c>
      <c r="C1804" s="1">
        <v>44441</v>
      </c>
      <c r="D1804" s="1" t="s">
        <v>58</v>
      </c>
      <c r="E1804" s="2" t="s">
        <v>406</v>
      </c>
      <c r="F1804" s="1"/>
      <c r="G1804" s="2">
        <v>35</v>
      </c>
      <c r="H1804" s="1"/>
      <c r="I1804" t="s">
        <v>0</v>
      </c>
      <c r="J1804" t="s">
        <v>5</v>
      </c>
      <c r="K1804" t="s">
        <v>36</v>
      </c>
      <c r="L1804" t="s">
        <v>70</v>
      </c>
      <c r="M1804" s="3" t="s">
        <v>1612</v>
      </c>
    </row>
    <row r="1805" spans="1:13" hidden="1" x14ac:dyDescent="0.25">
      <c r="A1805" s="1" t="str">
        <f>VLOOKUP(Table2[[#This Row],[Prod Line ]],Lists!A:E,5,0)</f>
        <v>b</v>
      </c>
      <c r="B1805" s="1">
        <v>44443</v>
      </c>
      <c r="C1805" s="1">
        <v>44441</v>
      </c>
      <c r="D1805" s="1" t="s">
        <v>58</v>
      </c>
      <c r="E1805" s="2" t="s">
        <v>405</v>
      </c>
      <c r="F1805" s="1"/>
      <c r="G1805" s="2">
        <v>4</v>
      </c>
      <c r="H1805" s="1"/>
      <c r="I1805" t="s">
        <v>1</v>
      </c>
      <c r="J1805" t="s">
        <v>65</v>
      </c>
      <c r="K1805" t="s">
        <v>27</v>
      </c>
      <c r="L1805" t="s">
        <v>441</v>
      </c>
      <c r="M1805" s="3" t="s">
        <v>514</v>
      </c>
    </row>
    <row r="1806" spans="1:13" hidden="1" x14ac:dyDescent="0.25">
      <c r="A1806" s="1" t="str">
        <f>VLOOKUP(Table2[[#This Row],[Prod Line ]],Lists!A:E,5,0)</f>
        <v>b</v>
      </c>
      <c r="B1806" s="1">
        <v>44443</v>
      </c>
      <c r="C1806" s="1">
        <v>44441</v>
      </c>
      <c r="D1806" s="1" t="s">
        <v>58</v>
      </c>
      <c r="E1806" s="2" t="s">
        <v>406</v>
      </c>
      <c r="F1806" s="1"/>
      <c r="G1806" s="2">
        <v>24</v>
      </c>
      <c r="H1806" s="1"/>
      <c r="I1806" t="s">
        <v>1</v>
      </c>
      <c r="J1806" t="s">
        <v>65</v>
      </c>
      <c r="K1806" t="s">
        <v>27</v>
      </c>
      <c r="L1806" t="s">
        <v>441</v>
      </c>
      <c r="M1806" s="3" t="s">
        <v>1614</v>
      </c>
    </row>
    <row r="1807" spans="1:13" hidden="1" x14ac:dyDescent="0.25">
      <c r="A1807" s="1" t="str">
        <f>VLOOKUP(Table2[[#This Row],[Prod Line ]],Lists!A:E,5,0)</f>
        <v>a</v>
      </c>
      <c r="B1807" s="1">
        <v>44446</v>
      </c>
      <c r="C1807" s="1">
        <v>44444</v>
      </c>
      <c r="D1807" s="1" t="s">
        <v>56</v>
      </c>
      <c r="E1807" s="2" t="s">
        <v>405</v>
      </c>
      <c r="F1807" s="1"/>
      <c r="G1807" s="2">
        <v>12</v>
      </c>
      <c r="H1807" s="1"/>
      <c r="I1807" t="s">
        <v>1</v>
      </c>
      <c r="J1807" t="s">
        <v>64</v>
      </c>
      <c r="K1807" t="s">
        <v>370</v>
      </c>
      <c r="L1807" t="s">
        <v>407</v>
      </c>
      <c r="M1807" s="3" t="s">
        <v>1615</v>
      </c>
    </row>
    <row r="1808" spans="1:13" hidden="1" x14ac:dyDescent="0.25">
      <c r="A1808" s="1" t="str">
        <f>VLOOKUP(Table2[[#This Row],[Prod Line ]],Lists!A:E,5,0)</f>
        <v>a</v>
      </c>
      <c r="B1808" s="1">
        <v>44446</v>
      </c>
      <c r="C1808" s="1">
        <v>44444</v>
      </c>
      <c r="D1808" s="1" t="s">
        <v>56</v>
      </c>
      <c r="E1808" s="2" t="s">
        <v>405</v>
      </c>
      <c r="F1808" s="1"/>
      <c r="G1808" s="2">
        <v>10</v>
      </c>
      <c r="H1808" s="1"/>
      <c r="I1808" t="s">
        <v>1</v>
      </c>
      <c r="J1808" t="s">
        <v>65</v>
      </c>
      <c r="K1808" t="s">
        <v>27</v>
      </c>
      <c r="L1808" t="s">
        <v>441</v>
      </c>
      <c r="M1808" s="3" t="s">
        <v>1616</v>
      </c>
    </row>
    <row r="1809" spans="1:13" hidden="1" x14ac:dyDescent="0.25">
      <c r="A1809" s="1" t="str">
        <f>VLOOKUP(Table2[[#This Row],[Prod Line ]],Lists!A:E,5,0)</f>
        <v>c</v>
      </c>
      <c r="B1809" s="1">
        <v>44446</v>
      </c>
      <c r="C1809" s="1">
        <v>44444</v>
      </c>
      <c r="D1809" s="1" t="s">
        <v>60</v>
      </c>
      <c r="E1809" s="2" t="s">
        <v>405</v>
      </c>
      <c r="F1809" s="1"/>
      <c r="G1809" s="2">
        <v>37</v>
      </c>
      <c r="H1809" s="1"/>
      <c r="I1809" t="s">
        <v>1</v>
      </c>
      <c r="J1809" t="s">
        <v>64</v>
      </c>
      <c r="K1809" t="s">
        <v>379</v>
      </c>
      <c r="L1809" t="s">
        <v>349</v>
      </c>
      <c r="M1809" s="3" t="s">
        <v>1617</v>
      </c>
    </row>
    <row r="1810" spans="1:13" hidden="1" x14ac:dyDescent="0.25">
      <c r="A1810" s="1" t="str">
        <f>VLOOKUP(Table2[[#This Row],[Prod Line ]],Lists!A:E,5,0)</f>
        <v>c</v>
      </c>
      <c r="B1810" s="1">
        <v>44446</v>
      </c>
      <c r="C1810" s="1">
        <v>44444</v>
      </c>
      <c r="D1810" s="1" t="s">
        <v>60</v>
      </c>
      <c r="E1810" s="2" t="s">
        <v>405</v>
      </c>
      <c r="F1810" s="1"/>
      <c r="G1810" s="2">
        <v>7</v>
      </c>
      <c r="H1810" s="1"/>
      <c r="I1810" t="s">
        <v>1</v>
      </c>
      <c r="J1810" t="s">
        <v>2</v>
      </c>
      <c r="K1810" t="s">
        <v>378</v>
      </c>
      <c r="L1810" t="s">
        <v>407</v>
      </c>
      <c r="M1810" s="3" t="s">
        <v>759</v>
      </c>
    </row>
    <row r="1811" spans="1:13" hidden="1" x14ac:dyDescent="0.25">
      <c r="A1811" s="1" t="str">
        <f>VLOOKUP(Table2[[#This Row],[Prod Line ]],Lists!A:E,5,0)</f>
        <v>b</v>
      </c>
      <c r="B1811" s="1">
        <v>44446</v>
      </c>
      <c r="C1811" s="1">
        <v>44443</v>
      </c>
      <c r="D1811" s="1" t="s">
        <v>58</v>
      </c>
      <c r="E1811" s="2" t="s">
        <v>406</v>
      </c>
      <c r="F1811" s="1"/>
      <c r="G1811" s="2">
        <v>10</v>
      </c>
      <c r="H1811" s="1"/>
      <c r="I1811" t="s">
        <v>67</v>
      </c>
      <c r="J1811" t="s">
        <v>64</v>
      </c>
      <c r="K1811" t="s">
        <v>21</v>
      </c>
      <c r="L1811" t="s">
        <v>346</v>
      </c>
      <c r="M1811" s="3" t="s">
        <v>1618</v>
      </c>
    </row>
    <row r="1812" spans="1:13" hidden="1" x14ac:dyDescent="0.25">
      <c r="A1812" s="1" t="str">
        <f>VLOOKUP(Table2[[#This Row],[Prod Line ]],Lists!A:E,5,0)</f>
        <v>b</v>
      </c>
      <c r="B1812" s="1">
        <v>44446</v>
      </c>
      <c r="C1812" s="1">
        <v>44444</v>
      </c>
      <c r="D1812" s="1" t="s">
        <v>58</v>
      </c>
      <c r="E1812" s="2" t="s">
        <v>406</v>
      </c>
      <c r="F1812" s="1"/>
      <c r="G1812" s="2">
        <v>12</v>
      </c>
      <c r="H1812" s="1"/>
      <c r="I1812" t="s">
        <v>0</v>
      </c>
      <c r="J1812" t="s">
        <v>66</v>
      </c>
      <c r="K1812" t="s">
        <v>4</v>
      </c>
      <c r="L1812" t="s">
        <v>70</v>
      </c>
      <c r="M1812" s="3" t="s">
        <v>922</v>
      </c>
    </row>
    <row r="1813" spans="1:13" hidden="1" x14ac:dyDescent="0.25">
      <c r="A1813" s="1" t="str">
        <f>VLOOKUP(Table2[[#This Row],[Prod Line ]],Lists!A:E,5,0)</f>
        <v>b</v>
      </c>
      <c r="B1813" s="1">
        <v>44446</v>
      </c>
      <c r="C1813" s="1">
        <v>44444</v>
      </c>
      <c r="D1813" s="1" t="s">
        <v>58</v>
      </c>
      <c r="E1813" s="2" t="s">
        <v>406</v>
      </c>
      <c r="F1813" s="1"/>
      <c r="G1813" s="2">
        <v>5</v>
      </c>
      <c r="H1813" s="1"/>
      <c r="I1813" t="s">
        <v>0</v>
      </c>
      <c r="J1813" t="s">
        <v>64</v>
      </c>
      <c r="K1813" t="s">
        <v>20</v>
      </c>
      <c r="L1813" t="s">
        <v>70</v>
      </c>
      <c r="M1813" s="3" t="s">
        <v>1619</v>
      </c>
    </row>
    <row r="1814" spans="1:13" hidden="1" x14ac:dyDescent="0.25">
      <c r="A1814" s="1" t="str">
        <f>VLOOKUP(Table2[[#This Row],[Prod Line ]],Lists!A:E,5,0)</f>
        <v>b</v>
      </c>
      <c r="B1814" s="1">
        <v>44446</v>
      </c>
      <c r="C1814" s="1">
        <v>44444</v>
      </c>
      <c r="D1814" s="1" t="s">
        <v>58</v>
      </c>
      <c r="E1814" s="2" t="s">
        <v>406</v>
      </c>
      <c r="F1814" s="1"/>
      <c r="G1814" s="2">
        <v>15</v>
      </c>
      <c r="H1814" s="1"/>
      <c r="I1814" t="s">
        <v>1</v>
      </c>
      <c r="J1814" t="s">
        <v>64</v>
      </c>
      <c r="K1814" t="s">
        <v>21</v>
      </c>
      <c r="L1814" t="s">
        <v>407</v>
      </c>
      <c r="M1814" s="3" t="s">
        <v>1620</v>
      </c>
    </row>
    <row r="1815" spans="1:13" hidden="1" x14ac:dyDescent="0.25">
      <c r="A1815" s="1" t="str">
        <f>VLOOKUP(Table2[[#This Row],[Prod Line ]],Lists!A:E,5,0)</f>
        <v>b</v>
      </c>
      <c r="B1815" s="1">
        <v>44446</v>
      </c>
      <c r="C1815" s="1">
        <v>44444</v>
      </c>
      <c r="D1815" s="1" t="s">
        <v>58</v>
      </c>
      <c r="E1815" s="2" t="s">
        <v>406</v>
      </c>
      <c r="F1815" s="1"/>
      <c r="G1815" s="2">
        <v>10</v>
      </c>
      <c r="H1815" s="1"/>
      <c r="I1815" t="s">
        <v>1</v>
      </c>
      <c r="J1815" t="s">
        <v>64</v>
      </c>
      <c r="K1815" t="s">
        <v>21</v>
      </c>
      <c r="L1815" t="s">
        <v>407</v>
      </c>
      <c r="M1815" s="3" t="s">
        <v>1621</v>
      </c>
    </row>
    <row r="1816" spans="1:13" hidden="1" x14ac:dyDescent="0.25">
      <c r="A1816" s="1" t="str">
        <f>VLOOKUP(Table2[[#This Row],[Prod Line ]],Lists!A:E,5,0)</f>
        <v>b</v>
      </c>
      <c r="B1816" s="1">
        <v>44446</v>
      </c>
      <c r="C1816" s="1">
        <v>44444</v>
      </c>
      <c r="D1816" s="1" t="s">
        <v>58</v>
      </c>
      <c r="E1816" s="2" t="s">
        <v>406</v>
      </c>
      <c r="F1816" s="1"/>
      <c r="G1816" s="2">
        <v>5</v>
      </c>
      <c r="H1816" s="1"/>
      <c r="I1816" t="s">
        <v>1</v>
      </c>
      <c r="J1816" t="s">
        <v>65</v>
      </c>
      <c r="K1816" t="s">
        <v>27</v>
      </c>
      <c r="L1816" t="s">
        <v>441</v>
      </c>
      <c r="M1816" s="3" t="s">
        <v>612</v>
      </c>
    </row>
    <row r="1817" spans="1:13" hidden="1" x14ac:dyDescent="0.25">
      <c r="A1817" s="1" t="str">
        <f>VLOOKUP(Table2[[#This Row],[Prod Line ]],Lists!A:E,5,0)</f>
        <v>b</v>
      </c>
      <c r="B1817" s="1">
        <v>44446</v>
      </c>
      <c r="C1817" s="1">
        <v>44444</v>
      </c>
      <c r="D1817" s="1" t="s">
        <v>58</v>
      </c>
      <c r="E1817" s="2" t="s">
        <v>404</v>
      </c>
      <c r="F1817" s="1"/>
      <c r="G1817" s="2">
        <v>9</v>
      </c>
      <c r="H1817" s="1"/>
      <c r="I1817" t="s">
        <v>1</v>
      </c>
      <c r="J1817" t="s">
        <v>65</v>
      </c>
      <c r="K1817" t="s">
        <v>3</v>
      </c>
      <c r="L1817" t="s">
        <v>441</v>
      </c>
      <c r="M1817" s="3" t="s">
        <v>1622</v>
      </c>
    </row>
    <row r="1818" spans="1:13" hidden="1" x14ac:dyDescent="0.25">
      <c r="A1818" s="1" t="str">
        <f>VLOOKUP(Table2[[#This Row],[Prod Line ]],Lists!A:E,5,0)</f>
        <v>b</v>
      </c>
      <c r="B1818" s="1">
        <v>44446</v>
      </c>
      <c r="C1818" s="1">
        <v>44444</v>
      </c>
      <c r="D1818" s="1" t="s">
        <v>58</v>
      </c>
      <c r="E1818" s="2" t="s">
        <v>406</v>
      </c>
      <c r="F1818" s="1"/>
      <c r="G1818" s="2">
        <v>21</v>
      </c>
      <c r="H1818" s="1"/>
      <c r="I1818" t="s">
        <v>1</v>
      </c>
      <c r="J1818" t="s">
        <v>65</v>
      </c>
      <c r="K1818" t="s">
        <v>27</v>
      </c>
      <c r="L1818" t="s">
        <v>441</v>
      </c>
      <c r="M1818" s="3" t="s">
        <v>1623</v>
      </c>
    </row>
    <row r="1819" spans="1:13" hidden="1" x14ac:dyDescent="0.25">
      <c r="A1819" s="1" t="str">
        <f>VLOOKUP(Table2[[#This Row],[Prod Line ]],Lists!A:E,5,0)</f>
        <v>b</v>
      </c>
      <c r="B1819" s="1">
        <v>44446</v>
      </c>
      <c r="C1819" s="1">
        <v>44444</v>
      </c>
      <c r="D1819" s="1" t="s">
        <v>58</v>
      </c>
      <c r="E1819" s="2" t="s">
        <v>406</v>
      </c>
      <c r="F1819" s="1"/>
      <c r="G1819" s="2">
        <v>22</v>
      </c>
      <c r="H1819" s="1"/>
      <c r="I1819" t="s">
        <v>1</v>
      </c>
      <c r="J1819" t="s">
        <v>65</v>
      </c>
      <c r="K1819" t="s">
        <v>27</v>
      </c>
      <c r="L1819" t="s">
        <v>441</v>
      </c>
      <c r="M1819" s="3" t="s">
        <v>1624</v>
      </c>
    </row>
    <row r="1820" spans="1:13" hidden="1" x14ac:dyDescent="0.25">
      <c r="A1820" s="1" t="str">
        <f>VLOOKUP(Table2[[#This Row],[Prod Line ]],Lists!A:E,5,0)</f>
        <v>b</v>
      </c>
      <c r="B1820" s="1">
        <v>44447</v>
      </c>
      <c r="C1820" s="1">
        <v>44445</v>
      </c>
      <c r="D1820" s="1" t="s">
        <v>58</v>
      </c>
      <c r="E1820" s="2" t="s">
        <v>406</v>
      </c>
      <c r="F1820" s="1"/>
      <c r="G1820" s="2">
        <v>4</v>
      </c>
      <c r="H1820" s="1"/>
      <c r="I1820" t="s">
        <v>1</v>
      </c>
      <c r="J1820" t="s">
        <v>65</v>
      </c>
      <c r="K1820" t="s">
        <v>27</v>
      </c>
      <c r="L1820" t="s">
        <v>441</v>
      </c>
      <c r="M1820" s="3" t="s">
        <v>1625</v>
      </c>
    </row>
    <row r="1821" spans="1:13" hidden="1" x14ac:dyDescent="0.25">
      <c r="A1821" s="1" t="str">
        <f>VLOOKUP(Table2[[#This Row],[Prod Line ]],Lists!A:E,5,0)</f>
        <v>d</v>
      </c>
      <c r="B1821" s="1">
        <v>44447</v>
      </c>
      <c r="C1821" s="1">
        <v>44445</v>
      </c>
      <c r="D1821" s="1" t="s">
        <v>62</v>
      </c>
      <c r="E1821" s="2" t="s">
        <v>405</v>
      </c>
      <c r="F1821" s="1"/>
      <c r="G1821" s="2">
        <v>28</v>
      </c>
      <c r="H1821" s="1"/>
      <c r="I1821" t="s">
        <v>1</v>
      </c>
      <c r="J1821" t="s">
        <v>2</v>
      </c>
      <c r="K1821" t="s">
        <v>13</v>
      </c>
      <c r="L1821" t="s">
        <v>407</v>
      </c>
      <c r="M1821" s="3" t="s">
        <v>1626</v>
      </c>
    </row>
    <row r="1822" spans="1:13" hidden="1" x14ac:dyDescent="0.25">
      <c r="A1822" s="1" t="str">
        <f>VLOOKUP(Table2[[#This Row],[Prod Line ]],Lists!A:E,5,0)</f>
        <v>c</v>
      </c>
      <c r="B1822" s="1">
        <v>44447</v>
      </c>
      <c r="C1822" s="1">
        <v>44445</v>
      </c>
      <c r="D1822" s="1" t="s">
        <v>60</v>
      </c>
      <c r="E1822" s="2" t="s">
        <v>404</v>
      </c>
      <c r="F1822" s="1"/>
      <c r="G1822" s="2">
        <v>14</v>
      </c>
      <c r="H1822" s="1"/>
      <c r="I1822" t="s">
        <v>1</v>
      </c>
      <c r="J1822" t="s">
        <v>64</v>
      </c>
      <c r="K1822" t="s">
        <v>368</v>
      </c>
      <c r="L1822" t="s">
        <v>349</v>
      </c>
      <c r="M1822" s="3" t="s">
        <v>1470</v>
      </c>
    </row>
    <row r="1823" spans="1:13" hidden="1" x14ac:dyDescent="0.25">
      <c r="A1823" s="1" t="str">
        <f>VLOOKUP(Table2[[#This Row],[Prod Line ]],Lists!A:E,5,0)</f>
        <v>b</v>
      </c>
      <c r="B1823" s="1">
        <v>44447</v>
      </c>
      <c r="C1823" s="1">
        <v>44445</v>
      </c>
      <c r="D1823" s="1" t="s">
        <v>58</v>
      </c>
      <c r="E1823" s="2" t="s">
        <v>406</v>
      </c>
      <c r="F1823" s="1"/>
      <c r="G1823" s="2">
        <v>4</v>
      </c>
      <c r="H1823" s="1"/>
      <c r="I1823" t="s">
        <v>1</v>
      </c>
      <c r="J1823" t="s">
        <v>65</v>
      </c>
      <c r="K1823" t="s">
        <v>27</v>
      </c>
      <c r="L1823" t="s">
        <v>441</v>
      </c>
      <c r="M1823" s="3" t="s">
        <v>514</v>
      </c>
    </row>
    <row r="1824" spans="1:13" hidden="1" x14ac:dyDescent="0.25">
      <c r="A1824" s="1" t="str">
        <f>VLOOKUP(Table2[[#This Row],[Prod Line ]],Lists!A:E,5,0)</f>
        <v>b</v>
      </c>
      <c r="B1824" s="1">
        <v>44447</v>
      </c>
      <c r="C1824" s="1">
        <v>44445</v>
      </c>
      <c r="D1824" s="1" t="s">
        <v>58</v>
      </c>
      <c r="E1824" s="2" t="s">
        <v>404</v>
      </c>
      <c r="F1824" s="1"/>
      <c r="G1824" s="2">
        <v>6</v>
      </c>
      <c r="H1824" s="1"/>
      <c r="I1824" t="s">
        <v>1</v>
      </c>
      <c r="J1824" t="s">
        <v>65</v>
      </c>
      <c r="K1824" t="s">
        <v>3</v>
      </c>
      <c r="L1824" t="s">
        <v>407</v>
      </c>
      <c r="M1824" s="3" t="s">
        <v>1627</v>
      </c>
    </row>
    <row r="1825" spans="1:14" hidden="1" x14ac:dyDescent="0.25">
      <c r="A1825" s="1" t="str">
        <f>VLOOKUP(Table2[[#This Row],[Prod Line ]],Lists!A:E,5,0)</f>
        <v>b</v>
      </c>
      <c r="B1825" s="1">
        <v>44447</v>
      </c>
      <c r="C1825" s="1">
        <v>44445</v>
      </c>
      <c r="D1825" s="1" t="s">
        <v>58</v>
      </c>
      <c r="E1825" s="2" t="s">
        <v>405</v>
      </c>
      <c r="F1825" s="1"/>
      <c r="G1825" s="2">
        <v>10</v>
      </c>
      <c r="H1825" s="1"/>
      <c r="I1825" t="s">
        <v>1</v>
      </c>
      <c r="J1825" t="s">
        <v>65</v>
      </c>
      <c r="K1825" t="s">
        <v>27</v>
      </c>
      <c r="L1825" t="s">
        <v>441</v>
      </c>
      <c r="M1825" s="3" t="s">
        <v>514</v>
      </c>
    </row>
    <row r="1826" spans="1:14" hidden="1" x14ac:dyDescent="0.25">
      <c r="A1826" s="1" t="str">
        <f>VLOOKUP(Table2[[#This Row],[Prod Line ]],Lists!A:E,5,0)</f>
        <v>a</v>
      </c>
      <c r="B1826" s="1">
        <v>44447</v>
      </c>
      <c r="C1826" s="1">
        <v>44445</v>
      </c>
      <c r="D1826" s="1" t="s">
        <v>56</v>
      </c>
      <c r="E1826" s="2" t="s">
        <v>404</v>
      </c>
      <c r="F1826" s="1"/>
      <c r="G1826" s="2">
        <v>8</v>
      </c>
      <c r="H1826" s="1"/>
      <c r="I1826" t="s">
        <v>0</v>
      </c>
      <c r="J1826" t="s">
        <v>65</v>
      </c>
      <c r="K1826" t="s">
        <v>3</v>
      </c>
      <c r="L1826" t="s">
        <v>70</v>
      </c>
      <c r="M1826" s="3" t="s">
        <v>1041</v>
      </c>
    </row>
    <row r="1827" spans="1:14" hidden="1" x14ac:dyDescent="0.25">
      <c r="A1827" s="1" t="str">
        <f>VLOOKUP(Table2[[#This Row],[Prod Line ]],Lists!A:E,5,0)</f>
        <v>a</v>
      </c>
      <c r="B1827" s="1">
        <v>44447</v>
      </c>
      <c r="C1827" s="1">
        <v>44445</v>
      </c>
      <c r="D1827" s="1" t="s">
        <v>56</v>
      </c>
      <c r="E1827" s="2" t="s">
        <v>405</v>
      </c>
      <c r="F1827" s="1"/>
      <c r="G1827" s="2">
        <v>30</v>
      </c>
      <c r="H1827" s="1"/>
      <c r="I1827" t="s">
        <v>0</v>
      </c>
      <c r="J1827" t="s">
        <v>64</v>
      </c>
      <c r="K1827" t="s">
        <v>368</v>
      </c>
      <c r="L1827" t="s">
        <v>70</v>
      </c>
      <c r="M1827" s="3" t="s">
        <v>1628</v>
      </c>
    </row>
    <row r="1828" spans="1:14" hidden="1" x14ac:dyDescent="0.25">
      <c r="A1828" s="1" t="str">
        <f>VLOOKUP(Table2[[#This Row],[Prod Line ]],Lists!A:E,5,0)</f>
        <v>d</v>
      </c>
      <c r="B1828" s="1">
        <v>44447</v>
      </c>
      <c r="C1828" s="1">
        <v>44445</v>
      </c>
      <c r="D1828" s="1" t="s">
        <v>62</v>
      </c>
      <c r="E1828" s="2" t="s">
        <v>404</v>
      </c>
      <c r="F1828" s="1"/>
      <c r="G1828" s="2">
        <v>65</v>
      </c>
      <c r="H1828" s="1"/>
      <c r="I1828" t="s">
        <v>0</v>
      </c>
      <c r="J1828" t="s">
        <v>5</v>
      </c>
      <c r="K1828" t="s">
        <v>396</v>
      </c>
      <c r="L1828" t="s">
        <v>70</v>
      </c>
      <c r="M1828" s="3" t="s">
        <v>1629</v>
      </c>
      <c r="N1828" s="20" t="s">
        <v>1683</v>
      </c>
    </row>
    <row r="1829" spans="1:14" hidden="1" x14ac:dyDescent="0.25">
      <c r="A1829" s="1" t="str">
        <f>VLOOKUP(Table2[[#This Row],[Prod Line ]],Lists!A:E,5,0)</f>
        <v>a</v>
      </c>
      <c r="B1829" s="1">
        <v>44449</v>
      </c>
      <c r="C1829" s="1">
        <v>44447</v>
      </c>
      <c r="D1829" s="1" t="s">
        <v>56</v>
      </c>
      <c r="E1829" s="2" t="s">
        <v>405</v>
      </c>
      <c r="F1829" s="1"/>
      <c r="G1829" s="2">
        <v>30</v>
      </c>
      <c r="H1829" s="1"/>
      <c r="I1829" t="s">
        <v>1</v>
      </c>
      <c r="J1829" t="s">
        <v>2</v>
      </c>
      <c r="K1829" t="s">
        <v>19</v>
      </c>
      <c r="L1829" t="s">
        <v>407</v>
      </c>
      <c r="M1829" s="3" t="s">
        <v>1630</v>
      </c>
    </row>
    <row r="1830" spans="1:14" hidden="1" x14ac:dyDescent="0.25">
      <c r="A1830" s="1" t="str">
        <f>VLOOKUP(Table2[[#This Row],[Prod Line ]],Lists!A:E,5,0)</f>
        <v>b</v>
      </c>
      <c r="B1830" s="1">
        <v>44449</v>
      </c>
      <c r="C1830" s="1">
        <v>44447</v>
      </c>
      <c r="D1830" s="1" t="s">
        <v>58</v>
      </c>
      <c r="E1830" s="2" t="s">
        <v>405</v>
      </c>
      <c r="F1830" s="1"/>
      <c r="G1830" s="2">
        <v>6</v>
      </c>
      <c r="H1830" s="1"/>
      <c r="I1830" t="s">
        <v>1</v>
      </c>
      <c r="J1830" t="s">
        <v>65</v>
      </c>
      <c r="K1830" t="s">
        <v>27</v>
      </c>
      <c r="L1830" t="s">
        <v>441</v>
      </c>
      <c r="M1830" s="3" t="s">
        <v>428</v>
      </c>
    </row>
    <row r="1831" spans="1:14" hidden="1" x14ac:dyDescent="0.25">
      <c r="A1831" s="1" t="str">
        <f>VLOOKUP(Table2[[#This Row],[Prod Line ]],Lists!A:E,5,0)</f>
        <v>b</v>
      </c>
      <c r="B1831" s="1">
        <v>44449</v>
      </c>
      <c r="C1831" s="1">
        <v>44447</v>
      </c>
      <c r="D1831" s="1" t="s">
        <v>58</v>
      </c>
      <c r="E1831" s="2" t="s">
        <v>406</v>
      </c>
      <c r="F1831" s="1"/>
      <c r="G1831" s="2">
        <v>6</v>
      </c>
      <c r="H1831" s="1"/>
      <c r="I1831" t="s">
        <v>0</v>
      </c>
      <c r="J1831" t="s">
        <v>65</v>
      </c>
      <c r="K1831" t="s">
        <v>27</v>
      </c>
      <c r="L1831" t="s">
        <v>70</v>
      </c>
      <c r="M1831" s="3" t="s">
        <v>1631</v>
      </c>
    </row>
    <row r="1832" spans="1:14" hidden="1" x14ac:dyDescent="0.25">
      <c r="A1832" s="1" t="str">
        <f>VLOOKUP(Table2[[#This Row],[Prod Line ]],Lists!A:E,5,0)</f>
        <v>a</v>
      </c>
      <c r="B1832" s="1">
        <v>44450</v>
      </c>
      <c r="C1832" s="1">
        <v>44448</v>
      </c>
      <c r="D1832" s="1" t="s">
        <v>56</v>
      </c>
      <c r="E1832" s="2" t="s">
        <v>404</v>
      </c>
      <c r="F1832" s="1"/>
      <c r="G1832" s="2">
        <v>28</v>
      </c>
      <c r="H1832" s="1"/>
      <c r="I1832" t="s">
        <v>1</v>
      </c>
      <c r="J1832" t="s">
        <v>64</v>
      </c>
      <c r="K1832" t="s">
        <v>370</v>
      </c>
      <c r="L1832" t="s">
        <v>407</v>
      </c>
      <c r="M1832" s="3" t="s">
        <v>589</v>
      </c>
    </row>
    <row r="1833" spans="1:14" hidden="1" x14ac:dyDescent="0.25">
      <c r="A1833" s="1" t="str">
        <f>VLOOKUP(Table2[[#This Row],[Prod Line ]],Lists!A:E,5,0)</f>
        <v>c</v>
      </c>
      <c r="B1833" s="1">
        <v>44450</v>
      </c>
      <c r="C1833" s="1">
        <v>44448</v>
      </c>
      <c r="D1833" s="1" t="s">
        <v>60</v>
      </c>
      <c r="E1833" s="2" t="s">
        <v>404</v>
      </c>
      <c r="F1833" s="1"/>
      <c r="G1833" s="2">
        <v>13</v>
      </c>
      <c r="H1833" s="1"/>
      <c r="I1833" t="s">
        <v>1</v>
      </c>
      <c r="J1833" t="s">
        <v>64</v>
      </c>
      <c r="K1833" t="s">
        <v>381</v>
      </c>
      <c r="L1833" t="s">
        <v>407</v>
      </c>
      <c r="M1833" s="3" t="s">
        <v>939</v>
      </c>
    </row>
    <row r="1834" spans="1:14" hidden="1" x14ac:dyDescent="0.25">
      <c r="A1834" s="1" t="str">
        <f>VLOOKUP(Table2[[#This Row],[Prod Line ]],Lists!A:E,5,0)</f>
        <v>d</v>
      </c>
      <c r="B1834" s="1">
        <v>44450</v>
      </c>
      <c r="C1834" s="1">
        <v>44448</v>
      </c>
      <c r="D1834" s="1" t="s">
        <v>62</v>
      </c>
      <c r="E1834" s="2" t="s">
        <v>405</v>
      </c>
      <c r="F1834" s="1"/>
      <c r="G1834" s="2">
        <v>15</v>
      </c>
      <c r="H1834" s="1"/>
      <c r="I1834" t="s">
        <v>1</v>
      </c>
      <c r="J1834" t="s">
        <v>64</v>
      </c>
      <c r="K1834" t="s">
        <v>379</v>
      </c>
      <c r="L1834" t="s">
        <v>407</v>
      </c>
      <c r="M1834" s="3" t="s">
        <v>624</v>
      </c>
    </row>
    <row r="1835" spans="1:14" hidden="1" x14ac:dyDescent="0.25">
      <c r="A1835" s="1" t="str">
        <f>VLOOKUP(Table2[[#This Row],[Prod Line ]],Lists!A:E,5,0)</f>
        <v>b</v>
      </c>
      <c r="B1835" s="1">
        <v>44450</v>
      </c>
      <c r="C1835" s="1">
        <v>44448</v>
      </c>
      <c r="D1835" s="1" t="s">
        <v>58</v>
      </c>
      <c r="E1835" s="2" t="s">
        <v>404</v>
      </c>
      <c r="F1835" s="1"/>
      <c r="G1835" s="2">
        <v>5</v>
      </c>
      <c r="H1835" s="1"/>
      <c r="I1835" t="s">
        <v>1</v>
      </c>
      <c r="J1835" t="s">
        <v>65</v>
      </c>
      <c r="K1835" t="s">
        <v>27</v>
      </c>
      <c r="L1835" t="s">
        <v>441</v>
      </c>
      <c r="M1835" s="3" t="s">
        <v>576</v>
      </c>
    </row>
    <row r="1836" spans="1:14" hidden="1" x14ac:dyDescent="0.25">
      <c r="A1836" s="1" t="str">
        <f>VLOOKUP(Table2[[#This Row],[Prod Line ]],Lists!A:E,5,0)</f>
        <v>b</v>
      </c>
      <c r="B1836" s="1">
        <v>44450</v>
      </c>
      <c r="C1836" s="1">
        <v>44448</v>
      </c>
      <c r="D1836" s="1" t="s">
        <v>58</v>
      </c>
      <c r="E1836" s="2" t="s">
        <v>406</v>
      </c>
      <c r="F1836" s="1"/>
      <c r="G1836" s="2">
        <v>18</v>
      </c>
      <c r="H1836" s="1"/>
      <c r="I1836" t="s">
        <v>1</v>
      </c>
      <c r="J1836" t="s">
        <v>5</v>
      </c>
      <c r="K1836" t="s">
        <v>37</v>
      </c>
      <c r="L1836" t="s">
        <v>407</v>
      </c>
      <c r="M1836" s="3" t="s">
        <v>1632</v>
      </c>
    </row>
    <row r="1837" spans="1:14" hidden="1" x14ac:dyDescent="0.25">
      <c r="A1837" s="1" t="str">
        <f>VLOOKUP(Table2[[#This Row],[Prod Line ]],Lists!A:E,5,0)</f>
        <v>a</v>
      </c>
      <c r="B1837" s="1">
        <v>44452</v>
      </c>
      <c r="C1837" s="1">
        <v>44450</v>
      </c>
      <c r="D1837" s="1" t="s">
        <v>56</v>
      </c>
      <c r="E1837" s="2" t="s">
        <v>404</v>
      </c>
      <c r="F1837" s="1"/>
      <c r="G1837" s="2">
        <v>48</v>
      </c>
      <c r="H1837" s="1"/>
      <c r="I1837" t="s">
        <v>67</v>
      </c>
      <c r="J1837" t="s">
        <v>67</v>
      </c>
      <c r="K1837" t="s">
        <v>41</v>
      </c>
      <c r="L1837" t="s">
        <v>71</v>
      </c>
      <c r="M1837" s="3" t="s">
        <v>1348</v>
      </c>
    </row>
    <row r="1838" spans="1:14" hidden="1" x14ac:dyDescent="0.25">
      <c r="A1838" s="1" t="str">
        <f>VLOOKUP(Table2[[#This Row],[Prod Line ]],Lists!A:E,5,0)</f>
        <v>a</v>
      </c>
      <c r="B1838" s="1">
        <v>44452</v>
      </c>
      <c r="C1838" s="1">
        <v>44450</v>
      </c>
      <c r="D1838" s="1" t="s">
        <v>56</v>
      </c>
      <c r="E1838" s="2" t="s">
        <v>774</v>
      </c>
      <c r="F1838" s="1"/>
      <c r="G1838" s="2">
        <v>9</v>
      </c>
      <c r="H1838" s="1"/>
      <c r="I1838" t="s">
        <v>0</v>
      </c>
      <c r="J1838" t="s">
        <v>64</v>
      </c>
      <c r="K1838" t="s">
        <v>367</v>
      </c>
      <c r="L1838" t="s">
        <v>70</v>
      </c>
      <c r="M1838" s="3" t="s">
        <v>1633</v>
      </c>
    </row>
    <row r="1839" spans="1:14" hidden="1" x14ac:dyDescent="0.25">
      <c r="A1839" s="1" t="str">
        <f>VLOOKUP(Table2[[#This Row],[Prod Line ]],Lists!A:E,5,0)</f>
        <v>a</v>
      </c>
      <c r="B1839" s="1">
        <v>44452</v>
      </c>
      <c r="C1839" s="1">
        <v>44450</v>
      </c>
      <c r="D1839" s="1" t="s">
        <v>56</v>
      </c>
      <c r="E1839" s="2" t="s">
        <v>774</v>
      </c>
      <c r="F1839" s="1"/>
      <c r="G1839" s="2">
        <v>11</v>
      </c>
      <c r="H1839" s="1"/>
      <c r="I1839" t="s">
        <v>1</v>
      </c>
      <c r="J1839" t="s">
        <v>64</v>
      </c>
      <c r="K1839" t="s">
        <v>367</v>
      </c>
      <c r="L1839" t="s">
        <v>350</v>
      </c>
      <c r="M1839" s="3" t="s">
        <v>1634</v>
      </c>
    </row>
    <row r="1840" spans="1:14" hidden="1" x14ac:dyDescent="0.25">
      <c r="A1840" s="1" t="str">
        <f>VLOOKUP(Table2[[#This Row],[Prod Line ]],Lists!A:E,5,0)</f>
        <v>a</v>
      </c>
      <c r="B1840" s="1">
        <v>44452</v>
      </c>
      <c r="C1840" s="1">
        <v>44450</v>
      </c>
      <c r="D1840" s="1" t="s">
        <v>56</v>
      </c>
      <c r="E1840" s="2" t="s">
        <v>774</v>
      </c>
      <c r="F1840" s="1"/>
      <c r="G1840" s="2">
        <v>9</v>
      </c>
      <c r="H1840" s="1"/>
      <c r="I1840" t="s">
        <v>0</v>
      </c>
      <c r="J1840" t="s">
        <v>65</v>
      </c>
      <c r="K1840" t="s">
        <v>372</v>
      </c>
      <c r="L1840" t="s">
        <v>70</v>
      </c>
      <c r="M1840" s="3" t="s">
        <v>432</v>
      </c>
    </row>
    <row r="1841" spans="1:13" hidden="1" x14ac:dyDescent="0.25">
      <c r="A1841" s="1" t="str">
        <f>VLOOKUP(Table2[[#This Row],[Prod Line ]],Lists!A:E,5,0)</f>
        <v>b</v>
      </c>
      <c r="B1841" s="1">
        <v>44452</v>
      </c>
      <c r="C1841" s="1">
        <v>44450</v>
      </c>
      <c r="D1841" s="1" t="s">
        <v>58</v>
      </c>
      <c r="E1841" s="2" t="s">
        <v>404</v>
      </c>
      <c r="F1841" s="1"/>
      <c r="G1841" s="2">
        <v>20</v>
      </c>
      <c r="H1841" s="1"/>
      <c r="I1841" t="s">
        <v>67</v>
      </c>
      <c r="J1841" t="s">
        <v>67</v>
      </c>
      <c r="K1841" t="s">
        <v>41</v>
      </c>
      <c r="L1841" t="s">
        <v>71</v>
      </c>
      <c r="M1841" s="3" t="s">
        <v>1348</v>
      </c>
    </row>
    <row r="1842" spans="1:13" hidden="1" x14ac:dyDescent="0.25">
      <c r="A1842" s="1" t="str">
        <f>VLOOKUP(Table2[[#This Row],[Prod Line ]],Lists!A:E,5,0)</f>
        <v>b</v>
      </c>
      <c r="B1842" s="1">
        <v>44452</v>
      </c>
      <c r="C1842" s="1">
        <v>44450</v>
      </c>
      <c r="D1842" s="1" t="s">
        <v>58</v>
      </c>
      <c r="E1842" s="2" t="s">
        <v>404</v>
      </c>
      <c r="F1842" s="1"/>
      <c r="G1842" s="2">
        <v>9</v>
      </c>
      <c r="H1842" s="1"/>
      <c r="I1842" t="s">
        <v>1</v>
      </c>
      <c r="J1842" t="s">
        <v>65</v>
      </c>
      <c r="K1842" t="s">
        <v>3</v>
      </c>
      <c r="L1842" t="s">
        <v>441</v>
      </c>
      <c r="M1842" s="3" t="s">
        <v>1568</v>
      </c>
    </row>
    <row r="1843" spans="1:13" hidden="1" x14ac:dyDescent="0.25">
      <c r="A1843" s="1" t="str">
        <f>VLOOKUP(Table2[[#This Row],[Prod Line ]],Lists!A:E,5,0)</f>
        <v>b</v>
      </c>
      <c r="B1843" s="1">
        <v>44452</v>
      </c>
      <c r="C1843" s="1">
        <v>44450</v>
      </c>
      <c r="D1843" s="1" t="s">
        <v>58</v>
      </c>
      <c r="E1843" s="2" t="s">
        <v>404</v>
      </c>
      <c r="F1843" s="1"/>
      <c r="G1843" s="2">
        <v>10</v>
      </c>
      <c r="H1843" s="1"/>
      <c r="I1843" t="s">
        <v>1</v>
      </c>
      <c r="J1843" t="s">
        <v>26</v>
      </c>
      <c r="K1843" t="s">
        <v>26</v>
      </c>
      <c r="L1843" t="s">
        <v>430</v>
      </c>
      <c r="M1843" s="3" t="s">
        <v>1635</v>
      </c>
    </row>
    <row r="1844" spans="1:13" hidden="1" x14ac:dyDescent="0.25">
      <c r="A1844" s="1" t="str">
        <f>VLOOKUP(Table2[[#This Row],[Prod Line ]],Lists!A:E,5,0)</f>
        <v>b</v>
      </c>
      <c r="B1844" s="1">
        <v>44452</v>
      </c>
      <c r="C1844" s="1">
        <v>44450</v>
      </c>
      <c r="D1844" s="1" t="s">
        <v>58</v>
      </c>
      <c r="E1844" s="2" t="s">
        <v>404</v>
      </c>
      <c r="F1844" s="1"/>
      <c r="G1844" s="2">
        <v>6</v>
      </c>
      <c r="H1844" s="1"/>
      <c r="I1844" t="s">
        <v>1</v>
      </c>
      <c r="J1844" t="s">
        <v>64</v>
      </c>
      <c r="K1844" t="s">
        <v>20</v>
      </c>
      <c r="L1844" t="s">
        <v>1003</v>
      </c>
      <c r="M1844" s="3" t="s">
        <v>524</v>
      </c>
    </row>
    <row r="1845" spans="1:13" hidden="1" x14ac:dyDescent="0.25">
      <c r="A1845" s="1" t="str">
        <f>VLOOKUP(Table2[[#This Row],[Prod Line ]],Lists!A:E,5,0)</f>
        <v>b</v>
      </c>
      <c r="B1845" s="1">
        <v>44452</v>
      </c>
      <c r="C1845" s="1">
        <v>44450</v>
      </c>
      <c r="D1845" s="1" t="s">
        <v>58</v>
      </c>
      <c r="E1845" s="2" t="s">
        <v>406</v>
      </c>
      <c r="F1845" s="1"/>
      <c r="G1845" s="2">
        <v>8</v>
      </c>
      <c r="H1845" s="1"/>
      <c r="I1845" t="s">
        <v>0</v>
      </c>
      <c r="J1845" t="s">
        <v>2</v>
      </c>
      <c r="K1845" t="s">
        <v>14</v>
      </c>
      <c r="L1845" t="s">
        <v>70</v>
      </c>
      <c r="M1845" s="3" t="s">
        <v>1636</v>
      </c>
    </row>
    <row r="1846" spans="1:13" hidden="1" x14ac:dyDescent="0.25">
      <c r="A1846" s="1" t="str">
        <f>VLOOKUP(Table2[[#This Row],[Prod Line ]],Lists!A:E,5,0)</f>
        <v>b</v>
      </c>
      <c r="B1846" s="1">
        <v>44452</v>
      </c>
      <c r="C1846" s="1">
        <v>44450</v>
      </c>
      <c r="D1846" s="1" t="s">
        <v>58</v>
      </c>
      <c r="E1846" s="2" t="s">
        <v>406</v>
      </c>
      <c r="F1846" s="1"/>
      <c r="G1846" s="2">
        <v>10</v>
      </c>
      <c r="H1846" s="1"/>
      <c r="I1846" t="s">
        <v>1</v>
      </c>
      <c r="J1846" t="s">
        <v>65</v>
      </c>
      <c r="K1846" t="s">
        <v>3</v>
      </c>
      <c r="L1846" t="s">
        <v>441</v>
      </c>
      <c r="M1846" s="3" t="s">
        <v>1637</v>
      </c>
    </row>
    <row r="1847" spans="1:13" hidden="1" x14ac:dyDescent="0.25">
      <c r="A1847" s="1" t="str">
        <f>VLOOKUP(Table2[[#This Row],[Prod Line ]],Lists!A:E,5,0)</f>
        <v>b</v>
      </c>
      <c r="B1847" s="1">
        <v>44452</v>
      </c>
      <c r="C1847" s="1">
        <v>44450</v>
      </c>
      <c r="D1847" s="1" t="s">
        <v>58</v>
      </c>
      <c r="E1847" s="2" t="s">
        <v>406</v>
      </c>
      <c r="F1847" s="1"/>
      <c r="G1847" s="2">
        <v>12</v>
      </c>
      <c r="H1847" s="1"/>
      <c r="I1847" t="s">
        <v>1</v>
      </c>
      <c r="J1847" t="s">
        <v>64</v>
      </c>
      <c r="K1847" t="s">
        <v>20</v>
      </c>
      <c r="L1847" t="s">
        <v>524</v>
      </c>
      <c r="M1847" s="3" t="s">
        <v>524</v>
      </c>
    </row>
    <row r="1848" spans="1:13" hidden="1" x14ac:dyDescent="0.25">
      <c r="A1848" s="1" t="str">
        <f>VLOOKUP(Table2[[#This Row],[Prod Line ]],Lists!A:E,5,0)</f>
        <v>c</v>
      </c>
      <c r="B1848" s="1">
        <v>44452</v>
      </c>
      <c r="C1848" s="1">
        <v>44450</v>
      </c>
      <c r="D1848" s="1" t="s">
        <v>60</v>
      </c>
      <c r="E1848" s="2" t="s">
        <v>404</v>
      </c>
      <c r="F1848" s="1"/>
      <c r="G1848" s="2">
        <v>5</v>
      </c>
      <c r="H1848" s="1"/>
      <c r="I1848" t="s">
        <v>67</v>
      </c>
      <c r="J1848" t="s">
        <v>67</v>
      </c>
      <c r="K1848" t="s">
        <v>41</v>
      </c>
      <c r="L1848" t="s">
        <v>71</v>
      </c>
      <c r="M1848" s="3" t="s">
        <v>1348</v>
      </c>
    </row>
    <row r="1849" spans="1:13" hidden="1" x14ac:dyDescent="0.25">
      <c r="A1849" s="1" t="str">
        <f>VLOOKUP(Table2[[#This Row],[Prod Line ]],Lists!A:E,5,0)</f>
        <v>c</v>
      </c>
      <c r="B1849" s="1">
        <v>44452</v>
      </c>
      <c r="C1849" s="1">
        <v>44450</v>
      </c>
      <c r="D1849" s="1" t="s">
        <v>60</v>
      </c>
      <c r="E1849" s="2" t="s">
        <v>404</v>
      </c>
      <c r="F1849" s="1"/>
      <c r="G1849" s="2">
        <v>4</v>
      </c>
      <c r="H1849" s="1"/>
      <c r="I1849" t="s">
        <v>1</v>
      </c>
      <c r="J1849" t="s">
        <v>2</v>
      </c>
      <c r="K1849" t="s">
        <v>378</v>
      </c>
      <c r="L1849" t="s">
        <v>524</v>
      </c>
      <c r="M1849" s="3" t="s">
        <v>524</v>
      </c>
    </row>
    <row r="1850" spans="1:13" hidden="1" x14ac:dyDescent="0.25">
      <c r="A1850" s="1" t="str">
        <f>VLOOKUP(Table2[[#This Row],[Prod Line ]],Lists!A:E,5,0)</f>
        <v>d</v>
      </c>
      <c r="B1850" s="1">
        <v>44452</v>
      </c>
      <c r="C1850" s="1">
        <v>44450</v>
      </c>
      <c r="D1850" s="1" t="s">
        <v>62</v>
      </c>
      <c r="E1850" s="2" t="s">
        <v>404</v>
      </c>
      <c r="F1850" s="1"/>
      <c r="G1850" s="2">
        <v>60</v>
      </c>
      <c r="H1850" s="1"/>
      <c r="I1850" t="s">
        <v>67</v>
      </c>
      <c r="J1850" t="s">
        <v>67</v>
      </c>
      <c r="K1850" t="s">
        <v>41</v>
      </c>
      <c r="L1850" t="s">
        <v>71</v>
      </c>
      <c r="M1850" s="3" t="s">
        <v>1348</v>
      </c>
    </row>
    <row r="1851" spans="1:13" hidden="1" x14ac:dyDescent="0.25">
      <c r="A1851" s="1" t="str">
        <f>VLOOKUP(Table2[[#This Row],[Prod Line ]],Lists!A:E,5,0)</f>
        <v>d</v>
      </c>
      <c r="B1851" s="1">
        <v>44452</v>
      </c>
      <c r="C1851" s="1">
        <v>44450</v>
      </c>
      <c r="D1851" s="1" t="s">
        <v>62</v>
      </c>
      <c r="E1851" s="2" t="s">
        <v>406</v>
      </c>
      <c r="F1851" s="1"/>
      <c r="G1851" s="2">
        <v>15</v>
      </c>
      <c r="H1851" s="1"/>
      <c r="I1851" t="s">
        <v>0</v>
      </c>
      <c r="J1851" t="s">
        <v>2</v>
      </c>
      <c r="K1851" t="s">
        <v>14</v>
      </c>
      <c r="L1851" t="s">
        <v>70</v>
      </c>
      <c r="M1851" s="3" t="s">
        <v>1636</v>
      </c>
    </row>
    <row r="1852" spans="1:13" hidden="1" x14ac:dyDescent="0.25">
      <c r="A1852" s="1" t="str">
        <f>VLOOKUP(Table2[[#This Row],[Prod Line ]],Lists!A:E,5,0)</f>
        <v>d</v>
      </c>
      <c r="B1852" s="1">
        <v>44452</v>
      </c>
      <c r="C1852" s="1">
        <v>44450</v>
      </c>
      <c r="D1852" s="1" t="s">
        <v>62</v>
      </c>
      <c r="E1852" s="2" t="s">
        <v>406</v>
      </c>
      <c r="F1852" s="1"/>
      <c r="G1852" s="2">
        <v>20</v>
      </c>
      <c r="H1852" s="1"/>
      <c r="I1852" t="s">
        <v>0</v>
      </c>
      <c r="J1852" t="s">
        <v>64</v>
      </c>
      <c r="K1852" t="s">
        <v>379</v>
      </c>
      <c r="L1852" t="s">
        <v>83</v>
      </c>
      <c r="M1852" s="3" t="s">
        <v>1345</v>
      </c>
    </row>
    <row r="1853" spans="1:13" hidden="1" x14ac:dyDescent="0.25">
      <c r="A1853" s="1" t="str">
        <f>VLOOKUP(Table2[[#This Row],[Prod Line ]],Lists!A:E,5,0)</f>
        <v>b</v>
      </c>
      <c r="B1853" s="1">
        <v>44453</v>
      </c>
      <c r="C1853" s="1">
        <v>44452</v>
      </c>
      <c r="D1853" s="1" t="s">
        <v>58</v>
      </c>
      <c r="E1853" s="2" t="s">
        <v>404</v>
      </c>
      <c r="F1853" s="1"/>
      <c r="G1853" s="2">
        <v>7</v>
      </c>
      <c r="H1853" s="1"/>
      <c r="I1853" t="s">
        <v>1</v>
      </c>
      <c r="J1853" t="s">
        <v>2</v>
      </c>
      <c r="K1853" t="s">
        <v>19</v>
      </c>
      <c r="L1853" t="s">
        <v>349</v>
      </c>
      <c r="M1853" s="3" t="s">
        <v>602</v>
      </c>
    </row>
    <row r="1854" spans="1:13" hidden="1" x14ac:dyDescent="0.25">
      <c r="A1854" s="1" t="str">
        <f>VLOOKUP(Table2[[#This Row],[Prod Line ]],Lists!A:E,5,0)</f>
        <v>b</v>
      </c>
      <c r="B1854" s="1">
        <v>44453</v>
      </c>
      <c r="C1854" s="1">
        <v>44452</v>
      </c>
      <c r="D1854" s="1" t="s">
        <v>58</v>
      </c>
      <c r="E1854" s="2" t="s">
        <v>774</v>
      </c>
      <c r="F1854" s="1"/>
      <c r="G1854" s="2">
        <v>8</v>
      </c>
      <c r="H1854" s="1"/>
      <c r="I1854" t="s">
        <v>1</v>
      </c>
      <c r="J1854" t="s">
        <v>2</v>
      </c>
      <c r="K1854" t="s">
        <v>19</v>
      </c>
      <c r="L1854" t="s">
        <v>349</v>
      </c>
      <c r="M1854" s="3" t="s">
        <v>1033</v>
      </c>
    </row>
    <row r="1855" spans="1:13" hidden="1" x14ac:dyDescent="0.25">
      <c r="A1855" s="1" t="str">
        <f>VLOOKUP(Table2[[#This Row],[Prod Line ]],Lists!A:E,5,0)</f>
        <v>b</v>
      </c>
      <c r="B1855" s="1">
        <v>44453</v>
      </c>
      <c r="C1855" s="1">
        <v>44452</v>
      </c>
      <c r="D1855" s="1" t="s">
        <v>58</v>
      </c>
      <c r="E1855" s="2" t="s">
        <v>406</v>
      </c>
      <c r="F1855" s="1"/>
      <c r="G1855" s="2">
        <v>11</v>
      </c>
      <c r="H1855" s="1"/>
      <c r="I1855" t="s">
        <v>1</v>
      </c>
      <c r="J1855" t="s">
        <v>64</v>
      </c>
      <c r="K1855" t="s">
        <v>23</v>
      </c>
      <c r="L1855" t="s">
        <v>441</v>
      </c>
      <c r="M1855" s="3" t="s">
        <v>1638</v>
      </c>
    </row>
    <row r="1856" spans="1:13" hidden="1" x14ac:dyDescent="0.25">
      <c r="A1856" s="1" t="str">
        <f>VLOOKUP(Table2[[#This Row],[Prod Line ]],Lists!A:E,5,0)</f>
        <v>b</v>
      </c>
      <c r="B1856" s="1">
        <v>44453</v>
      </c>
      <c r="C1856" s="1">
        <v>44452</v>
      </c>
      <c r="D1856" s="1" t="s">
        <v>58</v>
      </c>
      <c r="E1856" s="2" t="s">
        <v>406</v>
      </c>
      <c r="F1856" s="1"/>
      <c r="G1856" s="2">
        <v>5</v>
      </c>
      <c r="H1856" s="1"/>
      <c r="I1856" t="s">
        <v>1</v>
      </c>
      <c r="J1856" t="s">
        <v>66</v>
      </c>
      <c r="K1856" t="s">
        <v>4</v>
      </c>
      <c r="L1856" t="s">
        <v>72</v>
      </c>
      <c r="M1856" s="3" t="s">
        <v>1639</v>
      </c>
    </row>
    <row r="1857" spans="1:13" hidden="1" x14ac:dyDescent="0.25">
      <c r="A1857" s="1" t="str">
        <f>VLOOKUP(Table2[[#This Row],[Prod Line ]],Lists!A:E,5,0)</f>
        <v>d</v>
      </c>
      <c r="B1857" s="1">
        <v>44453</v>
      </c>
      <c r="C1857" s="1">
        <v>44452</v>
      </c>
      <c r="D1857" s="1" t="s">
        <v>62</v>
      </c>
      <c r="E1857" s="2" t="s">
        <v>406</v>
      </c>
      <c r="F1857" s="1"/>
      <c r="G1857" s="2">
        <v>23</v>
      </c>
      <c r="H1857" s="1"/>
      <c r="I1857" t="s">
        <v>1</v>
      </c>
      <c r="J1857" t="s">
        <v>2</v>
      </c>
      <c r="K1857" t="s">
        <v>19</v>
      </c>
      <c r="L1857" t="s">
        <v>349</v>
      </c>
      <c r="M1857" s="3" t="s">
        <v>1539</v>
      </c>
    </row>
    <row r="1858" spans="1:13" hidden="1" x14ac:dyDescent="0.25">
      <c r="A1858" s="1" t="str">
        <f>VLOOKUP(Table2[[#This Row],[Prod Line ]],Lists!A:E,5,0)</f>
        <v>a</v>
      </c>
      <c r="B1858" s="1">
        <v>44455</v>
      </c>
      <c r="C1858" s="1">
        <v>44453</v>
      </c>
      <c r="D1858" s="1" t="s">
        <v>56</v>
      </c>
      <c r="E1858" s="2" t="s">
        <v>404</v>
      </c>
      <c r="F1858" s="1"/>
      <c r="G1858" s="2">
        <v>5</v>
      </c>
      <c r="H1858" s="1"/>
      <c r="I1858" t="s">
        <v>1</v>
      </c>
      <c r="J1858" t="s">
        <v>64</v>
      </c>
      <c r="K1858" t="s">
        <v>370</v>
      </c>
      <c r="L1858" t="s">
        <v>72</v>
      </c>
      <c r="M1858" s="3" t="s">
        <v>811</v>
      </c>
    </row>
    <row r="1859" spans="1:13" hidden="1" x14ac:dyDescent="0.25">
      <c r="A1859" s="1" t="str">
        <f>VLOOKUP(Table2[[#This Row],[Prod Line ]],Lists!A:E,5,0)</f>
        <v>a</v>
      </c>
      <c r="B1859" s="1">
        <v>44455</v>
      </c>
      <c r="C1859" s="1">
        <v>44453</v>
      </c>
      <c r="D1859" s="1" t="s">
        <v>56</v>
      </c>
      <c r="E1859" s="2" t="s">
        <v>404</v>
      </c>
      <c r="F1859" s="1"/>
      <c r="G1859" s="2">
        <v>6</v>
      </c>
      <c r="H1859" s="1"/>
      <c r="I1859" t="s">
        <v>1</v>
      </c>
      <c r="J1859" t="s">
        <v>64</v>
      </c>
      <c r="K1859" t="s">
        <v>367</v>
      </c>
      <c r="L1859" t="s">
        <v>72</v>
      </c>
      <c r="M1859" s="3" t="s">
        <v>1645</v>
      </c>
    </row>
    <row r="1860" spans="1:13" hidden="1" x14ac:dyDescent="0.25">
      <c r="A1860" s="1" t="str">
        <f>VLOOKUP(Table2[[#This Row],[Prod Line ]],Lists!A:E,5,0)</f>
        <v>a</v>
      </c>
      <c r="B1860" s="1">
        <v>44455</v>
      </c>
      <c r="C1860" s="1">
        <v>44453</v>
      </c>
      <c r="D1860" s="1" t="s">
        <v>56</v>
      </c>
      <c r="E1860" s="2" t="s">
        <v>404</v>
      </c>
      <c r="F1860" s="1"/>
      <c r="G1860" s="2">
        <v>8</v>
      </c>
      <c r="H1860" s="1"/>
      <c r="I1860" t="s">
        <v>0</v>
      </c>
      <c r="J1860" t="s">
        <v>65</v>
      </c>
      <c r="K1860" t="s">
        <v>372</v>
      </c>
      <c r="L1860" t="s">
        <v>70</v>
      </c>
      <c r="M1860" s="3" t="s">
        <v>1646</v>
      </c>
    </row>
    <row r="1861" spans="1:13" hidden="1" x14ac:dyDescent="0.25">
      <c r="A1861" s="1" t="str">
        <f>VLOOKUP(Table2[[#This Row],[Prod Line ]],Lists!A:E,5,0)</f>
        <v>b</v>
      </c>
      <c r="B1861" s="1">
        <v>44455</v>
      </c>
      <c r="C1861" s="1">
        <v>44453</v>
      </c>
      <c r="D1861" s="1" t="s">
        <v>58</v>
      </c>
      <c r="E1861" s="2" t="s">
        <v>406</v>
      </c>
      <c r="F1861" s="1"/>
      <c r="G1861" s="2">
        <v>20</v>
      </c>
      <c r="H1861" s="1"/>
      <c r="I1861" t="s">
        <v>1</v>
      </c>
      <c r="J1861" t="s">
        <v>64</v>
      </c>
      <c r="K1861" t="s">
        <v>21</v>
      </c>
      <c r="L1861" t="s">
        <v>72</v>
      </c>
      <c r="M1861" s="3" t="s">
        <v>1601</v>
      </c>
    </row>
    <row r="1862" spans="1:13" hidden="1" x14ac:dyDescent="0.25">
      <c r="A1862" s="1" t="str">
        <f>VLOOKUP(Table2[[#This Row],[Prod Line ]],Lists!A:E,5,0)</f>
        <v>b</v>
      </c>
      <c r="B1862" s="1">
        <v>44455</v>
      </c>
      <c r="C1862" s="1">
        <v>44453</v>
      </c>
      <c r="D1862" s="1" t="s">
        <v>58</v>
      </c>
      <c r="E1862" s="2" t="s">
        <v>404</v>
      </c>
      <c r="F1862" s="1"/>
      <c r="G1862" s="2">
        <v>11</v>
      </c>
      <c r="H1862" s="1"/>
      <c r="I1862" t="s">
        <v>1</v>
      </c>
      <c r="J1862" t="s">
        <v>64</v>
      </c>
      <c r="K1862" t="s">
        <v>21</v>
      </c>
      <c r="L1862" t="s">
        <v>344</v>
      </c>
      <c r="M1862" s="3" t="s">
        <v>1647</v>
      </c>
    </row>
    <row r="1863" spans="1:13" hidden="1" x14ac:dyDescent="0.25">
      <c r="A1863" s="1" t="str">
        <f>VLOOKUP(Table2[[#This Row],[Prod Line ]],Lists!A:E,5,0)</f>
        <v>c</v>
      </c>
      <c r="B1863" s="1">
        <v>44455</v>
      </c>
      <c r="C1863" s="1">
        <v>44453</v>
      </c>
      <c r="D1863" s="1" t="s">
        <v>60</v>
      </c>
      <c r="E1863" s="2" t="s">
        <v>404</v>
      </c>
      <c r="F1863" s="1"/>
      <c r="G1863" s="2">
        <v>7</v>
      </c>
      <c r="H1863" s="1"/>
      <c r="I1863" t="s">
        <v>1</v>
      </c>
      <c r="J1863" t="s">
        <v>64</v>
      </c>
      <c r="K1863" t="s">
        <v>380</v>
      </c>
      <c r="L1863" t="s">
        <v>72</v>
      </c>
      <c r="M1863" s="3" t="s">
        <v>1648</v>
      </c>
    </row>
    <row r="1864" spans="1:13" hidden="1" x14ac:dyDescent="0.25">
      <c r="A1864" s="1" t="str">
        <f>VLOOKUP(Table2[[#This Row],[Prod Line ]],Lists!A:E,5,0)</f>
        <v>c</v>
      </c>
      <c r="B1864" s="1">
        <v>44455</v>
      </c>
      <c r="C1864" s="1">
        <v>44453</v>
      </c>
      <c r="D1864" s="1" t="s">
        <v>60</v>
      </c>
      <c r="E1864" s="2" t="s">
        <v>404</v>
      </c>
      <c r="F1864" s="1"/>
      <c r="G1864" s="2">
        <v>7</v>
      </c>
      <c r="H1864" s="1"/>
      <c r="I1864" t="s">
        <v>0</v>
      </c>
      <c r="J1864" t="s">
        <v>65</v>
      </c>
      <c r="K1864" t="s">
        <v>382</v>
      </c>
      <c r="L1864" t="s">
        <v>70</v>
      </c>
      <c r="M1864" s="3" t="s">
        <v>1649</v>
      </c>
    </row>
    <row r="1865" spans="1:13" hidden="1" x14ac:dyDescent="0.25">
      <c r="A1865" s="1" t="str">
        <f>VLOOKUP(Table2[[#This Row],[Prod Line ]],Lists!A:E,5,0)</f>
        <v>d</v>
      </c>
      <c r="B1865" s="1">
        <v>44455</v>
      </c>
      <c r="C1865" s="1">
        <v>44453</v>
      </c>
      <c r="D1865" s="1" t="s">
        <v>62</v>
      </c>
      <c r="E1865" s="2" t="s">
        <v>404</v>
      </c>
      <c r="F1865" s="1"/>
      <c r="G1865" s="2">
        <v>21</v>
      </c>
      <c r="H1865" s="1"/>
      <c r="I1865" t="s">
        <v>1</v>
      </c>
      <c r="J1865" t="s">
        <v>64</v>
      </c>
      <c r="K1865" t="s">
        <v>379</v>
      </c>
      <c r="L1865" t="s">
        <v>72</v>
      </c>
      <c r="M1865" s="3" t="s">
        <v>1650</v>
      </c>
    </row>
    <row r="1866" spans="1:13" hidden="1" x14ac:dyDescent="0.25">
      <c r="A1866" s="1" t="str">
        <f>VLOOKUP(Table2[[#This Row],[Prod Line ]],Lists!A:E,5,0)</f>
        <v>d</v>
      </c>
      <c r="B1866" s="1">
        <v>44455</v>
      </c>
      <c r="C1866" s="1">
        <v>44453</v>
      </c>
      <c r="D1866" s="1" t="s">
        <v>62</v>
      </c>
      <c r="E1866" s="2" t="s">
        <v>774</v>
      </c>
      <c r="F1866" s="1"/>
      <c r="G1866" s="2">
        <v>10</v>
      </c>
      <c r="H1866" s="1"/>
      <c r="I1866" t="s">
        <v>1</v>
      </c>
      <c r="J1866" t="s">
        <v>64</v>
      </c>
      <c r="K1866" t="s">
        <v>379</v>
      </c>
      <c r="L1866" t="s">
        <v>72</v>
      </c>
      <c r="M1866" s="3" t="s">
        <v>1650</v>
      </c>
    </row>
    <row r="1867" spans="1:13" hidden="1" x14ac:dyDescent="0.25">
      <c r="A1867" s="1" t="str">
        <f>VLOOKUP(Table2[[#This Row],[Prod Line ]],Lists!A:E,5,0)</f>
        <v>d</v>
      </c>
      <c r="B1867" s="1">
        <v>44455</v>
      </c>
      <c r="C1867" s="1">
        <v>44453</v>
      </c>
      <c r="D1867" s="1" t="s">
        <v>62</v>
      </c>
      <c r="E1867" s="2" t="s">
        <v>405</v>
      </c>
      <c r="F1867" s="1"/>
      <c r="G1867" s="2">
        <v>10</v>
      </c>
      <c r="H1867" s="1"/>
      <c r="I1867" t="s">
        <v>1</v>
      </c>
      <c r="J1867" t="s">
        <v>64</v>
      </c>
      <c r="K1867" t="s">
        <v>379</v>
      </c>
      <c r="L1867" t="s">
        <v>72</v>
      </c>
      <c r="M1867" s="3" t="s">
        <v>811</v>
      </c>
    </row>
    <row r="1868" spans="1:13" hidden="1" x14ac:dyDescent="0.25">
      <c r="A1868" s="1" t="str">
        <f>VLOOKUP(Table2[[#This Row],[Prod Line ]],Lists!A:E,5,0)</f>
        <v>d</v>
      </c>
      <c r="B1868" s="1">
        <v>44456</v>
      </c>
      <c r="C1868" s="1">
        <v>44454</v>
      </c>
      <c r="D1868" s="1" t="s">
        <v>62</v>
      </c>
      <c r="E1868" s="2" t="s">
        <v>406</v>
      </c>
      <c r="F1868" s="1"/>
      <c r="G1868" s="2">
        <v>40</v>
      </c>
      <c r="H1868" s="1"/>
      <c r="I1868" t="s">
        <v>1</v>
      </c>
      <c r="J1868" t="s">
        <v>2</v>
      </c>
      <c r="K1868" t="s">
        <v>19</v>
      </c>
      <c r="L1868" t="s">
        <v>72</v>
      </c>
      <c r="M1868" s="3" t="s">
        <v>1539</v>
      </c>
    </row>
    <row r="1869" spans="1:13" hidden="1" x14ac:dyDescent="0.25">
      <c r="A1869" s="1" t="str">
        <f>VLOOKUP(Table2[[#This Row],[Prod Line ]],Lists!A:E,5,0)</f>
        <v>d</v>
      </c>
      <c r="B1869" s="1">
        <v>44456</v>
      </c>
      <c r="C1869" s="1">
        <v>44454</v>
      </c>
      <c r="D1869" s="1" t="s">
        <v>62</v>
      </c>
      <c r="E1869" s="2" t="s">
        <v>405</v>
      </c>
      <c r="F1869" s="1"/>
      <c r="G1869" s="2">
        <v>13</v>
      </c>
      <c r="H1869" s="1"/>
      <c r="I1869" t="s">
        <v>0</v>
      </c>
      <c r="J1869" t="s">
        <v>2</v>
      </c>
      <c r="K1869" t="s">
        <v>19</v>
      </c>
      <c r="L1869" t="s">
        <v>70</v>
      </c>
      <c r="M1869" s="3" t="s">
        <v>1651</v>
      </c>
    </row>
    <row r="1870" spans="1:13" hidden="1" x14ac:dyDescent="0.25">
      <c r="A1870" s="1" t="str">
        <f>VLOOKUP(Table2[[#This Row],[Prod Line ]],Lists!A:E,5,0)</f>
        <v>a</v>
      </c>
      <c r="B1870" s="1">
        <v>44457</v>
      </c>
      <c r="C1870" s="1">
        <v>44455</v>
      </c>
      <c r="D1870" s="1" t="s">
        <v>56</v>
      </c>
      <c r="E1870" s="2" t="s">
        <v>404</v>
      </c>
      <c r="F1870" s="1"/>
      <c r="G1870" s="2">
        <v>15</v>
      </c>
      <c r="H1870" s="1"/>
      <c r="I1870" t="s">
        <v>1</v>
      </c>
      <c r="J1870" t="s">
        <v>65</v>
      </c>
      <c r="K1870" t="s">
        <v>3</v>
      </c>
      <c r="L1870" t="s">
        <v>441</v>
      </c>
      <c r="M1870" s="3" t="s">
        <v>884</v>
      </c>
    </row>
    <row r="1871" spans="1:13" hidden="1" x14ac:dyDescent="0.25">
      <c r="A1871" s="1" t="str">
        <f>VLOOKUP(Table2[[#This Row],[Prod Line ]],Lists!A:E,5,0)</f>
        <v>c</v>
      </c>
      <c r="B1871" s="1">
        <v>44457</v>
      </c>
      <c r="C1871" s="1">
        <v>44455</v>
      </c>
      <c r="D1871" s="1" t="s">
        <v>60</v>
      </c>
      <c r="E1871" s="2" t="s">
        <v>404</v>
      </c>
      <c r="F1871" s="1"/>
      <c r="G1871" s="2">
        <v>12</v>
      </c>
      <c r="H1871" s="1"/>
      <c r="I1871" t="s">
        <v>1</v>
      </c>
      <c r="J1871" t="s">
        <v>64</v>
      </c>
      <c r="K1871" t="s">
        <v>379</v>
      </c>
      <c r="L1871" t="s">
        <v>72</v>
      </c>
      <c r="M1871" s="3" t="s">
        <v>524</v>
      </c>
    </row>
    <row r="1872" spans="1:13" hidden="1" x14ac:dyDescent="0.25">
      <c r="A1872" s="1" t="str">
        <f>VLOOKUP(Table2[[#This Row],[Prod Line ]],Lists!A:E,5,0)</f>
        <v>c</v>
      </c>
      <c r="B1872" s="1">
        <v>44457</v>
      </c>
      <c r="C1872" s="1">
        <v>44455</v>
      </c>
      <c r="D1872" s="1" t="s">
        <v>60</v>
      </c>
      <c r="E1872" s="2" t="s">
        <v>404</v>
      </c>
      <c r="F1872" s="1"/>
      <c r="G1872" s="2">
        <v>21</v>
      </c>
      <c r="H1872" s="1"/>
      <c r="I1872" t="s">
        <v>1</v>
      </c>
      <c r="J1872" t="s">
        <v>64</v>
      </c>
      <c r="K1872" t="s">
        <v>381</v>
      </c>
      <c r="L1872" t="s">
        <v>72</v>
      </c>
      <c r="M1872" s="3" t="s">
        <v>931</v>
      </c>
    </row>
    <row r="1873" spans="1:13" hidden="1" x14ac:dyDescent="0.25">
      <c r="A1873" s="1" t="str">
        <f>VLOOKUP(Table2[[#This Row],[Prod Line ]],Lists!A:E,5,0)</f>
        <v>c</v>
      </c>
      <c r="B1873" s="1">
        <v>44457</v>
      </c>
      <c r="C1873" s="1">
        <v>44455</v>
      </c>
      <c r="D1873" s="1" t="s">
        <v>60</v>
      </c>
      <c r="E1873" s="2" t="s">
        <v>405</v>
      </c>
      <c r="F1873" s="1"/>
      <c r="G1873" s="2">
        <v>12</v>
      </c>
      <c r="H1873" s="1"/>
      <c r="I1873" t="s">
        <v>1</v>
      </c>
      <c r="J1873" t="s">
        <v>64</v>
      </c>
      <c r="K1873" t="s">
        <v>379</v>
      </c>
      <c r="L1873" t="s">
        <v>72</v>
      </c>
      <c r="M1873" s="3" t="s">
        <v>524</v>
      </c>
    </row>
    <row r="1874" spans="1:13" hidden="1" x14ac:dyDescent="0.25">
      <c r="A1874" s="1" t="str">
        <f>VLOOKUP(Table2[[#This Row],[Prod Line ]],Lists!A:E,5,0)</f>
        <v>d</v>
      </c>
      <c r="B1874" s="1">
        <v>44457</v>
      </c>
      <c r="C1874" s="1">
        <v>44455</v>
      </c>
      <c r="D1874" s="1" t="s">
        <v>62</v>
      </c>
      <c r="E1874" s="2" t="s">
        <v>404</v>
      </c>
      <c r="F1874" s="1"/>
      <c r="G1874" s="2">
        <v>60</v>
      </c>
      <c r="H1874" s="1"/>
      <c r="I1874" t="s">
        <v>1</v>
      </c>
      <c r="J1874" t="s">
        <v>2</v>
      </c>
      <c r="K1874" t="s">
        <v>19</v>
      </c>
      <c r="L1874" t="s">
        <v>72</v>
      </c>
      <c r="M1874" s="3" t="s">
        <v>1650</v>
      </c>
    </row>
    <row r="1875" spans="1:13" hidden="1" x14ac:dyDescent="0.25">
      <c r="A1875" s="1" t="str">
        <f>VLOOKUP(Table2[[#This Row],[Prod Line ]],Lists!A:E,5,0)</f>
        <v>d</v>
      </c>
      <c r="B1875" s="1">
        <v>44457</v>
      </c>
      <c r="C1875" s="1">
        <v>44455</v>
      </c>
      <c r="D1875" s="1" t="s">
        <v>62</v>
      </c>
      <c r="E1875" s="2" t="s">
        <v>404</v>
      </c>
      <c r="F1875" s="1"/>
      <c r="G1875" s="2">
        <v>41</v>
      </c>
      <c r="H1875" s="1"/>
      <c r="I1875" t="s">
        <v>1</v>
      </c>
      <c r="J1875" t="s">
        <v>2</v>
      </c>
      <c r="K1875" t="s">
        <v>19</v>
      </c>
      <c r="L1875" t="s">
        <v>430</v>
      </c>
      <c r="M1875" s="3" t="s">
        <v>834</v>
      </c>
    </row>
    <row r="1876" spans="1:13" hidden="1" x14ac:dyDescent="0.25">
      <c r="A1876" s="1" t="str">
        <f>VLOOKUP(Table2[[#This Row],[Prod Line ]],Lists!A:E,5,0)</f>
        <v>d</v>
      </c>
      <c r="B1876" s="1">
        <v>44459</v>
      </c>
      <c r="C1876" s="1">
        <v>44457</v>
      </c>
      <c r="D1876" s="1" t="s">
        <v>62</v>
      </c>
      <c r="E1876" s="2" t="s">
        <v>405</v>
      </c>
      <c r="F1876" s="1"/>
      <c r="G1876" s="2">
        <v>5</v>
      </c>
      <c r="H1876" s="1"/>
      <c r="I1876" t="s">
        <v>1</v>
      </c>
      <c r="J1876" t="s">
        <v>64</v>
      </c>
      <c r="K1876" t="s">
        <v>379</v>
      </c>
      <c r="L1876" t="s">
        <v>407</v>
      </c>
      <c r="M1876" s="3" t="s">
        <v>1652</v>
      </c>
    </row>
    <row r="1877" spans="1:13" hidden="1" x14ac:dyDescent="0.25">
      <c r="A1877" s="1" t="str">
        <f>VLOOKUP(Table2[[#This Row],[Prod Line ]],Lists!A:E,5,0)</f>
        <v>d</v>
      </c>
      <c r="B1877" s="1">
        <v>44459</v>
      </c>
      <c r="C1877" s="1">
        <v>44457</v>
      </c>
      <c r="D1877" s="1" t="s">
        <v>62</v>
      </c>
      <c r="E1877" s="2" t="s">
        <v>405</v>
      </c>
      <c r="F1877" s="1"/>
      <c r="G1877" s="2">
        <v>10</v>
      </c>
      <c r="H1877" s="1"/>
      <c r="I1877" t="s">
        <v>1</v>
      </c>
      <c r="J1877" t="s">
        <v>65</v>
      </c>
      <c r="K1877" t="s">
        <v>394</v>
      </c>
      <c r="L1877" t="s">
        <v>345</v>
      </c>
      <c r="M1877" s="3" t="s">
        <v>1653</v>
      </c>
    </row>
    <row r="1878" spans="1:13" hidden="1" x14ac:dyDescent="0.25">
      <c r="A1878" s="1" t="str">
        <f>VLOOKUP(Table2[[#This Row],[Prod Line ]],Lists!A:E,5,0)</f>
        <v>a</v>
      </c>
      <c r="B1878" s="1">
        <v>44459</v>
      </c>
      <c r="C1878" s="1">
        <v>44457</v>
      </c>
      <c r="D1878" s="1" t="s">
        <v>56</v>
      </c>
      <c r="E1878" s="2" t="s">
        <v>404</v>
      </c>
      <c r="F1878" s="1"/>
      <c r="G1878" s="2">
        <v>8</v>
      </c>
      <c r="H1878" s="1"/>
      <c r="I1878" t="s">
        <v>1</v>
      </c>
      <c r="J1878" t="s">
        <v>64</v>
      </c>
      <c r="K1878" t="s">
        <v>363</v>
      </c>
      <c r="L1878" t="s">
        <v>407</v>
      </c>
      <c r="M1878" s="3" t="s">
        <v>1654</v>
      </c>
    </row>
    <row r="1879" spans="1:13" hidden="1" x14ac:dyDescent="0.25">
      <c r="A1879" s="1" t="str">
        <f>VLOOKUP(Table2[[#This Row],[Prod Line ]],Lists!A:E,5,0)</f>
        <v>a</v>
      </c>
      <c r="B1879" s="1">
        <v>44459</v>
      </c>
      <c r="C1879" s="1">
        <v>44457</v>
      </c>
      <c r="D1879" s="1" t="s">
        <v>56</v>
      </c>
      <c r="E1879" s="2" t="s">
        <v>404</v>
      </c>
      <c r="F1879" s="1"/>
      <c r="G1879" s="2">
        <v>10</v>
      </c>
      <c r="H1879" s="1"/>
      <c r="I1879" t="s">
        <v>1</v>
      </c>
      <c r="J1879" t="s">
        <v>64</v>
      </c>
      <c r="K1879" t="s">
        <v>363</v>
      </c>
      <c r="L1879" t="s">
        <v>407</v>
      </c>
      <c r="M1879" s="3" t="s">
        <v>1655</v>
      </c>
    </row>
    <row r="1880" spans="1:13" hidden="1" x14ac:dyDescent="0.25">
      <c r="A1880" s="1" t="str">
        <f>VLOOKUP(Table2[[#This Row],[Prod Line ]],Lists!A:E,5,0)</f>
        <v>a</v>
      </c>
      <c r="B1880" s="1">
        <v>44459</v>
      </c>
      <c r="C1880" s="1">
        <v>44457</v>
      </c>
      <c r="D1880" s="1" t="s">
        <v>56</v>
      </c>
      <c r="E1880" s="2" t="s">
        <v>405</v>
      </c>
      <c r="F1880" s="1"/>
      <c r="G1880" s="2">
        <v>12</v>
      </c>
      <c r="H1880" s="1"/>
      <c r="I1880" t="s">
        <v>1</v>
      </c>
      <c r="J1880" t="s">
        <v>65</v>
      </c>
      <c r="K1880" t="s">
        <v>372</v>
      </c>
      <c r="L1880" t="s">
        <v>441</v>
      </c>
      <c r="M1880" s="3" t="s">
        <v>1656</v>
      </c>
    </row>
    <row r="1881" spans="1:13" hidden="1" x14ac:dyDescent="0.25">
      <c r="A1881" s="1" t="str">
        <f>VLOOKUP(Table2[[#This Row],[Prod Line ]],Lists!A:E,5,0)</f>
        <v>a</v>
      </c>
      <c r="B1881" s="1">
        <v>44459</v>
      </c>
      <c r="C1881" s="1">
        <v>44457</v>
      </c>
      <c r="D1881" s="1" t="s">
        <v>56</v>
      </c>
      <c r="E1881" s="2" t="s">
        <v>405</v>
      </c>
      <c r="F1881" s="1"/>
      <c r="G1881" s="2">
        <v>8</v>
      </c>
      <c r="H1881" s="1"/>
      <c r="I1881" t="s">
        <v>0</v>
      </c>
      <c r="J1881" t="s">
        <v>64</v>
      </c>
      <c r="K1881" t="s">
        <v>370</v>
      </c>
      <c r="L1881" t="s">
        <v>70</v>
      </c>
      <c r="M1881" s="3" t="s">
        <v>1657</v>
      </c>
    </row>
    <row r="1882" spans="1:13" hidden="1" x14ac:dyDescent="0.25">
      <c r="A1882" s="1" t="str">
        <f>VLOOKUP(Table2[[#This Row],[Prod Line ]],Lists!A:E,5,0)</f>
        <v>b</v>
      </c>
      <c r="B1882" s="1">
        <v>44459</v>
      </c>
      <c r="C1882" s="1">
        <v>44457</v>
      </c>
      <c r="D1882" s="1" t="s">
        <v>58</v>
      </c>
      <c r="E1882" s="2" t="s">
        <v>406</v>
      </c>
      <c r="F1882" s="1"/>
      <c r="G1882" s="2">
        <v>6</v>
      </c>
      <c r="H1882" s="1"/>
      <c r="I1882" t="s">
        <v>0</v>
      </c>
      <c r="J1882" t="s">
        <v>64</v>
      </c>
      <c r="K1882" t="s">
        <v>21</v>
      </c>
      <c r="L1882" t="s">
        <v>70</v>
      </c>
      <c r="M1882" s="3" t="s">
        <v>1658</v>
      </c>
    </row>
    <row r="1883" spans="1:13" hidden="1" x14ac:dyDescent="0.25">
      <c r="A1883" s="1" t="str">
        <f>VLOOKUP(Table2[[#This Row],[Prod Line ]],Lists!A:E,5,0)</f>
        <v>b</v>
      </c>
      <c r="B1883" s="1">
        <v>44459</v>
      </c>
      <c r="C1883" s="1">
        <v>44457</v>
      </c>
      <c r="D1883" s="1" t="s">
        <v>58</v>
      </c>
      <c r="E1883" s="2" t="s">
        <v>406</v>
      </c>
      <c r="F1883" s="1"/>
      <c r="G1883" s="2">
        <v>9</v>
      </c>
      <c r="H1883" s="1"/>
      <c r="I1883" t="s">
        <v>1</v>
      </c>
      <c r="J1883" t="s">
        <v>64</v>
      </c>
      <c r="K1883" t="s">
        <v>21</v>
      </c>
      <c r="L1883" t="s">
        <v>407</v>
      </c>
      <c r="M1883" s="3" t="s">
        <v>1659</v>
      </c>
    </row>
    <row r="1884" spans="1:13" hidden="1" x14ac:dyDescent="0.25">
      <c r="A1884" s="1" t="str">
        <f>VLOOKUP(Table2[[#This Row],[Prod Line ]],Lists!A:E,5,0)</f>
        <v>b</v>
      </c>
      <c r="B1884" s="1">
        <v>44459</v>
      </c>
      <c r="C1884" s="1">
        <v>44457</v>
      </c>
      <c r="D1884" s="1" t="s">
        <v>58</v>
      </c>
      <c r="E1884" s="2" t="s">
        <v>404</v>
      </c>
      <c r="F1884" s="1"/>
      <c r="G1884" s="2">
        <v>28</v>
      </c>
      <c r="H1884" s="1"/>
      <c r="I1884" t="s">
        <v>1</v>
      </c>
      <c r="J1884" t="s">
        <v>64</v>
      </c>
      <c r="K1884" t="s">
        <v>21</v>
      </c>
      <c r="L1884" t="s">
        <v>407</v>
      </c>
      <c r="M1884" s="3" t="s">
        <v>1660</v>
      </c>
    </row>
    <row r="1885" spans="1:13" hidden="1" x14ac:dyDescent="0.25">
      <c r="A1885" s="1" t="str">
        <f>VLOOKUP(Table2[[#This Row],[Prod Line ]],Lists!A:E,5,0)</f>
        <v>b</v>
      </c>
      <c r="B1885" s="1">
        <v>44459</v>
      </c>
      <c r="C1885" s="1">
        <v>44457</v>
      </c>
      <c r="D1885" s="1" t="s">
        <v>58</v>
      </c>
      <c r="E1885" s="2" t="s">
        <v>405</v>
      </c>
      <c r="F1885" s="1"/>
      <c r="G1885" s="2">
        <v>8</v>
      </c>
      <c r="H1885" s="1"/>
      <c r="I1885" t="s">
        <v>0</v>
      </c>
      <c r="J1885" t="s">
        <v>65</v>
      </c>
      <c r="K1885" t="s">
        <v>27</v>
      </c>
      <c r="L1885" t="s">
        <v>70</v>
      </c>
      <c r="M1885" s="3" t="s">
        <v>1661</v>
      </c>
    </row>
    <row r="1886" spans="1:13" hidden="1" x14ac:dyDescent="0.25">
      <c r="A1886" s="1" t="str">
        <f>VLOOKUP(Table2[[#This Row],[Prod Line ]],Lists!A:E,5,0)</f>
        <v>b</v>
      </c>
      <c r="B1886" s="1">
        <v>44459</v>
      </c>
      <c r="C1886" s="1">
        <v>44457</v>
      </c>
      <c r="D1886" s="1" t="s">
        <v>58</v>
      </c>
      <c r="E1886" s="2" t="s">
        <v>406</v>
      </c>
      <c r="F1886" s="1"/>
      <c r="G1886" s="2">
        <v>10</v>
      </c>
      <c r="H1886" s="1"/>
      <c r="I1886" t="s">
        <v>1</v>
      </c>
      <c r="J1886" t="s">
        <v>65</v>
      </c>
      <c r="K1886" t="s">
        <v>27</v>
      </c>
      <c r="L1886" t="s">
        <v>441</v>
      </c>
      <c r="M1886" s="3" t="s">
        <v>1662</v>
      </c>
    </row>
    <row r="1887" spans="1:13" hidden="1" x14ac:dyDescent="0.25">
      <c r="A1887" s="1" t="str">
        <f>VLOOKUP(Table2[[#This Row],[Prod Line ]],Lists!A:E,5,0)</f>
        <v>b</v>
      </c>
      <c r="B1887" s="1">
        <v>44459</v>
      </c>
      <c r="C1887" s="1">
        <v>44457</v>
      </c>
      <c r="D1887" s="1" t="s">
        <v>58</v>
      </c>
      <c r="E1887" s="2" t="s">
        <v>406</v>
      </c>
      <c r="F1887" s="1"/>
      <c r="G1887" s="2">
        <v>8</v>
      </c>
      <c r="H1887" s="1"/>
      <c r="I1887" t="s">
        <v>1</v>
      </c>
      <c r="J1887" t="s">
        <v>64</v>
      </c>
      <c r="K1887" t="s">
        <v>21</v>
      </c>
      <c r="L1887" t="s">
        <v>407</v>
      </c>
      <c r="M1887" s="3" t="s">
        <v>1663</v>
      </c>
    </row>
    <row r="1888" spans="1:13" hidden="1" x14ac:dyDescent="0.25">
      <c r="A1888" s="1" t="str">
        <f>VLOOKUP(Table2[[#This Row],[Prod Line ]],Lists!A:E,5,0)</f>
        <v>b</v>
      </c>
      <c r="B1888" s="1">
        <v>44460</v>
      </c>
      <c r="C1888" s="1">
        <v>44458</v>
      </c>
      <c r="D1888" s="1" t="s">
        <v>58</v>
      </c>
      <c r="E1888" s="2" t="s">
        <v>404</v>
      </c>
      <c r="F1888" s="1"/>
      <c r="G1888" s="2">
        <v>14</v>
      </c>
      <c r="H1888" s="1"/>
      <c r="I1888" t="s">
        <v>1</v>
      </c>
      <c r="J1888" t="s">
        <v>64</v>
      </c>
      <c r="K1888" t="s">
        <v>22</v>
      </c>
      <c r="L1888" t="s">
        <v>350</v>
      </c>
      <c r="M1888" s="3" t="s">
        <v>1666</v>
      </c>
    </row>
    <row r="1889" spans="1:14" hidden="1" x14ac:dyDescent="0.25">
      <c r="A1889" s="1" t="str">
        <f>VLOOKUP(Table2[[#This Row],[Prod Line ]],Lists!A:E,5,0)</f>
        <v>b</v>
      </c>
      <c r="B1889" s="1">
        <v>44460</v>
      </c>
      <c r="C1889" s="1">
        <v>44458</v>
      </c>
      <c r="D1889" s="1" t="s">
        <v>58</v>
      </c>
      <c r="E1889" s="2" t="s">
        <v>406</v>
      </c>
      <c r="F1889" s="1"/>
      <c r="G1889" s="2">
        <v>25</v>
      </c>
      <c r="H1889" s="1"/>
      <c r="I1889" t="s">
        <v>1</v>
      </c>
      <c r="J1889" t="s">
        <v>64</v>
      </c>
      <c r="K1889" t="s">
        <v>23</v>
      </c>
      <c r="L1889" t="s">
        <v>407</v>
      </c>
      <c r="M1889" s="3" t="s">
        <v>1664</v>
      </c>
    </row>
    <row r="1890" spans="1:14" hidden="1" x14ac:dyDescent="0.25">
      <c r="A1890" s="1" t="str">
        <f>VLOOKUP(Table2[[#This Row],[Prod Line ]],Lists!A:E,5,0)</f>
        <v>d</v>
      </c>
      <c r="B1890" s="1">
        <v>44460</v>
      </c>
      <c r="C1890" s="1">
        <v>44458</v>
      </c>
      <c r="D1890" s="1" t="s">
        <v>62</v>
      </c>
      <c r="E1890" s="2" t="s">
        <v>405</v>
      </c>
      <c r="F1890" s="1"/>
      <c r="G1890" s="2">
        <v>44</v>
      </c>
      <c r="H1890" s="1"/>
      <c r="I1890" t="s">
        <v>1</v>
      </c>
      <c r="J1890" t="s">
        <v>65</v>
      </c>
      <c r="K1890" t="s">
        <v>3</v>
      </c>
      <c r="L1890" t="s">
        <v>407</v>
      </c>
      <c r="M1890" s="3" t="s">
        <v>1665</v>
      </c>
    </row>
    <row r="1891" spans="1:14" hidden="1" x14ac:dyDescent="0.25">
      <c r="A1891" s="1" t="str">
        <f>VLOOKUP(Table2[[#This Row],[Prod Line ]],Lists!A:E,5,0)</f>
        <v>d</v>
      </c>
      <c r="B1891" s="1">
        <v>44460</v>
      </c>
      <c r="C1891" s="1">
        <v>44458</v>
      </c>
      <c r="D1891" s="1" t="s">
        <v>62</v>
      </c>
      <c r="E1891" s="2" t="s">
        <v>405</v>
      </c>
      <c r="F1891" s="1"/>
      <c r="G1891" s="2">
        <v>15</v>
      </c>
      <c r="H1891" s="1"/>
      <c r="I1891" t="s">
        <v>1</v>
      </c>
      <c r="J1891" t="s">
        <v>2</v>
      </c>
      <c r="K1891" t="s">
        <v>19</v>
      </c>
      <c r="L1891" t="s">
        <v>407</v>
      </c>
      <c r="M1891" s="3" t="s">
        <v>834</v>
      </c>
    </row>
    <row r="1892" spans="1:14" hidden="1" x14ac:dyDescent="0.25">
      <c r="A1892" s="1" t="str">
        <f>VLOOKUP(Table2[[#This Row],[Prod Line ]],Lists!A:E,5,0)</f>
        <v>c</v>
      </c>
      <c r="B1892" s="1">
        <v>44460</v>
      </c>
      <c r="C1892" s="1">
        <v>44458</v>
      </c>
      <c r="D1892" s="1" t="s">
        <v>60</v>
      </c>
      <c r="E1892" s="2" t="s">
        <v>404</v>
      </c>
      <c r="F1892" s="1"/>
      <c r="G1892" s="2">
        <v>8</v>
      </c>
      <c r="H1892" s="1"/>
      <c r="I1892" t="s">
        <v>1</v>
      </c>
      <c r="J1892" t="s">
        <v>2</v>
      </c>
      <c r="K1892" t="s">
        <v>378</v>
      </c>
      <c r="L1892" t="s">
        <v>524</v>
      </c>
      <c r="M1892" s="3" t="s">
        <v>524</v>
      </c>
    </row>
    <row r="1893" spans="1:14" hidden="1" x14ac:dyDescent="0.25">
      <c r="A1893" s="1" t="str">
        <f>VLOOKUP(Table2[[#This Row],[Prod Line ]],Lists!A:E,5,0)</f>
        <v>c</v>
      </c>
      <c r="B1893" s="1">
        <v>44460</v>
      </c>
      <c r="C1893" s="1">
        <v>44458</v>
      </c>
      <c r="D1893" s="1" t="s">
        <v>60</v>
      </c>
      <c r="E1893" s="2" t="s">
        <v>404</v>
      </c>
      <c r="F1893" s="1"/>
      <c r="G1893" s="2">
        <v>19</v>
      </c>
      <c r="H1893" s="1"/>
      <c r="I1893" t="s">
        <v>1</v>
      </c>
      <c r="J1893" t="s">
        <v>64</v>
      </c>
      <c r="K1893" t="s">
        <v>381</v>
      </c>
      <c r="L1893" t="s">
        <v>407</v>
      </c>
      <c r="M1893" s="3" t="s">
        <v>1667</v>
      </c>
    </row>
    <row r="1894" spans="1:14" hidden="1" x14ac:dyDescent="0.25">
      <c r="A1894" s="1" t="str">
        <f>VLOOKUP(Table2[[#This Row],[Prod Line ]],Lists!A:E,5,0)</f>
        <v>b</v>
      </c>
      <c r="B1894" s="1">
        <v>44460</v>
      </c>
      <c r="C1894" s="1">
        <v>44459</v>
      </c>
      <c r="D1894" s="1" t="s">
        <v>58</v>
      </c>
      <c r="E1894" s="2" t="s">
        <v>404</v>
      </c>
      <c r="F1894" s="1"/>
      <c r="G1894" s="2">
        <v>28</v>
      </c>
      <c r="H1894" s="1" t="s">
        <v>1</v>
      </c>
      <c r="I1894" t="s">
        <v>1</v>
      </c>
      <c r="J1894" t="s">
        <v>2</v>
      </c>
      <c r="K1894" t="s">
        <v>19</v>
      </c>
      <c r="L1894" t="s">
        <v>72</v>
      </c>
      <c r="M1894" s="3" t="s">
        <v>1668</v>
      </c>
    </row>
    <row r="1895" spans="1:14" hidden="1" x14ac:dyDescent="0.25">
      <c r="A1895" s="1" t="str">
        <f>VLOOKUP(Table2[[#This Row],[Prod Line ]],Lists!A:E,5,0)</f>
        <v>b</v>
      </c>
      <c r="B1895" s="1">
        <v>44462</v>
      </c>
      <c r="C1895" s="1">
        <v>44460</v>
      </c>
      <c r="D1895" s="1" t="s">
        <v>58</v>
      </c>
      <c r="E1895" s="2" t="s">
        <v>404</v>
      </c>
      <c r="F1895" s="1"/>
      <c r="G1895" s="2">
        <v>4</v>
      </c>
      <c r="H1895" s="1"/>
      <c r="I1895" t="s">
        <v>0</v>
      </c>
      <c r="J1895" t="s">
        <v>64</v>
      </c>
      <c r="K1895" t="s">
        <v>21</v>
      </c>
      <c r="L1895" t="s">
        <v>70</v>
      </c>
      <c r="M1895" s="3" t="s">
        <v>1669</v>
      </c>
    </row>
    <row r="1896" spans="1:14" hidden="1" x14ac:dyDescent="0.25">
      <c r="A1896" s="1" t="str">
        <f>VLOOKUP(Table2[[#This Row],[Prod Line ]],Lists!A:E,5,0)</f>
        <v>b</v>
      </c>
      <c r="B1896" s="1">
        <v>44462</v>
      </c>
      <c r="C1896" s="1">
        <v>44460</v>
      </c>
      <c r="D1896" s="1" t="s">
        <v>58</v>
      </c>
      <c r="E1896" s="2" t="s">
        <v>405</v>
      </c>
      <c r="F1896" s="1"/>
      <c r="G1896" s="2">
        <v>11</v>
      </c>
      <c r="H1896" s="1"/>
      <c r="I1896" t="s">
        <v>1</v>
      </c>
      <c r="J1896" t="s">
        <v>2</v>
      </c>
      <c r="K1896" t="s">
        <v>19</v>
      </c>
      <c r="L1896" t="s">
        <v>72</v>
      </c>
      <c r="M1896" s="3" t="s">
        <v>1670</v>
      </c>
    </row>
    <row r="1897" spans="1:14" hidden="1" x14ac:dyDescent="0.25">
      <c r="A1897" s="1" t="str">
        <f>VLOOKUP(Table2[[#This Row],[Prod Line ]],Lists!A:E,5,0)</f>
        <v>b</v>
      </c>
      <c r="B1897" s="1">
        <v>44462</v>
      </c>
      <c r="C1897" s="1">
        <v>44460</v>
      </c>
      <c r="D1897" s="1" t="s">
        <v>58</v>
      </c>
      <c r="E1897" s="2" t="s">
        <v>406</v>
      </c>
      <c r="F1897" s="1"/>
      <c r="G1897" s="2">
        <v>7</v>
      </c>
      <c r="H1897" s="1"/>
      <c r="I1897" t="s">
        <v>1</v>
      </c>
      <c r="J1897" t="s">
        <v>26</v>
      </c>
      <c r="K1897" t="s">
        <v>26</v>
      </c>
      <c r="L1897" t="s">
        <v>441</v>
      </c>
      <c r="M1897" s="3" t="s">
        <v>1671</v>
      </c>
    </row>
    <row r="1898" spans="1:14" hidden="1" x14ac:dyDescent="0.25">
      <c r="A1898" s="1" t="str">
        <f>VLOOKUP(Table2[[#This Row],[Prod Line ]],Lists!A:E,5,0)</f>
        <v>b</v>
      </c>
      <c r="B1898" s="1">
        <v>44462</v>
      </c>
      <c r="C1898" s="1">
        <v>44460</v>
      </c>
      <c r="D1898" s="1" t="s">
        <v>58</v>
      </c>
      <c r="E1898" s="2" t="s">
        <v>406</v>
      </c>
      <c r="F1898" s="1"/>
      <c r="G1898" s="2">
        <v>2</v>
      </c>
      <c r="H1898" s="1"/>
      <c r="I1898" t="s">
        <v>1</v>
      </c>
      <c r="J1898" t="s">
        <v>64</v>
      </c>
      <c r="K1898" t="s">
        <v>23</v>
      </c>
      <c r="L1898" t="s">
        <v>441</v>
      </c>
      <c r="M1898" s="3" t="s">
        <v>1672</v>
      </c>
    </row>
    <row r="1899" spans="1:14" hidden="1" x14ac:dyDescent="0.25">
      <c r="A1899" s="1" t="str">
        <f>VLOOKUP(Table2[[#This Row],[Prod Line ]],Lists!A:E,5,0)</f>
        <v>d</v>
      </c>
      <c r="B1899" s="1">
        <v>44462</v>
      </c>
      <c r="C1899" s="1">
        <v>44460</v>
      </c>
      <c r="D1899" s="1" t="s">
        <v>62</v>
      </c>
      <c r="E1899" s="2" t="s">
        <v>406</v>
      </c>
      <c r="F1899" s="1"/>
      <c r="G1899" s="2">
        <v>7</v>
      </c>
      <c r="H1899" s="1"/>
      <c r="I1899" t="s">
        <v>1</v>
      </c>
      <c r="J1899" t="s">
        <v>2</v>
      </c>
      <c r="K1899" t="s">
        <v>19</v>
      </c>
      <c r="L1899" t="s">
        <v>349</v>
      </c>
      <c r="M1899" s="3" t="s">
        <v>1551</v>
      </c>
    </row>
    <row r="1900" spans="1:14" hidden="1" x14ac:dyDescent="0.25">
      <c r="A1900" s="1" t="str">
        <f>VLOOKUP(Table2[[#This Row],[Prod Line ]],Lists!A:E,5,0)</f>
        <v>a</v>
      </c>
      <c r="B1900" s="1">
        <v>44462</v>
      </c>
      <c r="C1900" s="1">
        <v>44460</v>
      </c>
      <c r="D1900" s="1" t="s">
        <v>56</v>
      </c>
      <c r="E1900" s="2" t="s">
        <v>404</v>
      </c>
      <c r="F1900" s="1"/>
      <c r="G1900" s="2">
        <v>7</v>
      </c>
      <c r="H1900" s="1"/>
      <c r="I1900" t="s">
        <v>1</v>
      </c>
      <c r="J1900" t="s">
        <v>64</v>
      </c>
      <c r="K1900" t="s">
        <v>371</v>
      </c>
      <c r="L1900" t="s">
        <v>350</v>
      </c>
      <c r="M1900" s="3" t="s">
        <v>1401</v>
      </c>
    </row>
    <row r="1901" spans="1:14" hidden="1" x14ac:dyDescent="0.25">
      <c r="A1901" s="1" t="str">
        <f>VLOOKUP(Table2[[#This Row],[Prod Line ]],Lists!A:E,5,0)</f>
        <v>a</v>
      </c>
      <c r="B1901" s="1">
        <v>44462</v>
      </c>
      <c r="C1901" s="1">
        <v>44460</v>
      </c>
      <c r="D1901" s="1" t="s">
        <v>56</v>
      </c>
      <c r="E1901" s="2" t="s">
        <v>404</v>
      </c>
      <c r="F1901" s="1"/>
      <c r="G1901" s="2">
        <v>10</v>
      </c>
      <c r="H1901" s="1"/>
      <c r="I1901" t="s">
        <v>0</v>
      </c>
      <c r="J1901" t="s">
        <v>5</v>
      </c>
      <c r="K1901" t="s">
        <v>376</v>
      </c>
      <c r="L1901" t="s">
        <v>70</v>
      </c>
      <c r="M1901" s="3" t="s">
        <v>1673</v>
      </c>
    </row>
    <row r="1902" spans="1:14" hidden="1" x14ac:dyDescent="0.25">
      <c r="A1902" s="1" t="str">
        <f>VLOOKUP(Table2[[#This Row],[Prod Line ]],Lists!A:E,5,0)</f>
        <v>a</v>
      </c>
      <c r="B1902" s="1">
        <v>44462</v>
      </c>
      <c r="C1902" s="1">
        <v>44460</v>
      </c>
      <c r="D1902" s="1" t="s">
        <v>56</v>
      </c>
      <c r="E1902" s="2" t="s">
        <v>404</v>
      </c>
      <c r="F1902" s="1"/>
      <c r="G1902" s="2">
        <v>40</v>
      </c>
      <c r="H1902" s="1"/>
      <c r="I1902" t="s">
        <v>1</v>
      </c>
      <c r="J1902" t="s">
        <v>64</v>
      </c>
      <c r="K1902" t="s">
        <v>370</v>
      </c>
      <c r="L1902" t="s">
        <v>72</v>
      </c>
      <c r="M1902" s="3" t="s">
        <v>1674</v>
      </c>
    </row>
    <row r="1903" spans="1:14" hidden="1" x14ac:dyDescent="0.25">
      <c r="A1903" s="1" t="str">
        <f>VLOOKUP(Table2[[#This Row],[Prod Line ]],Lists!A:E,5,0)</f>
        <v>a</v>
      </c>
      <c r="B1903" s="1">
        <v>44462</v>
      </c>
      <c r="C1903" s="1">
        <v>44460</v>
      </c>
      <c r="D1903" s="1" t="s">
        <v>56</v>
      </c>
      <c r="E1903" s="2" t="s">
        <v>404</v>
      </c>
      <c r="F1903" s="1"/>
      <c r="G1903" s="2">
        <v>40</v>
      </c>
      <c r="H1903" s="1"/>
      <c r="I1903" t="s">
        <v>0</v>
      </c>
      <c r="J1903" t="s">
        <v>64</v>
      </c>
      <c r="K1903" t="s">
        <v>367</v>
      </c>
      <c r="L1903" t="s">
        <v>70</v>
      </c>
      <c r="M1903" s="3" t="s">
        <v>1675</v>
      </c>
      <c r="N1903" s="20" t="s">
        <v>1684</v>
      </c>
    </row>
    <row r="1904" spans="1:14" hidden="1" x14ac:dyDescent="0.25">
      <c r="A1904" s="1" t="str">
        <f>VLOOKUP(Table2[[#This Row],[Prod Line ]],Lists!A:E,5,0)</f>
        <v>c</v>
      </c>
      <c r="B1904" s="1">
        <v>44462</v>
      </c>
      <c r="C1904" s="1">
        <v>44460</v>
      </c>
      <c r="D1904" s="1" t="s">
        <v>60</v>
      </c>
      <c r="E1904" s="2" t="s">
        <v>405</v>
      </c>
      <c r="F1904" s="1"/>
      <c r="G1904" s="2">
        <v>21</v>
      </c>
      <c r="H1904" s="1"/>
      <c r="I1904" t="s">
        <v>1</v>
      </c>
      <c r="J1904" t="s">
        <v>2</v>
      </c>
      <c r="K1904" t="s">
        <v>378</v>
      </c>
      <c r="L1904" t="s">
        <v>72</v>
      </c>
      <c r="M1904" s="3" t="s">
        <v>1676</v>
      </c>
    </row>
    <row r="1905" spans="1:13" hidden="1" x14ac:dyDescent="0.25">
      <c r="A1905" s="1" t="str">
        <f>VLOOKUP(Table2[[#This Row],[Prod Line ]],Lists!A:E,5,0)</f>
        <v>b</v>
      </c>
      <c r="B1905" s="1">
        <v>44463</v>
      </c>
      <c r="C1905" s="1">
        <v>44461</v>
      </c>
      <c r="D1905" s="1" t="s">
        <v>58</v>
      </c>
      <c r="E1905" s="2" t="s">
        <v>405</v>
      </c>
      <c r="F1905" s="1"/>
      <c r="G1905" s="2">
        <v>9</v>
      </c>
      <c r="H1905" s="1"/>
      <c r="I1905" t="s">
        <v>0</v>
      </c>
      <c r="J1905" t="s">
        <v>65</v>
      </c>
      <c r="K1905" t="s">
        <v>27</v>
      </c>
      <c r="L1905" t="s">
        <v>70</v>
      </c>
      <c r="M1905" s="3" t="s">
        <v>1677</v>
      </c>
    </row>
    <row r="1906" spans="1:13" hidden="1" x14ac:dyDescent="0.25">
      <c r="A1906" s="1" t="str">
        <f>VLOOKUP(Table2[[#This Row],[Prod Line ]],Lists!A:E,5,0)</f>
        <v>c</v>
      </c>
      <c r="B1906" s="1">
        <v>44463</v>
      </c>
      <c r="C1906" s="1">
        <v>44461</v>
      </c>
      <c r="D1906" s="1" t="s">
        <v>60</v>
      </c>
      <c r="E1906" s="2" t="s">
        <v>404</v>
      </c>
      <c r="F1906" s="1"/>
      <c r="G1906" s="2">
        <v>4</v>
      </c>
      <c r="H1906" s="1"/>
      <c r="I1906" t="s">
        <v>1</v>
      </c>
      <c r="J1906" t="s">
        <v>64</v>
      </c>
      <c r="K1906" t="s">
        <v>380</v>
      </c>
      <c r="L1906" t="s">
        <v>72</v>
      </c>
      <c r="M1906" s="3" t="s">
        <v>548</v>
      </c>
    </row>
    <row r="1907" spans="1:13" hidden="1" x14ac:dyDescent="0.25">
      <c r="A1907" s="1" t="str">
        <f>VLOOKUP(Table2[[#This Row],[Prod Line ]],Lists!A:E,5,0)</f>
        <v>c</v>
      </c>
      <c r="B1907" s="1">
        <v>44463</v>
      </c>
      <c r="C1907" s="1">
        <v>44461</v>
      </c>
      <c r="D1907" s="1" t="s">
        <v>60</v>
      </c>
      <c r="E1907" s="2" t="s">
        <v>404</v>
      </c>
      <c r="F1907" s="1"/>
      <c r="G1907" s="2">
        <v>2</v>
      </c>
      <c r="H1907" s="1"/>
      <c r="I1907" t="s">
        <v>1</v>
      </c>
      <c r="J1907" t="s">
        <v>2</v>
      </c>
      <c r="K1907" t="s">
        <v>378</v>
      </c>
      <c r="L1907" t="s">
        <v>349</v>
      </c>
      <c r="M1907" s="3" t="s">
        <v>1551</v>
      </c>
    </row>
    <row r="1908" spans="1:13" hidden="1" x14ac:dyDescent="0.25">
      <c r="A1908" s="1" t="str">
        <f>VLOOKUP(Table2[[#This Row],[Prod Line ]],Lists!A:E,5,0)</f>
        <v>a</v>
      </c>
      <c r="B1908" s="1">
        <v>44464</v>
      </c>
      <c r="C1908" s="1">
        <v>44462</v>
      </c>
      <c r="D1908" s="1" t="s">
        <v>56</v>
      </c>
      <c r="E1908" s="2" t="s">
        <v>404</v>
      </c>
      <c r="F1908" s="1"/>
      <c r="G1908" s="2">
        <v>40</v>
      </c>
      <c r="H1908" s="1"/>
      <c r="I1908" t="s">
        <v>1</v>
      </c>
      <c r="J1908" t="s">
        <v>64</v>
      </c>
      <c r="K1908" t="s">
        <v>370</v>
      </c>
      <c r="L1908" t="s">
        <v>407</v>
      </c>
      <c r="M1908" s="3" t="s">
        <v>1678</v>
      </c>
    </row>
    <row r="1909" spans="1:13" hidden="1" x14ac:dyDescent="0.25">
      <c r="A1909" s="1" t="str">
        <f>VLOOKUP(Table2[[#This Row],[Prod Line ]],Lists!A:E,5,0)</f>
        <v>a</v>
      </c>
      <c r="B1909" s="1">
        <v>44464</v>
      </c>
      <c r="C1909" s="1">
        <v>44462</v>
      </c>
      <c r="D1909" s="1" t="s">
        <v>56</v>
      </c>
      <c r="E1909" s="2" t="s">
        <v>405</v>
      </c>
      <c r="F1909" s="1"/>
      <c r="G1909" s="2">
        <v>7</v>
      </c>
      <c r="H1909" s="1"/>
      <c r="I1909" t="s">
        <v>0</v>
      </c>
      <c r="J1909" t="s">
        <v>64</v>
      </c>
      <c r="K1909" t="s">
        <v>368</v>
      </c>
      <c r="L1909" t="s">
        <v>70</v>
      </c>
      <c r="M1909" s="3" t="s">
        <v>1679</v>
      </c>
    </row>
    <row r="1910" spans="1:13" hidden="1" x14ac:dyDescent="0.25">
      <c r="A1910" s="1" t="str">
        <f>VLOOKUP(Table2[[#This Row],[Prod Line ]],Lists!A:E,5,0)</f>
        <v>a</v>
      </c>
      <c r="B1910" s="1">
        <v>44464</v>
      </c>
      <c r="C1910" s="1">
        <v>44462</v>
      </c>
      <c r="D1910" s="1" t="s">
        <v>56</v>
      </c>
      <c r="E1910" s="2" t="s">
        <v>405</v>
      </c>
      <c r="F1910" s="1"/>
      <c r="G1910" s="2">
        <v>45</v>
      </c>
      <c r="H1910" s="1"/>
      <c r="I1910" t="s">
        <v>1</v>
      </c>
      <c r="J1910" t="s">
        <v>64</v>
      </c>
      <c r="K1910" t="s">
        <v>370</v>
      </c>
      <c r="L1910" t="s">
        <v>407</v>
      </c>
      <c r="M1910" s="3" t="s">
        <v>1680</v>
      </c>
    </row>
    <row r="1911" spans="1:13" hidden="1" x14ac:dyDescent="0.25">
      <c r="A1911" s="1" t="str">
        <f>VLOOKUP(Table2[[#This Row],[Prod Line ]],Lists!A:E,5,0)</f>
        <v>b</v>
      </c>
      <c r="B1911" s="1">
        <v>44464</v>
      </c>
      <c r="C1911" s="1">
        <v>44462</v>
      </c>
      <c r="D1911" s="1" t="s">
        <v>58</v>
      </c>
      <c r="E1911" s="2" t="s">
        <v>404</v>
      </c>
      <c r="F1911" s="1"/>
      <c r="G1911" s="2">
        <v>3</v>
      </c>
      <c r="H1911" s="1"/>
      <c r="I1911" t="s">
        <v>1</v>
      </c>
      <c r="J1911" t="s">
        <v>2</v>
      </c>
      <c r="K1911" t="s">
        <v>14</v>
      </c>
      <c r="L1911" t="s">
        <v>407</v>
      </c>
      <c r="M1911" s="3" t="s">
        <v>1681</v>
      </c>
    </row>
    <row r="1912" spans="1:13" hidden="1" x14ac:dyDescent="0.25">
      <c r="A1912" s="1" t="str">
        <f>VLOOKUP(Table2[[#This Row],[Prod Line ]],Lists!A:E,5,0)</f>
        <v>d</v>
      </c>
      <c r="B1912" s="1">
        <v>44464</v>
      </c>
      <c r="C1912" s="1">
        <v>44462</v>
      </c>
      <c r="D1912" s="1" t="s">
        <v>62</v>
      </c>
      <c r="E1912" s="2" t="s">
        <v>406</v>
      </c>
      <c r="F1912" s="1"/>
      <c r="G1912" s="2">
        <v>47</v>
      </c>
      <c r="H1912" s="1"/>
      <c r="I1912" t="s">
        <v>1</v>
      </c>
      <c r="J1912" t="s">
        <v>2</v>
      </c>
      <c r="K1912" t="s">
        <v>17</v>
      </c>
      <c r="L1912" t="s">
        <v>407</v>
      </c>
      <c r="M1912" s="3" t="s">
        <v>1682</v>
      </c>
    </row>
    <row r="1913" spans="1:13" hidden="1" x14ac:dyDescent="0.25">
      <c r="A1913" s="1" t="str">
        <f>VLOOKUP(Table2[[#This Row],[Prod Line ]],Lists!A:E,5,0)</f>
        <v>b</v>
      </c>
      <c r="B1913" s="1">
        <v>44464</v>
      </c>
      <c r="C1913" s="1">
        <v>44463</v>
      </c>
      <c r="D1913" s="1" t="s">
        <v>58</v>
      </c>
      <c r="E1913" s="2" t="s">
        <v>406</v>
      </c>
      <c r="F1913" s="1"/>
      <c r="G1913" s="2">
        <v>18</v>
      </c>
      <c r="H1913" s="1"/>
      <c r="I1913" t="s">
        <v>1</v>
      </c>
      <c r="J1913" t="s">
        <v>64</v>
      </c>
      <c r="K1913" t="s">
        <v>21</v>
      </c>
      <c r="L1913" t="s">
        <v>72</v>
      </c>
      <c r="M1913" s="3" t="s">
        <v>1685</v>
      </c>
    </row>
    <row r="1914" spans="1:13" hidden="1" x14ac:dyDescent="0.25">
      <c r="A1914" s="1" t="str">
        <f>VLOOKUP(Table2[[#This Row],[Prod Line ]],Lists!A:E,5,0)</f>
        <v>b</v>
      </c>
      <c r="B1914" s="1">
        <v>44464</v>
      </c>
      <c r="C1914" s="1">
        <v>44463</v>
      </c>
      <c r="D1914" s="1" t="s">
        <v>58</v>
      </c>
      <c r="E1914" s="2" t="s">
        <v>406</v>
      </c>
      <c r="F1914" s="1"/>
      <c r="G1914" s="2">
        <v>29</v>
      </c>
      <c r="H1914" s="1"/>
      <c r="I1914" t="s">
        <v>1</v>
      </c>
      <c r="J1914" t="s">
        <v>64</v>
      </c>
      <c r="K1914" t="s">
        <v>21</v>
      </c>
      <c r="L1914" t="s">
        <v>72</v>
      </c>
      <c r="M1914" s="3" t="s">
        <v>1686</v>
      </c>
    </row>
    <row r="1915" spans="1:13" hidden="1" x14ac:dyDescent="0.25">
      <c r="A1915" s="1" t="str">
        <f>VLOOKUP(Table2[[#This Row],[Prod Line ]],Lists!A:E,5,0)</f>
        <v>c</v>
      </c>
      <c r="B1915" s="1">
        <v>44464</v>
      </c>
      <c r="C1915" s="1">
        <v>44463</v>
      </c>
      <c r="D1915" s="1" t="s">
        <v>60</v>
      </c>
      <c r="E1915" s="2" t="s">
        <v>404</v>
      </c>
      <c r="F1915" s="1"/>
      <c r="G1915" s="2">
        <v>21</v>
      </c>
      <c r="H1915" s="1"/>
      <c r="I1915" t="s">
        <v>0</v>
      </c>
      <c r="J1915" t="s">
        <v>2</v>
      </c>
      <c r="K1915" t="s">
        <v>378</v>
      </c>
      <c r="L1915" t="s">
        <v>70</v>
      </c>
      <c r="M1915" s="3" t="s">
        <v>1687</v>
      </c>
    </row>
    <row r="1916" spans="1:13" hidden="1" x14ac:dyDescent="0.25">
      <c r="A1916" s="1" t="str">
        <f>VLOOKUP(Table2[[#This Row],[Prod Line ]],Lists!A:E,5,0)</f>
        <v>a</v>
      </c>
      <c r="B1916" s="1">
        <v>44466</v>
      </c>
      <c r="C1916" s="1">
        <v>44464</v>
      </c>
      <c r="D1916" s="1" t="s">
        <v>56</v>
      </c>
      <c r="E1916" s="2" t="s">
        <v>405</v>
      </c>
      <c r="F1916" s="1"/>
      <c r="G1916" s="2">
        <v>9</v>
      </c>
      <c r="H1916" s="1"/>
      <c r="I1916" t="s">
        <v>1</v>
      </c>
      <c r="J1916" t="s">
        <v>64</v>
      </c>
      <c r="K1916" t="s">
        <v>371</v>
      </c>
      <c r="L1916" t="s">
        <v>441</v>
      </c>
      <c r="M1916" s="3" t="s">
        <v>1688</v>
      </c>
    </row>
    <row r="1917" spans="1:13" hidden="1" x14ac:dyDescent="0.25">
      <c r="A1917" s="1" t="str">
        <f>VLOOKUP(Table2[[#This Row],[Prod Line ]],Lists!A:E,5,0)</f>
        <v>a</v>
      </c>
      <c r="B1917" s="1">
        <v>44466</v>
      </c>
      <c r="C1917" s="1">
        <v>44464</v>
      </c>
      <c r="D1917" s="1" t="s">
        <v>56</v>
      </c>
      <c r="E1917" s="2" t="s">
        <v>405</v>
      </c>
      <c r="F1917" s="1"/>
      <c r="G1917" s="2">
        <v>18</v>
      </c>
      <c r="H1917" s="1"/>
      <c r="I1917" t="s">
        <v>1</v>
      </c>
      <c r="J1917" t="s">
        <v>2</v>
      </c>
      <c r="K1917" t="s">
        <v>19</v>
      </c>
      <c r="L1917" t="s">
        <v>407</v>
      </c>
      <c r="M1917" s="3" t="s">
        <v>834</v>
      </c>
    </row>
    <row r="1918" spans="1:13" hidden="1" x14ac:dyDescent="0.25">
      <c r="A1918" s="1" t="str">
        <f>VLOOKUP(Table2[[#This Row],[Prod Line ]],Lists!A:E,5,0)</f>
        <v>a</v>
      </c>
      <c r="B1918" s="1">
        <v>44466</v>
      </c>
      <c r="C1918" s="1">
        <v>44464</v>
      </c>
      <c r="D1918" s="1" t="s">
        <v>56</v>
      </c>
      <c r="E1918" s="2" t="s">
        <v>405</v>
      </c>
      <c r="F1918" s="1"/>
      <c r="G1918" s="2">
        <v>8</v>
      </c>
      <c r="H1918" s="1"/>
      <c r="I1918" t="s">
        <v>1</v>
      </c>
      <c r="J1918" t="s">
        <v>64</v>
      </c>
      <c r="K1918" t="s">
        <v>368</v>
      </c>
      <c r="L1918" t="s">
        <v>407</v>
      </c>
      <c r="M1918" s="3" t="s">
        <v>1689</v>
      </c>
    </row>
    <row r="1919" spans="1:13" hidden="1" x14ac:dyDescent="0.25">
      <c r="A1919" s="1" t="str">
        <f>VLOOKUP(Table2[[#This Row],[Prod Line ]],Lists!A:E,5,0)</f>
        <v>a</v>
      </c>
      <c r="B1919" s="1">
        <v>44466</v>
      </c>
      <c r="C1919" s="1">
        <v>44464</v>
      </c>
      <c r="D1919" s="1" t="s">
        <v>56</v>
      </c>
      <c r="E1919" s="2" t="s">
        <v>404</v>
      </c>
      <c r="F1919" s="1"/>
      <c r="G1919" s="2">
        <v>20</v>
      </c>
      <c r="H1919" s="1"/>
      <c r="I1919" t="s">
        <v>0</v>
      </c>
      <c r="J1919" t="s">
        <v>64</v>
      </c>
      <c r="K1919" t="s">
        <v>365</v>
      </c>
      <c r="L1919" t="s">
        <v>70</v>
      </c>
      <c r="M1919" s="3" t="s">
        <v>1608</v>
      </c>
    </row>
    <row r="1920" spans="1:13" hidden="1" x14ac:dyDescent="0.25">
      <c r="A1920" s="1" t="str">
        <f>VLOOKUP(Table2[[#This Row],[Prod Line ]],Lists!A:E,5,0)</f>
        <v>b</v>
      </c>
      <c r="B1920" s="1">
        <v>44466</v>
      </c>
      <c r="C1920" s="1">
        <v>44464</v>
      </c>
      <c r="D1920" s="1" t="s">
        <v>58</v>
      </c>
      <c r="E1920" s="2" t="s">
        <v>406</v>
      </c>
      <c r="F1920" s="1"/>
      <c r="G1920" s="2">
        <v>4</v>
      </c>
      <c r="H1920" s="1"/>
      <c r="I1920" t="s">
        <v>1</v>
      </c>
      <c r="J1920" t="s">
        <v>65</v>
      </c>
      <c r="K1920" t="s">
        <v>27</v>
      </c>
      <c r="L1920" t="s">
        <v>441</v>
      </c>
      <c r="M1920" s="3" t="s">
        <v>1690</v>
      </c>
    </row>
    <row r="1921" spans="1:14" hidden="1" x14ac:dyDescent="0.25">
      <c r="A1921" s="1" t="str">
        <f>VLOOKUP(Table2[[#This Row],[Prod Line ]],Lists!A:E,5,0)</f>
        <v>b</v>
      </c>
      <c r="B1921" s="1">
        <v>44466</v>
      </c>
      <c r="C1921" s="1">
        <v>44464</v>
      </c>
      <c r="D1921" s="1" t="s">
        <v>58</v>
      </c>
      <c r="E1921" s="2" t="s">
        <v>406</v>
      </c>
      <c r="F1921" s="1"/>
      <c r="G1921" s="2">
        <v>4</v>
      </c>
      <c r="H1921" s="1"/>
      <c r="I1921" t="s">
        <v>1</v>
      </c>
      <c r="J1921" t="s">
        <v>64</v>
      </c>
      <c r="K1921" t="s">
        <v>21</v>
      </c>
      <c r="L1921" t="s">
        <v>407</v>
      </c>
      <c r="M1921" s="3" t="s">
        <v>1691</v>
      </c>
    </row>
    <row r="1922" spans="1:14" hidden="1" x14ac:dyDescent="0.25">
      <c r="A1922" s="1" t="str">
        <f>VLOOKUP(Table2[[#This Row],[Prod Line ]],Lists!A:E,5,0)</f>
        <v>b</v>
      </c>
      <c r="B1922" s="1">
        <v>44466</v>
      </c>
      <c r="C1922" s="1">
        <v>44464</v>
      </c>
      <c r="D1922" s="1" t="s">
        <v>58</v>
      </c>
      <c r="E1922" s="2" t="s">
        <v>406</v>
      </c>
      <c r="F1922" s="1"/>
      <c r="G1922" s="2">
        <v>7</v>
      </c>
      <c r="H1922" s="1"/>
      <c r="I1922" t="s">
        <v>1</v>
      </c>
      <c r="J1922" t="s">
        <v>65</v>
      </c>
      <c r="K1922" t="s">
        <v>27</v>
      </c>
      <c r="L1922" t="s">
        <v>441</v>
      </c>
      <c r="M1922" s="3" t="s">
        <v>428</v>
      </c>
    </row>
    <row r="1923" spans="1:14" hidden="1" x14ac:dyDescent="0.25">
      <c r="A1923" s="1" t="str">
        <f>VLOOKUP(Table2[[#This Row],[Prod Line ]],Lists!A:E,5,0)</f>
        <v>b</v>
      </c>
      <c r="B1923" s="1">
        <v>44466</v>
      </c>
      <c r="C1923" s="1">
        <v>44464</v>
      </c>
      <c r="D1923" s="1" t="s">
        <v>58</v>
      </c>
      <c r="E1923" s="2" t="s">
        <v>404</v>
      </c>
      <c r="F1923" s="1"/>
      <c r="G1923" s="2">
        <v>5</v>
      </c>
      <c r="H1923" s="1"/>
      <c r="I1923" t="s">
        <v>1</v>
      </c>
      <c r="J1923" t="s">
        <v>66</v>
      </c>
      <c r="K1923" t="s">
        <v>4</v>
      </c>
      <c r="L1923" t="s">
        <v>441</v>
      </c>
      <c r="M1923" s="3" t="s">
        <v>1692</v>
      </c>
    </row>
    <row r="1924" spans="1:14" hidden="1" x14ac:dyDescent="0.25">
      <c r="A1924" s="1" t="str">
        <f>VLOOKUP(Table2[[#This Row],[Prod Line ]],Lists!A:E,5,0)</f>
        <v>b</v>
      </c>
      <c r="B1924" s="1">
        <v>44466</v>
      </c>
      <c r="C1924" s="1">
        <v>44464</v>
      </c>
      <c r="D1924" s="1" t="s">
        <v>58</v>
      </c>
      <c r="E1924" s="2" t="s">
        <v>404</v>
      </c>
      <c r="F1924" s="1"/>
      <c r="G1924" s="2">
        <v>5</v>
      </c>
      <c r="H1924" s="1"/>
      <c r="I1924" t="s">
        <v>1</v>
      </c>
      <c r="J1924" t="s">
        <v>65</v>
      </c>
      <c r="K1924" t="s">
        <v>27</v>
      </c>
      <c r="L1924" t="s">
        <v>350</v>
      </c>
      <c r="M1924" s="3" t="s">
        <v>1693</v>
      </c>
    </row>
    <row r="1925" spans="1:14" hidden="1" x14ac:dyDescent="0.25">
      <c r="A1925" s="1" t="str">
        <f>VLOOKUP(Table2[[#This Row],[Prod Line ]],Lists!A:E,5,0)</f>
        <v>b</v>
      </c>
      <c r="B1925" s="1">
        <v>44466</v>
      </c>
      <c r="C1925" s="1">
        <v>44464</v>
      </c>
      <c r="D1925" s="1" t="s">
        <v>58</v>
      </c>
      <c r="E1925" s="2" t="s">
        <v>405</v>
      </c>
      <c r="F1925" s="1"/>
      <c r="G1925" s="2">
        <v>6</v>
      </c>
      <c r="H1925" s="1"/>
      <c r="I1925" t="s">
        <v>0</v>
      </c>
      <c r="J1925" t="s">
        <v>26</v>
      </c>
      <c r="K1925" t="s">
        <v>25</v>
      </c>
      <c r="L1925" t="s">
        <v>70</v>
      </c>
      <c r="M1925" s="3" t="s">
        <v>1694</v>
      </c>
    </row>
    <row r="1926" spans="1:14" hidden="1" x14ac:dyDescent="0.25">
      <c r="A1926" s="1" t="str">
        <f>VLOOKUP(Table2[[#This Row],[Prod Line ]],Lists!A:E,5,0)</f>
        <v>d</v>
      </c>
      <c r="B1926" s="1">
        <v>44466</v>
      </c>
      <c r="C1926" s="1">
        <v>44464</v>
      </c>
      <c r="D1926" s="1" t="s">
        <v>62</v>
      </c>
      <c r="E1926" s="2" t="s">
        <v>404</v>
      </c>
      <c r="F1926" s="1"/>
      <c r="G1926" s="2">
        <v>25</v>
      </c>
      <c r="H1926" s="1"/>
      <c r="I1926" t="s">
        <v>1</v>
      </c>
      <c r="J1926" t="s">
        <v>2</v>
      </c>
      <c r="K1926" t="s">
        <v>19</v>
      </c>
      <c r="L1926" t="s">
        <v>407</v>
      </c>
      <c r="M1926" s="3" t="s">
        <v>1695</v>
      </c>
    </row>
    <row r="1927" spans="1:14" hidden="1" x14ac:dyDescent="0.25">
      <c r="A1927" s="1" t="str">
        <f>VLOOKUP(Table2[[#This Row],[Prod Line ]],Lists!A:E,5,0)</f>
        <v>d</v>
      </c>
      <c r="B1927" s="1">
        <v>44466</v>
      </c>
      <c r="C1927" s="1">
        <v>44464</v>
      </c>
      <c r="D1927" s="1" t="s">
        <v>62</v>
      </c>
      <c r="E1927" s="2" t="s">
        <v>405</v>
      </c>
      <c r="F1927" s="1"/>
      <c r="G1927" s="2">
        <v>41</v>
      </c>
      <c r="H1927" s="1"/>
      <c r="I1927" t="s">
        <v>1</v>
      </c>
      <c r="J1927" t="s">
        <v>2</v>
      </c>
      <c r="K1927" t="s">
        <v>19</v>
      </c>
      <c r="L1927" t="s">
        <v>72</v>
      </c>
      <c r="M1927" s="3" t="s">
        <v>1696</v>
      </c>
    </row>
    <row r="1928" spans="1:14" hidden="1" x14ac:dyDescent="0.25">
      <c r="A1928" s="1" t="str">
        <f>VLOOKUP(Table2[[#This Row],[Prod Line ]],Lists!A:E,5,0)</f>
        <v>a</v>
      </c>
      <c r="B1928" s="1">
        <v>44467</v>
      </c>
      <c r="C1928" s="1">
        <v>44466</v>
      </c>
      <c r="D1928" s="1" t="s">
        <v>56</v>
      </c>
      <c r="E1928" s="2" t="s">
        <v>404</v>
      </c>
      <c r="F1928" s="1"/>
      <c r="G1928" s="2">
        <v>35</v>
      </c>
      <c r="H1928" s="1"/>
      <c r="I1928" t="s">
        <v>1</v>
      </c>
      <c r="J1928" t="s">
        <v>64</v>
      </c>
      <c r="K1928" t="s">
        <v>363</v>
      </c>
      <c r="L1928" t="s">
        <v>407</v>
      </c>
      <c r="M1928" s="3" t="s">
        <v>875</v>
      </c>
    </row>
    <row r="1929" spans="1:14" hidden="1" x14ac:dyDescent="0.25">
      <c r="A1929" s="1" t="str">
        <f>VLOOKUP(Table2[[#This Row],[Prod Line ]],Lists!A:E,5,0)</f>
        <v>a</v>
      </c>
      <c r="B1929" s="1">
        <v>44467</v>
      </c>
      <c r="C1929" s="1">
        <v>44466</v>
      </c>
      <c r="D1929" s="1" t="s">
        <v>56</v>
      </c>
      <c r="E1929" s="2" t="s">
        <v>404</v>
      </c>
      <c r="F1929" s="1"/>
      <c r="G1929" s="2">
        <v>64</v>
      </c>
      <c r="H1929" s="1"/>
      <c r="I1929" t="s">
        <v>0</v>
      </c>
      <c r="J1929" t="s">
        <v>5</v>
      </c>
      <c r="K1929" t="s">
        <v>376</v>
      </c>
      <c r="L1929" t="s">
        <v>70</v>
      </c>
      <c r="M1929" s="3" t="s">
        <v>1697</v>
      </c>
    </row>
    <row r="1930" spans="1:14" hidden="1" x14ac:dyDescent="0.25">
      <c r="A1930" s="1" t="str">
        <f>VLOOKUP(Table2[[#This Row],[Prod Line ]],Lists!A:E,5,0)</f>
        <v>b</v>
      </c>
      <c r="B1930" s="1">
        <v>44467</v>
      </c>
      <c r="C1930" s="1">
        <v>44466</v>
      </c>
      <c r="D1930" s="1" t="s">
        <v>58</v>
      </c>
      <c r="E1930" s="2" t="s">
        <v>406</v>
      </c>
      <c r="F1930" s="1"/>
      <c r="G1930" s="2">
        <v>15</v>
      </c>
      <c r="H1930" s="1"/>
      <c r="I1930" t="s">
        <v>1</v>
      </c>
      <c r="J1930" t="s">
        <v>5</v>
      </c>
      <c r="K1930" t="s">
        <v>36</v>
      </c>
      <c r="L1930" t="s">
        <v>407</v>
      </c>
      <c r="M1930" s="3" t="s">
        <v>48</v>
      </c>
    </row>
    <row r="1931" spans="1:14" hidden="1" x14ac:dyDescent="0.25">
      <c r="A1931" s="1" t="str">
        <f>VLOOKUP(Table2[[#This Row],[Prod Line ]],Lists!A:E,5,0)</f>
        <v>c</v>
      </c>
      <c r="B1931" s="1">
        <v>44467</v>
      </c>
      <c r="C1931" s="1">
        <v>44466</v>
      </c>
      <c r="D1931" s="1" t="s">
        <v>60</v>
      </c>
      <c r="E1931" s="2" t="s">
        <v>404</v>
      </c>
      <c r="F1931" s="1"/>
      <c r="G1931" s="2">
        <v>2</v>
      </c>
      <c r="H1931" s="1"/>
      <c r="I1931" t="s">
        <v>1</v>
      </c>
      <c r="J1931" t="s">
        <v>64</v>
      </c>
      <c r="K1931" t="s">
        <v>363</v>
      </c>
      <c r="L1931" t="s">
        <v>407</v>
      </c>
      <c r="M1931" s="3" t="s">
        <v>875</v>
      </c>
    </row>
    <row r="1932" spans="1:14" hidden="1" x14ac:dyDescent="0.25">
      <c r="A1932" s="1" t="str">
        <f>VLOOKUP(Table2[[#This Row],[Prod Line ]],Lists!A:E,5,0)</f>
        <v>c</v>
      </c>
      <c r="B1932" s="1">
        <v>44467</v>
      </c>
      <c r="C1932" s="1">
        <v>44466</v>
      </c>
      <c r="D1932" s="1" t="s">
        <v>60</v>
      </c>
      <c r="E1932" s="2" t="s">
        <v>404</v>
      </c>
      <c r="F1932" s="1"/>
      <c r="G1932" s="2">
        <v>10</v>
      </c>
      <c r="H1932" s="1"/>
      <c r="I1932" t="s">
        <v>1</v>
      </c>
      <c r="J1932" t="s">
        <v>2</v>
      </c>
      <c r="K1932" t="s">
        <v>378</v>
      </c>
      <c r="L1932" t="s">
        <v>349</v>
      </c>
      <c r="M1932" s="3" t="s">
        <v>575</v>
      </c>
    </row>
    <row r="1933" spans="1:14" hidden="1" x14ac:dyDescent="0.25">
      <c r="A1933" s="1" t="str">
        <f>VLOOKUP(Table2[[#This Row],[Prod Line ]],Lists!A:E,5,0)</f>
        <v>c</v>
      </c>
      <c r="B1933" s="1">
        <v>44469</v>
      </c>
      <c r="C1933" s="1">
        <v>44467</v>
      </c>
      <c r="D1933" s="1" t="s">
        <v>60</v>
      </c>
      <c r="E1933" s="2" t="s">
        <v>404</v>
      </c>
      <c r="F1933" s="1"/>
      <c r="G1933" s="2">
        <v>28</v>
      </c>
      <c r="H1933" s="1"/>
      <c r="I1933" t="s">
        <v>1</v>
      </c>
      <c r="J1933" t="s">
        <v>64</v>
      </c>
      <c r="K1933" t="s">
        <v>379</v>
      </c>
      <c r="L1933" t="s">
        <v>407</v>
      </c>
      <c r="M1933" s="3" t="s">
        <v>1698</v>
      </c>
    </row>
    <row r="1934" spans="1:14" hidden="1" x14ac:dyDescent="0.25">
      <c r="A1934" s="1" t="str">
        <f>VLOOKUP(Table2[[#This Row],[Prod Line ]],Lists!A:E,5,0)</f>
        <v>c</v>
      </c>
      <c r="B1934" s="1">
        <v>44469</v>
      </c>
      <c r="C1934" s="1">
        <v>44467</v>
      </c>
      <c r="D1934" s="1" t="s">
        <v>60</v>
      </c>
      <c r="E1934" s="2" t="s">
        <v>404</v>
      </c>
      <c r="F1934" s="1"/>
      <c r="G1934" s="2">
        <v>13</v>
      </c>
      <c r="H1934" s="1"/>
      <c r="I1934" t="s">
        <v>1</v>
      </c>
      <c r="J1934" t="s">
        <v>2</v>
      </c>
      <c r="K1934" t="s">
        <v>14</v>
      </c>
      <c r="L1934" t="s">
        <v>407</v>
      </c>
      <c r="M1934" s="3" t="s">
        <v>1699</v>
      </c>
    </row>
    <row r="1935" spans="1:14" hidden="1" x14ac:dyDescent="0.25">
      <c r="A1935" s="1" t="str">
        <f>VLOOKUP(Table2[[#This Row],[Prod Line ]],Lists!A:E,5,0)</f>
        <v>d</v>
      </c>
      <c r="B1935" s="1">
        <v>44469</v>
      </c>
      <c r="C1935" s="1">
        <v>44467</v>
      </c>
      <c r="D1935" s="1" t="s">
        <v>62</v>
      </c>
      <c r="E1935" s="2" t="s">
        <v>404</v>
      </c>
      <c r="F1935" s="1"/>
      <c r="G1935" s="2">
        <v>125</v>
      </c>
      <c r="H1935" s="1"/>
      <c r="I1935" t="s">
        <v>0</v>
      </c>
      <c r="J1935" t="s">
        <v>64</v>
      </c>
      <c r="K1935" t="s">
        <v>379</v>
      </c>
      <c r="L1935" t="s">
        <v>82</v>
      </c>
      <c r="M1935" s="3" t="s">
        <v>1460</v>
      </c>
      <c r="N1935" s="20" t="s">
        <v>1783</v>
      </c>
    </row>
    <row r="1936" spans="1:14" hidden="1" x14ac:dyDescent="0.25">
      <c r="A1936" s="1" t="str">
        <f>VLOOKUP(Table2[[#This Row],[Prod Line ]],Lists!A:E,5,0)</f>
        <v>b</v>
      </c>
      <c r="B1936" s="1">
        <v>44469</v>
      </c>
      <c r="C1936" s="1">
        <v>44467</v>
      </c>
      <c r="D1936" s="1" t="s">
        <v>58</v>
      </c>
      <c r="E1936" s="2" t="s">
        <v>406</v>
      </c>
      <c r="F1936" s="1"/>
      <c r="G1936" s="2">
        <v>13</v>
      </c>
      <c r="H1936" s="1"/>
      <c r="I1936" t="s">
        <v>0</v>
      </c>
      <c r="J1936" t="s">
        <v>66</v>
      </c>
      <c r="K1936" t="s">
        <v>34</v>
      </c>
      <c r="L1936" t="s">
        <v>70</v>
      </c>
      <c r="M1936" s="3" t="s">
        <v>1700</v>
      </c>
    </row>
    <row r="1937" spans="1:14" hidden="1" x14ac:dyDescent="0.25">
      <c r="A1937" s="1" t="str">
        <f>VLOOKUP(Table2[[#This Row],[Prod Line ]],Lists!A:E,5,0)</f>
        <v>b</v>
      </c>
      <c r="B1937" s="1">
        <v>44469</v>
      </c>
      <c r="C1937" s="1">
        <v>44467</v>
      </c>
      <c r="D1937" s="1" t="s">
        <v>58</v>
      </c>
      <c r="E1937" s="2" t="s">
        <v>406</v>
      </c>
      <c r="F1937" s="1"/>
      <c r="G1937" s="2">
        <v>6</v>
      </c>
      <c r="H1937" s="1"/>
      <c r="I1937" t="s">
        <v>0</v>
      </c>
      <c r="J1937" t="s">
        <v>2</v>
      </c>
      <c r="K1937" t="s">
        <v>17</v>
      </c>
      <c r="L1937" t="s">
        <v>70</v>
      </c>
      <c r="M1937" s="3" t="s">
        <v>1701</v>
      </c>
    </row>
    <row r="1938" spans="1:14" hidden="1" x14ac:dyDescent="0.25">
      <c r="A1938" s="1" t="str">
        <f>VLOOKUP(Table2[[#This Row],[Prod Line ]],Lists!A:E,5,0)</f>
        <v>b</v>
      </c>
      <c r="B1938" s="1">
        <v>44469</v>
      </c>
      <c r="C1938" s="1">
        <v>44467</v>
      </c>
      <c r="D1938" s="1" t="s">
        <v>58</v>
      </c>
      <c r="E1938" s="2" t="s">
        <v>404</v>
      </c>
      <c r="F1938" s="1"/>
      <c r="G1938" s="2">
        <v>11</v>
      </c>
      <c r="H1938" s="1"/>
      <c r="I1938" t="s">
        <v>0</v>
      </c>
      <c r="J1938" t="s">
        <v>64</v>
      </c>
      <c r="K1938" t="s">
        <v>20</v>
      </c>
      <c r="L1938" t="s">
        <v>70</v>
      </c>
      <c r="M1938" s="3" t="s">
        <v>1702</v>
      </c>
    </row>
    <row r="1939" spans="1:14" hidden="1" x14ac:dyDescent="0.25">
      <c r="A1939" s="1" t="str">
        <f>VLOOKUP(Table2[[#This Row],[Prod Line ]],Lists!A:E,5,0)</f>
        <v>b</v>
      </c>
      <c r="B1939" s="1">
        <v>44469</v>
      </c>
      <c r="C1939" s="1">
        <v>44467</v>
      </c>
      <c r="D1939" s="1" t="s">
        <v>58</v>
      </c>
      <c r="E1939" s="2" t="s">
        <v>405</v>
      </c>
      <c r="F1939" s="1"/>
      <c r="G1939" s="2">
        <v>15</v>
      </c>
      <c r="H1939" s="1"/>
      <c r="I1939" t="s">
        <v>0</v>
      </c>
      <c r="J1939" t="s">
        <v>64</v>
      </c>
      <c r="K1939" t="s">
        <v>20</v>
      </c>
      <c r="L1939" t="s">
        <v>70</v>
      </c>
      <c r="M1939" s="3" t="s">
        <v>1702</v>
      </c>
    </row>
    <row r="1940" spans="1:14" hidden="1" x14ac:dyDescent="0.25">
      <c r="A1940" s="1" t="str">
        <f>VLOOKUP(Table2[[#This Row],[Prod Line ]],Lists!A:E,5,0)</f>
        <v>b</v>
      </c>
      <c r="B1940" s="1">
        <v>44470</v>
      </c>
      <c r="C1940" s="1">
        <v>44468</v>
      </c>
      <c r="D1940" s="1" t="s">
        <v>58</v>
      </c>
      <c r="E1940" s="2" t="s">
        <v>406</v>
      </c>
      <c r="F1940" s="1"/>
      <c r="G1940" s="2">
        <v>18</v>
      </c>
      <c r="H1940" s="1"/>
      <c r="I1940" t="s">
        <v>1</v>
      </c>
      <c r="J1940" t="s">
        <v>65</v>
      </c>
      <c r="K1940" t="s">
        <v>27</v>
      </c>
      <c r="L1940" t="s">
        <v>441</v>
      </c>
      <c r="M1940" s="3" t="s">
        <v>1703</v>
      </c>
    </row>
    <row r="1941" spans="1:14" hidden="1" x14ac:dyDescent="0.25">
      <c r="A1941" s="1" t="str">
        <f>VLOOKUP(Table2[[#This Row],[Prod Line ]],Lists!A:E,5,0)</f>
        <v>b</v>
      </c>
      <c r="B1941" s="1">
        <v>44470</v>
      </c>
      <c r="C1941" s="1">
        <v>44468</v>
      </c>
      <c r="D1941" s="1" t="s">
        <v>58</v>
      </c>
      <c r="E1941" s="2" t="s">
        <v>404</v>
      </c>
      <c r="F1941" s="1"/>
      <c r="G1941" s="2">
        <v>7</v>
      </c>
      <c r="H1941" s="1"/>
      <c r="I1941" t="s">
        <v>0</v>
      </c>
      <c r="J1941" t="s">
        <v>67</v>
      </c>
      <c r="K1941" t="s">
        <v>67</v>
      </c>
      <c r="L1941" t="s">
        <v>70</v>
      </c>
      <c r="M1941" s="3" t="s">
        <v>1704</v>
      </c>
    </row>
    <row r="1942" spans="1:14" hidden="1" x14ac:dyDescent="0.25">
      <c r="A1942" s="1" t="str">
        <f>VLOOKUP(Table2[[#This Row],[Prod Line ]],Lists!A:E,5,0)</f>
        <v>b</v>
      </c>
      <c r="B1942" s="1">
        <v>44470</v>
      </c>
      <c r="C1942" s="1">
        <v>44468</v>
      </c>
      <c r="D1942" s="1" t="s">
        <v>58</v>
      </c>
      <c r="E1942" s="2" t="s">
        <v>404</v>
      </c>
      <c r="F1942" s="1"/>
      <c r="G1942" s="2">
        <v>6</v>
      </c>
      <c r="H1942" s="1"/>
      <c r="I1942" t="s">
        <v>1</v>
      </c>
      <c r="J1942" t="s">
        <v>66</v>
      </c>
      <c r="K1942" t="s">
        <v>34</v>
      </c>
      <c r="L1942" t="s">
        <v>441</v>
      </c>
      <c r="M1942" s="3" t="s">
        <v>1705</v>
      </c>
    </row>
    <row r="1943" spans="1:14" hidden="1" x14ac:dyDescent="0.25">
      <c r="A1943" s="1" t="str">
        <f>VLOOKUP(Table2[[#This Row],[Prod Line ]],Lists!A:E,5,0)</f>
        <v>b</v>
      </c>
      <c r="B1943" s="1">
        <v>44471</v>
      </c>
      <c r="C1943" s="1">
        <v>44469</v>
      </c>
      <c r="D1943" s="1" t="s">
        <v>58</v>
      </c>
      <c r="E1943" s="2" t="s">
        <v>404</v>
      </c>
      <c r="F1943" s="1"/>
      <c r="G1943" s="2">
        <v>6</v>
      </c>
      <c r="H1943" s="1"/>
      <c r="I1943" t="s">
        <v>1</v>
      </c>
      <c r="J1943" t="s">
        <v>65</v>
      </c>
      <c r="K1943" t="s">
        <v>27</v>
      </c>
      <c r="L1943" t="s">
        <v>441</v>
      </c>
      <c r="M1943" s="3" t="s">
        <v>576</v>
      </c>
    </row>
    <row r="1944" spans="1:14" hidden="1" x14ac:dyDescent="0.25">
      <c r="A1944" s="1" t="str">
        <f>VLOOKUP(Table2[[#This Row],[Prod Line ]],Lists!A:E,5,0)</f>
        <v>b</v>
      </c>
      <c r="B1944" s="1">
        <v>44471</v>
      </c>
      <c r="C1944" s="1">
        <v>44469</v>
      </c>
      <c r="D1944" s="1" t="s">
        <v>58</v>
      </c>
      <c r="E1944" s="2" t="s">
        <v>405</v>
      </c>
      <c r="F1944" s="1"/>
      <c r="G1944" s="2">
        <v>7</v>
      </c>
      <c r="H1944" s="1"/>
      <c r="I1944" t="s">
        <v>0</v>
      </c>
      <c r="J1944" t="s">
        <v>67</v>
      </c>
      <c r="K1944" t="s">
        <v>67</v>
      </c>
      <c r="L1944" t="s">
        <v>70</v>
      </c>
      <c r="M1944" s="3" t="s">
        <v>1706</v>
      </c>
    </row>
    <row r="1945" spans="1:14" hidden="1" x14ac:dyDescent="0.25">
      <c r="A1945" s="1" t="str">
        <f>VLOOKUP(Table2[[#This Row],[Prod Line ]],Lists!A:E,5,0)</f>
        <v>b</v>
      </c>
      <c r="B1945" s="1">
        <v>44473</v>
      </c>
      <c r="C1945" s="1">
        <v>44470</v>
      </c>
      <c r="D1945" s="1" t="s">
        <v>58</v>
      </c>
      <c r="E1945" s="2" t="s">
        <v>406</v>
      </c>
      <c r="F1945" s="1"/>
      <c r="G1945" s="2">
        <v>49</v>
      </c>
      <c r="H1945" s="1"/>
      <c r="I1945" t="s">
        <v>0</v>
      </c>
      <c r="J1945" t="s">
        <v>64</v>
      </c>
      <c r="K1945" t="s">
        <v>20</v>
      </c>
      <c r="L1945" t="s">
        <v>70</v>
      </c>
      <c r="M1945" s="3" t="s">
        <v>1337</v>
      </c>
      <c r="N1945" s="20" t="s">
        <v>1784</v>
      </c>
    </row>
    <row r="1946" spans="1:14" hidden="1" x14ac:dyDescent="0.25">
      <c r="A1946" s="1" t="str">
        <f>VLOOKUP(Table2[[#This Row],[Prod Line ]],Lists!A:E,5,0)</f>
        <v>b</v>
      </c>
      <c r="B1946" s="1">
        <v>44473</v>
      </c>
      <c r="C1946" s="1">
        <v>44471</v>
      </c>
      <c r="D1946" s="1" t="s">
        <v>58</v>
      </c>
      <c r="E1946" s="2" t="s">
        <v>406</v>
      </c>
      <c r="F1946" s="1"/>
      <c r="G1946" s="2">
        <v>23</v>
      </c>
      <c r="H1946" s="1"/>
      <c r="I1946" t="s">
        <v>0</v>
      </c>
      <c r="J1946" t="s">
        <v>64</v>
      </c>
      <c r="K1946" t="s">
        <v>20</v>
      </c>
      <c r="L1946" t="s">
        <v>70</v>
      </c>
      <c r="M1946" s="3" t="s">
        <v>1707</v>
      </c>
      <c r="N1946" s="20" t="s">
        <v>1784</v>
      </c>
    </row>
    <row r="1947" spans="1:14" hidden="1" x14ac:dyDescent="0.25">
      <c r="A1947" s="1" t="str">
        <f>VLOOKUP(Table2[[#This Row],[Prod Line ]],Lists!A:E,5,0)</f>
        <v>b</v>
      </c>
      <c r="B1947" s="1">
        <v>44473</v>
      </c>
      <c r="C1947" s="1">
        <v>44471</v>
      </c>
      <c r="D1947" s="1" t="s">
        <v>58</v>
      </c>
      <c r="E1947" s="2" t="s">
        <v>404</v>
      </c>
      <c r="F1947" s="1"/>
      <c r="G1947" s="2">
        <v>22</v>
      </c>
      <c r="H1947" s="1"/>
      <c r="I1947" t="s">
        <v>0</v>
      </c>
      <c r="J1947" t="s">
        <v>64</v>
      </c>
      <c r="K1947" t="s">
        <v>20</v>
      </c>
      <c r="L1947" t="s">
        <v>70</v>
      </c>
      <c r="M1947" s="3" t="s">
        <v>1708</v>
      </c>
      <c r="N1947" s="20" t="s">
        <v>1784</v>
      </c>
    </row>
    <row r="1948" spans="1:14" hidden="1" x14ac:dyDescent="0.25">
      <c r="A1948" s="1" t="str">
        <f>VLOOKUP(Table2[[#This Row],[Prod Line ]],Lists!A:E,5,0)</f>
        <v>b</v>
      </c>
      <c r="B1948" s="1">
        <v>44473</v>
      </c>
      <c r="C1948" s="1">
        <v>44471</v>
      </c>
      <c r="D1948" s="1" t="s">
        <v>58</v>
      </c>
      <c r="E1948" s="2" t="s">
        <v>404</v>
      </c>
      <c r="F1948" s="1"/>
      <c r="G1948" s="2">
        <v>8</v>
      </c>
      <c r="H1948" s="1"/>
      <c r="I1948" t="s">
        <v>0</v>
      </c>
      <c r="J1948" t="s">
        <v>26</v>
      </c>
      <c r="K1948" t="s">
        <v>26</v>
      </c>
      <c r="L1948" t="s">
        <v>70</v>
      </c>
      <c r="M1948" s="3" t="s">
        <v>1709</v>
      </c>
    </row>
    <row r="1949" spans="1:14" hidden="1" x14ac:dyDescent="0.25">
      <c r="A1949" s="1" t="str">
        <f>VLOOKUP(Table2[[#This Row],[Prod Line ]],Lists!A:E,5,0)</f>
        <v>b</v>
      </c>
      <c r="B1949" s="1">
        <v>44473</v>
      </c>
      <c r="C1949" s="1">
        <v>44471</v>
      </c>
      <c r="D1949" s="1" t="s">
        <v>58</v>
      </c>
      <c r="E1949" s="2" t="s">
        <v>406</v>
      </c>
      <c r="F1949" s="1"/>
      <c r="G1949" s="2">
        <v>20</v>
      </c>
      <c r="H1949" s="1"/>
      <c r="I1949" t="s">
        <v>0</v>
      </c>
      <c r="J1949" t="s">
        <v>66</v>
      </c>
      <c r="K1949" t="s">
        <v>4</v>
      </c>
      <c r="L1949" t="s">
        <v>70</v>
      </c>
      <c r="M1949" s="3" t="s">
        <v>922</v>
      </c>
    </row>
    <row r="1950" spans="1:14" hidden="1" x14ac:dyDescent="0.25">
      <c r="A1950" s="1" t="str">
        <f>VLOOKUP(Table2[[#This Row],[Prod Line ]],Lists!A:E,5,0)</f>
        <v>b</v>
      </c>
      <c r="B1950" s="1">
        <v>44473</v>
      </c>
      <c r="C1950" s="1">
        <v>44471</v>
      </c>
      <c r="D1950" s="1" t="s">
        <v>58</v>
      </c>
      <c r="E1950" s="2" t="s">
        <v>406</v>
      </c>
      <c r="F1950" s="1"/>
      <c r="G1950" s="2">
        <v>35</v>
      </c>
      <c r="H1950" s="1"/>
      <c r="I1950" t="s">
        <v>0</v>
      </c>
      <c r="J1950" t="s">
        <v>65</v>
      </c>
      <c r="K1950" t="s">
        <v>3</v>
      </c>
      <c r="L1950" t="s">
        <v>70</v>
      </c>
      <c r="M1950" s="3" t="s">
        <v>1710</v>
      </c>
      <c r="N1950" s="20" t="s">
        <v>1785</v>
      </c>
    </row>
    <row r="1951" spans="1:14" hidden="1" x14ac:dyDescent="0.25">
      <c r="A1951" s="1" t="str">
        <f>VLOOKUP(Table2[[#This Row],[Prod Line ]],Lists!A:E,5,0)</f>
        <v>b</v>
      </c>
      <c r="B1951" s="1">
        <v>44473</v>
      </c>
      <c r="C1951" s="1">
        <v>44471</v>
      </c>
      <c r="D1951" s="1" t="s">
        <v>58</v>
      </c>
      <c r="E1951" s="2" t="s">
        <v>406</v>
      </c>
      <c r="F1951" s="1"/>
      <c r="G1951" s="2">
        <v>10</v>
      </c>
      <c r="H1951" s="1"/>
      <c r="I1951" t="s">
        <v>1</v>
      </c>
      <c r="J1951" t="s">
        <v>26</v>
      </c>
      <c r="K1951" t="s">
        <v>26</v>
      </c>
      <c r="L1951" t="s">
        <v>407</v>
      </c>
      <c r="M1951" s="3" t="s">
        <v>1711</v>
      </c>
    </row>
    <row r="1952" spans="1:14" hidden="1" x14ac:dyDescent="0.25">
      <c r="A1952" s="1" t="str">
        <f>VLOOKUP(Table2[[#This Row],[Prod Line ]],Lists!A:E,5,0)</f>
        <v>b</v>
      </c>
      <c r="B1952" s="1">
        <v>44473</v>
      </c>
      <c r="C1952" s="1">
        <v>44471</v>
      </c>
      <c r="D1952" s="1" t="s">
        <v>58</v>
      </c>
      <c r="E1952" s="2" t="s">
        <v>406</v>
      </c>
      <c r="F1952" s="1"/>
      <c r="G1952" s="2">
        <v>20</v>
      </c>
      <c r="H1952" s="1"/>
      <c r="I1952" t="s">
        <v>1</v>
      </c>
      <c r="J1952" t="s">
        <v>26</v>
      </c>
      <c r="K1952" t="s">
        <v>26</v>
      </c>
      <c r="L1952" t="s">
        <v>407</v>
      </c>
      <c r="M1952" s="3" t="s">
        <v>1712</v>
      </c>
    </row>
    <row r="1953" spans="1:14" hidden="1" x14ac:dyDescent="0.25">
      <c r="A1953" s="1" t="str">
        <f>VLOOKUP(Table2[[#This Row],[Prod Line ]],Lists!A:E,5,0)</f>
        <v>a</v>
      </c>
      <c r="B1953" s="1">
        <v>44473</v>
      </c>
      <c r="C1953" s="1">
        <v>44471</v>
      </c>
      <c r="D1953" s="1" t="s">
        <v>56</v>
      </c>
      <c r="E1953" s="2" t="s">
        <v>404</v>
      </c>
      <c r="F1953" s="1"/>
      <c r="G1953" s="2">
        <v>34</v>
      </c>
      <c r="H1953" s="1"/>
      <c r="I1953" t="s">
        <v>0</v>
      </c>
      <c r="J1953" t="s">
        <v>64</v>
      </c>
      <c r="K1953" t="s">
        <v>368</v>
      </c>
      <c r="L1953" t="s">
        <v>70</v>
      </c>
      <c r="M1953" s="3" t="s">
        <v>1713</v>
      </c>
      <c r="N1953" s="20" t="s">
        <v>1786</v>
      </c>
    </row>
    <row r="1954" spans="1:14" hidden="1" x14ac:dyDescent="0.25">
      <c r="A1954" s="1" t="str">
        <f>VLOOKUP(Table2[[#This Row],[Prod Line ]],Lists!A:E,5,0)</f>
        <v>a</v>
      </c>
      <c r="B1954" s="1">
        <v>44473</v>
      </c>
      <c r="C1954" s="1">
        <v>44471</v>
      </c>
      <c r="D1954" s="1" t="s">
        <v>56</v>
      </c>
      <c r="E1954" s="2" t="s">
        <v>405</v>
      </c>
      <c r="F1954" s="1"/>
      <c r="G1954" s="2">
        <v>33</v>
      </c>
      <c r="H1954" s="1"/>
      <c r="I1954" t="s">
        <v>0</v>
      </c>
      <c r="J1954" t="s">
        <v>64</v>
      </c>
      <c r="K1954" t="s">
        <v>368</v>
      </c>
      <c r="L1954" t="s">
        <v>70</v>
      </c>
      <c r="M1954" s="3" t="s">
        <v>1714</v>
      </c>
      <c r="N1954" s="20" t="s">
        <v>1786</v>
      </c>
    </row>
    <row r="1955" spans="1:14" hidden="1" x14ac:dyDescent="0.25">
      <c r="A1955" s="1" t="str">
        <f>VLOOKUP(Table2[[#This Row],[Prod Line ]],Lists!A:E,5,0)</f>
        <v>a</v>
      </c>
      <c r="B1955" s="1">
        <v>44473</v>
      </c>
      <c r="C1955" s="1">
        <v>44471</v>
      </c>
      <c r="D1955" s="1" t="s">
        <v>56</v>
      </c>
      <c r="E1955" s="2" t="s">
        <v>405</v>
      </c>
      <c r="F1955" s="1"/>
      <c r="G1955" s="2">
        <v>16</v>
      </c>
      <c r="H1955" s="1"/>
      <c r="I1955" t="s">
        <v>1</v>
      </c>
      <c r="J1955" t="s">
        <v>2</v>
      </c>
      <c r="K1955" t="s">
        <v>19</v>
      </c>
      <c r="L1955" t="s">
        <v>349</v>
      </c>
      <c r="M1955" s="3" t="s">
        <v>1715</v>
      </c>
    </row>
    <row r="1956" spans="1:14" hidden="1" x14ac:dyDescent="0.25">
      <c r="A1956" s="1" t="str">
        <f>VLOOKUP(Table2[[#This Row],[Prod Line ]],Lists!A:E,5,0)</f>
        <v>d</v>
      </c>
      <c r="B1956" s="1">
        <v>44473</v>
      </c>
      <c r="C1956" s="1">
        <v>44471</v>
      </c>
      <c r="D1956" s="1" t="s">
        <v>62</v>
      </c>
      <c r="E1956" s="2" t="s">
        <v>406</v>
      </c>
      <c r="F1956" s="1"/>
      <c r="G1956" s="2">
        <v>10</v>
      </c>
      <c r="H1956" s="1"/>
      <c r="I1956" t="s">
        <v>0</v>
      </c>
      <c r="J1956" t="s">
        <v>5</v>
      </c>
      <c r="K1956" t="s">
        <v>397</v>
      </c>
      <c r="L1956" t="s">
        <v>70</v>
      </c>
      <c r="M1956" s="3" t="s">
        <v>1541</v>
      </c>
    </row>
    <row r="1957" spans="1:14" hidden="1" x14ac:dyDescent="0.25">
      <c r="A1957" s="1" t="str">
        <f>VLOOKUP(Table2[[#This Row],[Prod Line ]],Lists!A:E,5,0)</f>
        <v>c</v>
      </c>
      <c r="B1957" s="1">
        <v>44474</v>
      </c>
      <c r="C1957" s="1">
        <v>44472</v>
      </c>
      <c r="D1957" s="1" t="s">
        <v>60</v>
      </c>
      <c r="E1957" s="2" t="s">
        <v>405</v>
      </c>
      <c r="F1957" s="1"/>
      <c r="G1957" s="2">
        <v>26</v>
      </c>
      <c r="H1957" s="1"/>
      <c r="I1957" t="s">
        <v>1</v>
      </c>
      <c r="J1957" t="s">
        <v>2</v>
      </c>
      <c r="K1957" t="s">
        <v>378</v>
      </c>
      <c r="L1957" t="s">
        <v>1003</v>
      </c>
      <c r="M1957" s="3" t="s">
        <v>524</v>
      </c>
    </row>
    <row r="1958" spans="1:14" hidden="1" x14ac:dyDescent="0.25">
      <c r="A1958" s="1" t="str">
        <f>VLOOKUP(Table2[[#This Row],[Prod Line ]],Lists!A:E,5,0)</f>
        <v>c</v>
      </c>
      <c r="B1958" s="1">
        <v>44474</v>
      </c>
      <c r="C1958" s="1">
        <v>44472</v>
      </c>
      <c r="D1958" s="1" t="s">
        <v>60</v>
      </c>
      <c r="E1958" s="2" t="s">
        <v>405</v>
      </c>
      <c r="F1958" s="1"/>
      <c r="G1958" s="2">
        <v>52</v>
      </c>
      <c r="H1958" s="1"/>
      <c r="I1958" t="s">
        <v>1</v>
      </c>
      <c r="J1958" t="s">
        <v>2</v>
      </c>
      <c r="K1958" t="s">
        <v>378</v>
      </c>
      <c r="L1958" t="s">
        <v>72</v>
      </c>
      <c r="M1958" s="3" t="s">
        <v>1696</v>
      </c>
    </row>
    <row r="1959" spans="1:14" hidden="1" x14ac:dyDescent="0.25">
      <c r="A1959" s="1" t="str">
        <f>VLOOKUP(Table2[[#This Row],[Prod Line ]],Lists!A:E,5,0)</f>
        <v>b</v>
      </c>
      <c r="B1959" s="1">
        <v>44476</v>
      </c>
      <c r="C1959" s="1">
        <v>44473</v>
      </c>
      <c r="D1959" s="1" t="s">
        <v>58</v>
      </c>
      <c r="E1959" s="2" t="s">
        <v>406</v>
      </c>
      <c r="F1959" s="1"/>
      <c r="G1959" s="2">
        <v>8</v>
      </c>
      <c r="H1959" s="1"/>
      <c r="I1959" t="s">
        <v>1</v>
      </c>
      <c r="J1959" t="s">
        <v>65</v>
      </c>
      <c r="K1959" t="s">
        <v>3</v>
      </c>
      <c r="L1959" t="s">
        <v>350</v>
      </c>
      <c r="M1959" s="3" t="s">
        <v>1716</v>
      </c>
    </row>
    <row r="1960" spans="1:14" hidden="1" x14ac:dyDescent="0.25">
      <c r="A1960" s="1" t="str">
        <f>VLOOKUP(Table2[[#This Row],[Prod Line ]],Lists!A:E,5,0)</f>
        <v>c</v>
      </c>
      <c r="B1960" s="1">
        <v>44476</v>
      </c>
      <c r="C1960" s="1">
        <v>44474</v>
      </c>
      <c r="D1960" s="1" t="s">
        <v>60</v>
      </c>
      <c r="E1960" s="2" t="s">
        <v>774</v>
      </c>
      <c r="F1960" s="1"/>
      <c r="G1960" s="2">
        <v>28</v>
      </c>
      <c r="H1960" s="1"/>
      <c r="I1960" t="s">
        <v>1</v>
      </c>
      <c r="J1960" t="s">
        <v>2</v>
      </c>
      <c r="K1960" t="s">
        <v>377</v>
      </c>
      <c r="L1960" t="s">
        <v>430</v>
      </c>
      <c r="M1960" s="3" t="s">
        <v>1717</v>
      </c>
    </row>
    <row r="1961" spans="1:14" hidden="1" x14ac:dyDescent="0.25">
      <c r="A1961" s="1" t="str">
        <f>VLOOKUP(Table2[[#This Row],[Prod Line ]],Lists!A:E,5,0)</f>
        <v>c</v>
      </c>
      <c r="B1961" s="1">
        <v>44476</v>
      </c>
      <c r="C1961" s="1">
        <v>44474</v>
      </c>
      <c r="D1961" s="1" t="s">
        <v>60</v>
      </c>
      <c r="E1961" s="2" t="s">
        <v>774</v>
      </c>
      <c r="F1961" s="1"/>
      <c r="G1961" s="2">
        <v>68</v>
      </c>
      <c r="H1961" s="1"/>
      <c r="I1961" t="s">
        <v>1</v>
      </c>
      <c r="J1961" t="s">
        <v>2</v>
      </c>
      <c r="K1961" t="s">
        <v>378</v>
      </c>
      <c r="L1961" t="s">
        <v>72</v>
      </c>
      <c r="M1961" s="3" t="s">
        <v>1696</v>
      </c>
    </row>
    <row r="1962" spans="1:14" hidden="1" x14ac:dyDescent="0.25">
      <c r="A1962" s="1" t="str">
        <f>VLOOKUP(Table2[[#This Row],[Prod Line ]],Lists!A:E,5,0)</f>
        <v>b</v>
      </c>
      <c r="B1962" s="1">
        <v>44476</v>
      </c>
      <c r="C1962" s="1">
        <v>44474</v>
      </c>
      <c r="D1962" s="1" t="s">
        <v>58</v>
      </c>
      <c r="E1962" s="2" t="s">
        <v>406</v>
      </c>
      <c r="F1962" s="1"/>
      <c r="G1962" s="2">
        <v>17</v>
      </c>
      <c r="H1962" s="1"/>
      <c r="I1962" t="s">
        <v>0</v>
      </c>
      <c r="J1962" t="s">
        <v>64</v>
      </c>
      <c r="K1962" t="s">
        <v>20</v>
      </c>
      <c r="L1962" t="s">
        <v>70</v>
      </c>
      <c r="M1962" s="3" t="s">
        <v>1718</v>
      </c>
    </row>
    <row r="1963" spans="1:14" hidden="1" x14ac:dyDescent="0.25">
      <c r="A1963" s="1" t="str">
        <f>VLOOKUP(Table2[[#This Row],[Prod Line ]],Lists!A:E,5,0)</f>
        <v>d</v>
      </c>
      <c r="B1963" s="1">
        <v>44476</v>
      </c>
      <c r="C1963" s="1">
        <v>44474</v>
      </c>
      <c r="D1963" s="1" t="s">
        <v>62</v>
      </c>
      <c r="E1963" s="2" t="s">
        <v>406</v>
      </c>
      <c r="F1963" s="1"/>
      <c r="G1963" s="2">
        <v>20</v>
      </c>
      <c r="H1963" s="1"/>
      <c r="I1963" t="s">
        <v>0</v>
      </c>
      <c r="J1963" t="s">
        <v>66</v>
      </c>
      <c r="K1963" t="s">
        <v>4</v>
      </c>
      <c r="L1963" t="s">
        <v>70</v>
      </c>
      <c r="M1963" s="3" t="s">
        <v>1719</v>
      </c>
    </row>
    <row r="1964" spans="1:14" hidden="1" x14ac:dyDescent="0.25">
      <c r="A1964" s="1" t="str">
        <f>VLOOKUP(Table2[[#This Row],[Prod Line ]],Lists!A:E,5,0)</f>
        <v>d</v>
      </c>
      <c r="B1964" s="1">
        <v>44476</v>
      </c>
      <c r="C1964" s="1">
        <v>44474</v>
      </c>
      <c r="D1964" s="1" t="s">
        <v>62</v>
      </c>
      <c r="E1964" s="2" t="s">
        <v>406</v>
      </c>
      <c r="F1964" s="1"/>
      <c r="G1964" s="2">
        <v>7</v>
      </c>
      <c r="H1964" s="1"/>
      <c r="I1964" t="s">
        <v>1</v>
      </c>
      <c r="J1964" t="s">
        <v>64</v>
      </c>
      <c r="K1964" t="s">
        <v>379</v>
      </c>
      <c r="L1964" t="s">
        <v>407</v>
      </c>
      <c r="M1964" s="3" t="s">
        <v>682</v>
      </c>
    </row>
    <row r="1965" spans="1:14" hidden="1" x14ac:dyDescent="0.25">
      <c r="A1965" s="1" t="str">
        <f>VLOOKUP(Table2[[#This Row],[Prod Line ]],Lists!A:E,5,0)</f>
        <v>d</v>
      </c>
      <c r="B1965" s="1">
        <v>44476</v>
      </c>
      <c r="C1965" s="1">
        <v>44474</v>
      </c>
      <c r="D1965" s="1" t="s">
        <v>62</v>
      </c>
      <c r="E1965" s="2" t="s">
        <v>404</v>
      </c>
      <c r="F1965" s="1"/>
      <c r="G1965" s="2">
        <v>9</v>
      </c>
      <c r="H1965" s="1"/>
      <c r="I1965" t="s">
        <v>1</v>
      </c>
      <c r="J1965" t="s">
        <v>5</v>
      </c>
      <c r="K1965" t="s">
        <v>396</v>
      </c>
      <c r="L1965" t="s">
        <v>407</v>
      </c>
      <c r="M1965" s="3" t="s">
        <v>1720</v>
      </c>
    </row>
    <row r="1966" spans="1:14" hidden="1" x14ac:dyDescent="0.25">
      <c r="A1966" s="1" t="str">
        <f>VLOOKUP(Table2[[#This Row],[Prod Line ]],Lists!A:E,5,0)</f>
        <v>b</v>
      </c>
      <c r="B1966" s="1">
        <v>44477</v>
      </c>
      <c r="C1966" s="1">
        <v>44475</v>
      </c>
      <c r="D1966" s="1" t="s">
        <v>58</v>
      </c>
      <c r="E1966" s="2" t="s">
        <v>774</v>
      </c>
      <c r="F1966" s="1"/>
      <c r="G1966" s="2">
        <v>16</v>
      </c>
      <c r="H1966" s="1"/>
      <c r="I1966" t="s">
        <v>0</v>
      </c>
      <c r="J1966" t="s">
        <v>5</v>
      </c>
      <c r="K1966" t="s">
        <v>38</v>
      </c>
      <c r="L1966" t="s">
        <v>70</v>
      </c>
      <c r="M1966" s="3" t="s">
        <v>1721</v>
      </c>
    </row>
    <row r="1967" spans="1:14" hidden="1" x14ac:dyDescent="0.25">
      <c r="A1967" s="1" t="str">
        <f>VLOOKUP(Table2[[#This Row],[Prod Line ]],Lists!A:E,5,0)</f>
        <v>a</v>
      </c>
      <c r="B1967" s="1">
        <v>44477</v>
      </c>
      <c r="C1967" s="1">
        <v>44475</v>
      </c>
      <c r="D1967" s="1" t="s">
        <v>56</v>
      </c>
      <c r="E1967" s="2" t="s">
        <v>404</v>
      </c>
      <c r="F1967" s="1"/>
      <c r="G1967" s="2">
        <v>24</v>
      </c>
      <c r="H1967" s="1"/>
      <c r="I1967" t="s">
        <v>1</v>
      </c>
      <c r="J1967" t="s">
        <v>64</v>
      </c>
      <c r="K1967" t="s">
        <v>370</v>
      </c>
      <c r="L1967" t="s">
        <v>407</v>
      </c>
      <c r="M1967" s="3" t="s">
        <v>624</v>
      </c>
    </row>
    <row r="1968" spans="1:14" hidden="1" x14ac:dyDescent="0.25">
      <c r="A1968" s="1" t="str">
        <f>VLOOKUP(Table2[[#This Row],[Prod Line ]],Lists!A:E,5,0)</f>
        <v>d</v>
      </c>
      <c r="B1968" s="1">
        <v>44477</v>
      </c>
      <c r="C1968" s="1">
        <v>44475</v>
      </c>
      <c r="D1968" s="1" t="s">
        <v>62</v>
      </c>
      <c r="E1968" s="2" t="s">
        <v>406</v>
      </c>
      <c r="F1968" s="1"/>
      <c r="G1968" s="2">
        <v>4</v>
      </c>
      <c r="H1968" s="1"/>
      <c r="I1968" t="s">
        <v>1</v>
      </c>
      <c r="J1968" t="s">
        <v>5</v>
      </c>
      <c r="K1968" t="s">
        <v>396</v>
      </c>
      <c r="L1968" t="s">
        <v>407</v>
      </c>
      <c r="M1968" s="3" t="s">
        <v>1720</v>
      </c>
    </row>
    <row r="1969" spans="1:14" hidden="1" x14ac:dyDescent="0.25">
      <c r="A1969" s="1" t="str">
        <f>VLOOKUP(Table2[[#This Row],[Prod Line ]],Lists!A:E,5,0)</f>
        <v>c</v>
      </c>
      <c r="B1969" s="1">
        <v>44478</v>
      </c>
      <c r="C1969" s="1">
        <v>44476</v>
      </c>
      <c r="D1969" s="1" t="s">
        <v>60</v>
      </c>
      <c r="E1969" s="2" t="s">
        <v>404</v>
      </c>
      <c r="F1969" s="1"/>
      <c r="G1969" s="2">
        <v>5</v>
      </c>
      <c r="H1969" s="1"/>
      <c r="I1969" t="s">
        <v>1</v>
      </c>
      <c r="J1969" t="s">
        <v>2</v>
      </c>
      <c r="K1969" t="s">
        <v>378</v>
      </c>
      <c r="L1969" t="s">
        <v>345</v>
      </c>
      <c r="M1969" s="3" t="s">
        <v>1722</v>
      </c>
    </row>
    <row r="1970" spans="1:14" hidden="1" x14ac:dyDescent="0.25">
      <c r="A1970" s="1" t="str">
        <f>VLOOKUP(Table2[[#This Row],[Prod Line ]],Lists!A:E,5,0)</f>
        <v>c</v>
      </c>
      <c r="B1970" s="1">
        <v>44478</v>
      </c>
      <c r="C1970" s="1">
        <v>44476</v>
      </c>
      <c r="D1970" s="1" t="s">
        <v>60</v>
      </c>
      <c r="E1970" s="2" t="s">
        <v>405</v>
      </c>
      <c r="F1970" s="1"/>
      <c r="G1970" s="2">
        <v>50</v>
      </c>
      <c r="H1970" s="1"/>
      <c r="I1970" t="s">
        <v>1</v>
      </c>
      <c r="J1970" t="s">
        <v>64</v>
      </c>
      <c r="K1970" t="s">
        <v>3</v>
      </c>
      <c r="L1970" t="s">
        <v>441</v>
      </c>
      <c r="M1970" s="3" t="s">
        <v>1723</v>
      </c>
    </row>
    <row r="1971" spans="1:14" hidden="1" x14ac:dyDescent="0.25">
      <c r="A1971" s="1" t="str">
        <f>VLOOKUP(Table2[[#This Row],[Prod Line ]],Lists!A:E,5,0)</f>
        <v>c</v>
      </c>
      <c r="B1971" s="1">
        <v>44478</v>
      </c>
      <c r="C1971" s="1">
        <v>44476</v>
      </c>
      <c r="D1971" s="1" t="s">
        <v>60</v>
      </c>
      <c r="E1971" s="2" t="s">
        <v>405</v>
      </c>
      <c r="F1971" s="1"/>
      <c r="G1971" s="2">
        <v>19</v>
      </c>
      <c r="H1971" s="1"/>
      <c r="I1971" t="s">
        <v>1</v>
      </c>
      <c r="J1971" t="s">
        <v>2</v>
      </c>
      <c r="K1971" t="s">
        <v>377</v>
      </c>
      <c r="L1971" t="s">
        <v>349</v>
      </c>
      <c r="M1971" s="3" t="s">
        <v>1696</v>
      </c>
    </row>
    <row r="1972" spans="1:14" hidden="1" x14ac:dyDescent="0.25">
      <c r="A1972" s="1" t="str">
        <f>VLOOKUP(Table2[[#This Row],[Prod Line ]],Lists!A:E,5,0)</f>
        <v>b</v>
      </c>
      <c r="B1972" s="1">
        <v>44480</v>
      </c>
      <c r="C1972" s="1">
        <v>44477</v>
      </c>
      <c r="D1972" s="1" t="s">
        <v>58</v>
      </c>
      <c r="E1972" s="2" t="s">
        <v>406</v>
      </c>
      <c r="F1972" s="1"/>
      <c r="G1972" s="2">
        <v>20</v>
      </c>
      <c r="H1972" s="1"/>
      <c r="I1972" t="s">
        <v>1</v>
      </c>
      <c r="J1972" t="s">
        <v>67</v>
      </c>
      <c r="K1972" t="s">
        <v>67</v>
      </c>
      <c r="L1972" t="s">
        <v>407</v>
      </c>
      <c r="M1972" s="3" t="s">
        <v>1724</v>
      </c>
    </row>
    <row r="1973" spans="1:14" hidden="1" x14ac:dyDescent="0.25">
      <c r="A1973" s="1" t="str">
        <f>VLOOKUP(Table2[[#This Row],[Prod Line ]],Lists!A:E,5,0)</f>
        <v>a</v>
      </c>
      <c r="B1973" s="1">
        <v>44480</v>
      </c>
      <c r="C1973" s="1">
        <v>44478</v>
      </c>
      <c r="D1973" s="1" t="s">
        <v>56</v>
      </c>
      <c r="E1973" s="2" t="s">
        <v>404</v>
      </c>
      <c r="F1973" s="1"/>
      <c r="G1973" s="2">
        <v>55</v>
      </c>
      <c r="H1973" s="1"/>
      <c r="I1973" t="s">
        <v>0</v>
      </c>
      <c r="J1973" t="s">
        <v>66</v>
      </c>
      <c r="K1973" t="s">
        <v>4</v>
      </c>
      <c r="L1973" t="s">
        <v>70</v>
      </c>
      <c r="M1973" s="3" t="s">
        <v>1725</v>
      </c>
      <c r="N1973" s="20" t="s">
        <v>1787</v>
      </c>
    </row>
    <row r="1974" spans="1:14" hidden="1" x14ac:dyDescent="0.25">
      <c r="A1974" s="1" t="str">
        <f>VLOOKUP(Table2[[#This Row],[Prod Line ]],Lists!A:E,5,0)</f>
        <v>a</v>
      </c>
      <c r="B1974" s="1">
        <v>44480</v>
      </c>
      <c r="C1974" s="1">
        <v>44478</v>
      </c>
      <c r="D1974" s="1" t="s">
        <v>56</v>
      </c>
      <c r="E1974" s="2" t="s">
        <v>405</v>
      </c>
      <c r="F1974" s="1"/>
      <c r="G1974" s="2">
        <v>5</v>
      </c>
      <c r="H1974" s="1"/>
      <c r="I1974" t="s">
        <v>0</v>
      </c>
      <c r="J1974" t="s">
        <v>64</v>
      </c>
      <c r="K1974" t="s">
        <v>369</v>
      </c>
      <c r="L1974" t="s">
        <v>70</v>
      </c>
      <c r="M1974" s="3" t="s">
        <v>1726</v>
      </c>
    </row>
    <row r="1975" spans="1:14" hidden="1" x14ac:dyDescent="0.25">
      <c r="A1975" s="1" t="str">
        <f>VLOOKUP(Table2[[#This Row],[Prod Line ]],Lists!A:E,5,0)</f>
        <v>a</v>
      </c>
      <c r="B1975" s="1">
        <v>44480</v>
      </c>
      <c r="C1975" s="1">
        <v>44478</v>
      </c>
      <c r="D1975" s="1" t="s">
        <v>56</v>
      </c>
      <c r="E1975" s="2" t="s">
        <v>405</v>
      </c>
      <c r="F1975" s="1"/>
      <c r="G1975" s="2">
        <v>7</v>
      </c>
      <c r="H1975" s="1"/>
      <c r="I1975" t="s">
        <v>1</v>
      </c>
      <c r="J1975" t="s">
        <v>64</v>
      </c>
      <c r="K1975" t="s">
        <v>367</v>
      </c>
      <c r="L1975" t="s">
        <v>407</v>
      </c>
      <c r="M1975" s="3" t="s">
        <v>1727</v>
      </c>
    </row>
    <row r="1976" spans="1:14" hidden="1" x14ac:dyDescent="0.25">
      <c r="A1976" s="1" t="str">
        <f>VLOOKUP(Table2[[#This Row],[Prod Line ]],Lists!A:E,5,0)</f>
        <v>b</v>
      </c>
      <c r="B1976" s="1">
        <v>44480</v>
      </c>
      <c r="C1976" s="1">
        <v>44478</v>
      </c>
      <c r="D1976" s="1" t="s">
        <v>58</v>
      </c>
      <c r="E1976" s="2" t="s">
        <v>406</v>
      </c>
      <c r="F1976" s="1"/>
      <c r="G1976" s="2">
        <v>5</v>
      </c>
      <c r="H1976" s="1"/>
      <c r="I1976" t="s">
        <v>0</v>
      </c>
      <c r="J1976" t="s">
        <v>66</v>
      </c>
      <c r="K1976" t="s">
        <v>4</v>
      </c>
      <c r="L1976" t="s">
        <v>70</v>
      </c>
      <c r="M1976" s="3" t="s">
        <v>922</v>
      </c>
    </row>
    <row r="1977" spans="1:14" hidden="1" x14ac:dyDescent="0.25">
      <c r="A1977" s="1" t="str">
        <f>VLOOKUP(Table2[[#This Row],[Prod Line ]],Lists!A:E,5,0)</f>
        <v>b</v>
      </c>
      <c r="B1977" s="1">
        <v>44480</v>
      </c>
      <c r="C1977" s="1">
        <v>44478</v>
      </c>
      <c r="D1977" s="1" t="s">
        <v>58</v>
      </c>
      <c r="E1977" s="2" t="s">
        <v>405</v>
      </c>
      <c r="F1977" s="1"/>
      <c r="G1977" s="2">
        <v>8</v>
      </c>
      <c r="H1977" s="1"/>
      <c r="I1977" t="s">
        <v>1</v>
      </c>
      <c r="J1977" t="s">
        <v>65</v>
      </c>
      <c r="K1977" t="s">
        <v>3</v>
      </c>
      <c r="L1977" t="s">
        <v>441</v>
      </c>
      <c r="M1977" s="3" t="s">
        <v>1231</v>
      </c>
    </row>
    <row r="1978" spans="1:14" hidden="1" x14ac:dyDescent="0.25">
      <c r="A1978" s="1" t="str">
        <f>VLOOKUP(Table2[[#This Row],[Prod Line ]],Lists!A:E,5,0)</f>
        <v>c</v>
      </c>
      <c r="B1978" s="1">
        <v>44480</v>
      </c>
      <c r="C1978" s="1">
        <v>44478</v>
      </c>
      <c r="D1978" s="1" t="s">
        <v>60</v>
      </c>
      <c r="E1978" s="2" t="s">
        <v>405</v>
      </c>
      <c r="F1978" s="1"/>
      <c r="G1978" s="2">
        <v>30</v>
      </c>
      <c r="H1978" s="1"/>
      <c r="I1978" t="s">
        <v>1</v>
      </c>
      <c r="J1978" t="s">
        <v>65</v>
      </c>
      <c r="K1978" t="s">
        <v>3</v>
      </c>
      <c r="L1978" t="s">
        <v>430</v>
      </c>
      <c r="M1978" s="3" t="s">
        <v>1728</v>
      </c>
    </row>
    <row r="1979" spans="1:14" hidden="1" x14ac:dyDescent="0.25">
      <c r="A1979" s="1" t="str">
        <f>VLOOKUP(Table2[[#This Row],[Prod Line ]],Lists!A:E,5,0)</f>
        <v>d</v>
      </c>
      <c r="B1979" s="1">
        <v>44480</v>
      </c>
      <c r="C1979" s="1">
        <v>44478</v>
      </c>
      <c r="D1979" s="1" t="s">
        <v>62</v>
      </c>
      <c r="E1979" s="2" t="s">
        <v>406</v>
      </c>
      <c r="F1979" s="1"/>
      <c r="G1979" s="2">
        <v>45</v>
      </c>
      <c r="H1979" s="1"/>
      <c r="I1979" t="s">
        <v>0</v>
      </c>
      <c r="J1979" t="s">
        <v>64</v>
      </c>
      <c r="K1979" t="s">
        <v>379</v>
      </c>
      <c r="L1979" t="s">
        <v>69</v>
      </c>
      <c r="M1979" s="3" t="s">
        <v>1460</v>
      </c>
      <c r="N1979" s="20" t="s">
        <v>1788</v>
      </c>
    </row>
    <row r="1980" spans="1:14" hidden="1" x14ac:dyDescent="0.25">
      <c r="A1980" s="1" t="str">
        <f>VLOOKUP(Table2[[#This Row],[Prod Line ]],Lists!A:E,5,0)</f>
        <v>d</v>
      </c>
      <c r="B1980" s="1">
        <v>44480</v>
      </c>
      <c r="C1980" s="1">
        <v>44478</v>
      </c>
      <c r="D1980" s="1" t="s">
        <v>62</v>
      </c>
      <c r="E1980" s="2" t="s">
        <v>404</v>
      </c>
      <c r="F1980" s="1"/>
      <c r="G1980" s="2">
        <v>25</v>
      </c>
      <c r="H1980" s="1"/>
      <c r="I1980" t="s">
        <v>1</v>
      </c>
      <c r="J1980" t="s">
        <v>2</v>
      </c>
      <c r="K1980" t="s">
        <v>19</v>
      </c>
      <c r="L1980" t="s">
        <v>430</v>
      </c>
      <c r="M1980" s="3" t="s">
        <v>1729</v>
      </c>
    </row>
    <row r="1981" spans="1:14" hidden="1" x14ac:dyDescent="0.25">
      <c r="A1981" s="1" t="str">
        <f>VLOOKUP(Table2[[#This Row],[Prod Line ]],Lists!A:E,5,0)</f>
        <v>d</v>
      </c>
      <c r="B1981" s="1">
        <v>44480</v>
      </c>
      <c r="C1981" s="1">
        <v>44478</v>
      </c>
      <c r="D1981" s="1" t="s">
        <v>62</v>
      </c>
      <c r="E1981" s="2" t="s">
        <v>404</v>
      </c>
      <c r="F1981" s="1"/>
      <c r="G1981" s="2">
        <v>10</v>
      </c>
      <c r="H1981" s="1"/>
      <c r="I1981" t="s">
        <v>1</v>
      </c>
      <c r="J1981" t="s">
        <v>5</v>
      </c>
      <c r="K1981" t="s">
        <v>395</v>
      </c>
      <c r="L1981" t="s">
        <v>430</v>
      </c>
      <c r="M1981" s="3" t="s">
        <v>1730</v>
      </c>
    </row>
    <row r="1982" spans="1:14" hidden="1" x14ac:dyDescent="0.25">
      <c r="A1982" s="1" t="str">
        <f>VLOOKUP(Table2[[#This Row],[Prod Line ]],Lists!A:E,5,0)</f>
        <v>a</v>
      </c>
      <c r="B1982" s="1">
        <v>44481</v>
      </c>
      <c r="C1982" s="1">
        <v>44479</v>
      </c>
      <c r="D1982" s="1" t="s">
        <v>56</v>
      </c>
      <c r="E1982" s="2" t="s">
        <v>404</v>
      </c>
      <c r="F1982" s="1"/>
      <c r="G1982" s="2">
        <v>17</v>
      </c>
      <c r="H1982" s="1"/>
      <c r="I1982" t="s">
        <v>0</v>
      </c>
      <c r="J1982" t="s">
        <v>65</v>
      </c>
      <c r="K1982" t="s">
        <v>27</v>
      </c>
      <c r="L1982" t="s">
        <v>70</v>
      </c>
      <c r="M1982" s="3" t="s">
        <v>1731</v>
      </c>
    </row>
    <row r="1983" spans="1:14" hidden="1" x14ac:dyDescent="0.25">
      <c r="A1983" s="1" t="str">
        <f>VLOOKUP(Table2[[#This Row],[Prod Line ]],Lists!A:E,5,0)</f>
        <v>a</v>
      </c>
      <c r="B1983" s="1">
        <v>44481</v>
      </c>
      <c r="C1983" s="1">
        <v>44479</v>
      </c>
      <c r="D1983" s="1" t="s">
        <v>56</v>
      </c>
      <c r="E1983" s="2" t="s">
        <v>404</v>
      </c>
      <c r="F1983" s="1"/>
      <c r="G1983" s="2">
        <v>5</v>
      </c>
      <c r="H1983" s="1"/>
      <c r="I1983" t="s">
        <v>1</v>
      </c>
      <c r="J1983" t="s">
        <v>64</v>
      </c>
      <c r="K1983" t="s">
        <v>369</v>
      </c>
      <c r="L1983" t="s">
        <v>407</v>
      </c>
      <c r="M1983" s="3" t="s">
        <v>750</v>
      </c>
    </row>
    <row r="1984" spans="1:14" hidden="1" x14ac:dyDescent="0.25">
      <c r="A1984" s="1" t="str">
        <f>VLOOKUP(Table2[[#This Row],[Prod Line ]],Lists!A:E,5,0)</f>
        <v>c</v>
      </c>
      <c r="B1984" s="1">
        <v>44481</v>
      </c>
      <c r="C1984" s="1">
        <v>44479</v>
      </c>
      <c r="D1984" s="1" t="s">
        <v>60</v>
      </c>
      <c r="E1984" s="2" t="s">
        <v>404</v>
      </c>
      <c r="F1984" s="1"/>
      <c r="G1984" s="2">
        <v>8</v>
      </c>
      <c r="H1984" s="1"/>
      <c r="I1984" t="s">
        <v>0</v>
      </c>
      <c r="J1984" t="s">
        <v>64</v>
      </c>
      <c r="K1984" t="s">
        <v>379</v>
      </c>
      <c r="L1984" t="s">
        <v>70</v>
      </c>
      <c r="M1984" s="3" t="s">
        <v>1732</v>
      </c>
    </row>
    <row r="1985" spans="1:14" hidden="1" x14ac:dyDescent="0.25">
      <c r="A1985" s="1" t="str">
        <f>VLOOKUP(Table2[[#This Row],[Prod Line ]],Lists!A:E,5,0)</f>
        <v>b</v>
      </c>
      <c r="B1985" s="1">
        <v>44481</v>
      </c>
      <c r="C1985" s="1">
        <v>44479</v>
      </c>
      <c r="D1985" s="1" t="s">
        <v>58</v>
      </c>
      <c r="E1985" s="2" t="s">
        <v>405</v>
      </c>
      <c r="F1985" s="1"/>
      <c r="G1985" s="2">
        <v>7</v>
      </c>
      <c r="H1985" s="1"/>
      <c r="I1985" t="s">
        <v>1</v>
      </c>
      <c r="J1985" t="s">
        <v>64</v>
      </c>
      <c r="K1985" t="s">
        <v>20</v>
      </c>
      <c r="L1985" t="s">
        <v>407</v>
      </c>
      <c r="M1985" s="3" t="s">
        <v>1733</v>
      </c>
    </row>
    <row r="1986" spans="1:14" hidden="1" x14ac:dyDescent="0.25">
      <c r="A1986" s="1" t="str">
        <f>VLOOKUP(Table2[[#This Row],[Prod Line ]],Lists!A:E,5,0)</f>
        <v>b</v>
      </c>
      <c r="B1986" s="1">
        <v>44481</v>
      </c>
      <c r="C1986" s="1">
        <v>44479</v>
      </c>
      <c r="D1986" s="1" t="s">
        <v>58</v>
      </c>
      <c r="E1986" s="2" t="s">
        <v>405</v>
      </c>
      <c r="F1986" s="1"/>
      <c r="G1986" s="2">
        <v>3</v>
      </c>
      <c r="H1986" s="1"/>
      <c r="I1986" t="s">
        <v>1</v>
      </c>
      <c r="J1986" t="s">
        <v>65</v>
      </c>
      <c r="K1986" t="s">
        <v>27</v>
      </c>
      <c r="L1986" t="s">
        <v>441</v>
      </c>
      <c r="M1986" s="3" t="s">
        <v>612</v>
      </c>
    </row>
    <row r="1987" spans="1:14" hidden="1" x14ac:dyDescent="0.25">
      <c r="A1987" s="1" t="str">
        <f>VLOOKUP(Table2[[#This Row],[Prod Line ]],Lists!A:E,5,0)</f>
        <v>b</v>
      </c>
      <c r="B1987" s="1">
        <v>44481</v>
      </c>
      <c r="C1987" s="1">
        <v>44479</v>
      </c>
      <c r="D1987" s="1" t="s">
        <v>58</v>
      </c>
      <c r="E1987" s="2" t="s">
        <v>406</v>
      </c>
      <c r="F1987" s="1"/>
      <c r="G1987" s="2">
        <v>15</v>
      </c>
      <c r="H1987" s="1"/>
      <c r="I1987" t="s">
        <v>1</v>
      </c>
      <c r="J1987" t="s">
        <v>5</v>
      </c>
      <c r="K1987" t="s">
        <v>36</v>
      </c>
      <c r="L1987" t="s">
        <v>407</v>
      </c>
      <c r="M1987" s="3" t="s">
        <v>1734</v>
      </c>
    </row>
    <row r="1988" spans="1:14" hidden="1" x14ac:dyDescent="0.25">
      <c r="A1988" s="1" t="str">
        <f>VLOOKUP(Table2[[#This Row],[Prod Line ]],Lists!A:E,5,0)</f>
        <v>d</v>
      </c>
      <c r="B1988" s="1">
        <v>44481</v>
      </c>
      <c r="C1988" s="1">
        <v>44479</v>
      </c>
      <c r="D1988" s="1" t="s">
        <v>62</v>
      </c>
      <c r="E1988" s="2" t="s">
        <v>404</v>
      </c>
      <c r="F1988" s="1"/>
      <c r="G1988" s="2">
        <v>22</v>
      </c>
      <c r="H1988" s="1"/>
      <c r="I1988" t="s">
        <v>1</v>
      </c>
      <c r="J1988" t="s">
        <v>5</v>
      </c>
      <c r="K1988" t="s">
        <v>397</v>
      </c>
      <c r="L1988" t="s">
        <v>407</v>
      </c>
      <c r="M1988" s="3" t="s">
        <v>1735</v>
      </c>
    </row>
    <row r="1989" spans="1:14" hidden="1" x14ac:dyDescent="0.25">
      <c r="A1989" s="1" t="str">
        <f>VLOOKUP(Table2[[#This Row],[Prod Line ]],Lists!A:E,5,0)</f>
        <v>d</v>
      </c>
      <c r="B1989" s="1">
        <v>44481</v>
      </c>
      <c r="C1989" s="1">
        <v>44479</v>
      </c>
      <c r="D1989" s="1" t="s">
        <v>62</v>
      </c>
      <c r="E1989" s="2" t="s">
        <v>404</v>
      </c>
      <c r="F1989" s="1"/>
      <c r="G1989" s="2">
        <v>6</v>
      </c>
      <c r="H1989" s="1"/>
      <c r="I1989" t="s">
        <v>1</v>
      </c>
      <c r="J1989" t="s">
        <v>2</v>
      </c>
      <c r="K1989" t="s">
        <v>19</v>
      </c>
      <c r="L1989" t="s">
        <v>349</v>
      </c>
      <c r="M1989" s="3" t="s">
        <v>575</v>
      </c>
    </row>
    <row r="1990" spans="1:14" hidden="1" x14ac:dyDescent="0.25">
      <c r="A1990" s="1" t="str">
        <f>VLOOKUP(Table2[[#This Row],[Prod Line ]],Lists!A:E,5,0)</f>
        <v>d</v>
      </c>
      <c r="B1990" s="1">
        <v>44481</v>
      </c>
      <c r="C1990" s="1">
        <v>44479</v>
      </c>
      <c r="D1990" s="1" t="s">
        <v>62</v>
      </c>
      <c r="E1990" s="2" t="s">
        <v>406</v>
      </c>
      <c r="F1990" s="1"/>
      <c r="G1990" s="2">
        <v>10</v>
      </c>
      <c r="H1990" s="1"/>
      <c r="I1990" t="s">
        <v>1</v>
      </c>
      <c r="J1990" t="s">
        <v>2</v>
      </c>
      <c r="K1990" t="s">
        <v>19</v>
      </c>
      <c r="L1990" t="s">
        <v>349</v>
      </c>
      <c r="M1990" s="3" t="s">
        <v>575</v>
      </c>
    </row>
    <row r="1991" spans="1:14" hidden="1" x14ac:dyDescent="0.25">
      <c r="A1991" s="1" t="str">
        <f>VLOOKUP(Table2[[#This Row],[Prod Line ]],Lists!A:E,5,0)</f>
        <v>d</v>
      </c>
      <c r="B1991" s="1">
        <v>44481</v>
      </c>
      <c r="C1991" s="1">
        <v>44479</v>
      </c>
      <c r="D1991" s="1" t="s">
        <v>62</v>
      </c>
      <c r="E1991" s="2" t="s">
        <v>405</v>
      </c>
      <c r="F1991" s="1"/>
      <c r="G1991" s="2">
        <v>15</v>
      </c>
      <c r="H1991" s="1"/>
      <c r="I1991" t="s">
        <v>1</v>
      </c>
      <c r="J1991" t="s">
        <v>5</v>
      </c>
      <c r="K1991" t="s">
        <v>397</v>
      </c>
      <c r="L1991" t="s">
        <v>407</v>
      </c>
      <c r="M1991" s="3" t="s">
        <v>1217</v>
      </c>
    </row>
    <row r="1992" spans="1:14" hidden="1" x14ac:dyDescent="0.25">
      <c r="A1992" s="1" t="str">
        <f>VLOOKUP(Table2[[#This Row],[Prod Line ]],Lists!A:E,5,0)</f>
        <v>b</v>
      </c>
      <c r="B1992" s="1">
        <v>44481</v>
      </c>
      <c r="C1992" s="1">
        <v>44479</v>
      </c>
      <c r="D1992" s="1" t="s">
        <v>58</v>
      </c>
      <c r="E1992" s="2" t="s">
        <v>404</v>
      </c>
      <c r="F1992" s="1"/>
      <c r="G1992" s="2">
        <v>29</v>
      </c>
      <c r="H1992" s="1"/>
      <c r="I1992" t="s">
        <v>1</v>
      </c>
      <c r="J1992" t="s">
        <v>64</v>
      </c>
      <c r="K1992" t="s">
        <v>21</v>
      </c>
      <c r="L1992" t="s">
        <v>72</v>
      </c>
      <c r="M1992" s="3" t="s">
        <v>1581</v>
      </c>
    </row>
    <row r="1993" spans="1:14" hidden="1" x14ac:dyDescent="0.25">
      <c r="A1993" s="1" t="str">
        <f>VLOOKUP(Table2[[#This Row],[Prod Line ]],Lists!A:E,5,0)</f>
        <v>a</v>
      </c>
      <c r="B1993" s="1">
        <v>44481</v>
      </c>
      <c r="C1993" s="1">
        <v>44479</v>
      </c>
      <c r="D1993" s="1" t="s">
        <v>56</v>
      </c>
      <c r="E1993" s="2" t="s">
        <v>405</v>
      </c>
      <c r="F1993" s="1"/>
      <c r="G1993" s="2">
        <v>9</v>
      </c>
      <c r="H1993" s="1"/>
      <c r="I1993" t="s">
        <v>0</v>
      </c>
      <c r="J1993" t="s">
        <v>65</v>
      </c>
      <c r="K1993" t="s">
        <v>372</v>
      </c>
      <c r="L1993" t="s">
        <v>70</v>
      </c>
      <c r="M1993" s="3" t="s">
        <v>432</v>
      </c>
    </row>
    <row r="1994" spans="1:14" hidden="1" x14ac:dyDescent="0.25">
      <c r="A1994" s="1" t="str">
        <f>VLOOKUP(Table2[[#This Row],[Prod Line ]],Lists!A:E,5,0)</f>
        <v>a</v>
      </c>
      <c r="B1994" s="1">
        <v>44481</v>
      </c>
      <c r="C1994" s="1">
        <v>44479</v>
      </c>
      <c r="D1994" s="1" t="s">
        <v>56</v>
      </c>
      <c r="E1994" s="2" t="s">
        <v>405</v>
      </c>
      <c r="F1994" s="1"/>
      <c r="G1994" s="2">
        <v>7</v>
      </c>
      <c r="H1994" s="1"/>
      <c r="I1994" t="s">
        <v>1</v>
      </c>
      <c r="J1994" t="s">
        <v>64</v>
      </c>
      <c r="K1994" t="s">
        <v>369</v>
      </c>
      <c r="L1994" t="s">
        <v>407</v>
      </c>
      <c r="M1994" s="3" t="s">
        <v>939</v>
      </c>
    </row>
    <row r="1995" spans="1:14" hidden="1" x14ac:dyDescent="0.25">
      <c r="A1995" s="1" t="str">
        <f>VLOOKUP(Table2[[#This Row],[Prod Line ]],Lists!A:E,5,0)</f>
        <v>a</v>
      </c>
      <c r="B1995" s="1">
        <v>44481</v>
      </c>
      <c r="C1995" s="1">
        <v>44479</v>
      </c>
      <c r="D1995" s="1" t="s">
        <v>56</v>
      </c>
      <c r="E1995" s="2" t="s">
        <v>405</v>
      </c>
      <c r="F1995" s="1"/>
      <c r="G1995" s="2">
        <v>15</v>
      </c>
      <c r="H1995" s="1"/>
      <c r="I1995" t="s">
        <v>1</v>
      </c>
      <c r="J1995" t="s">
        <v>64</v>
      </c>
      <c r="K1995" t="s">
        <v>368</v>
      </c>
      <c r="L1995" t="s">
        <v>407</v>
      </c>
      <c r="M1995" s="3" t="s">
        <v>1688</v>
      </c>
    </row>
    <row r="1996" spans="1:14" hidden="1" x14ac:dyDescent="0.25">
      <c r="A1996" s="1" t="str">
        <f>VLOOKUP(Table2[[#This Row],[Prod Line ]],Lists!A:E,5,0)</f>
        <v>a</v>
      </c>
      <c r="B1996" s="1">
        <v>44481</v>
      </c>
      <c r="C1996" s="1">
        <v>44479</v>
      </c>
      <c r="D1996" s="1" t="s">
        <v>56</v>
      </c>
      <c r="E1996" s="2" t="s">
        <v>405</v>
      </c>
      <c r="F1996" s="1"/>
      <c r="G1996" s="2">
        <v>5</v>
      </c>
      <c r="H1996" s="1"/>
      <c r="I1996" t="s">
        <v>1</v>
      </c>
      <c r="J1996" t="s">
        <v>2</v>
      </c>
      <c r="K1996" t="s">
        <v>19</v>
      </c>
      <c r="L1996" t="s">
        <v>407</v>
      </c>
      <c r="M1996" s="3" t="s">
        <v>1736</v>
      </c>
    </row>
    <row r="1997" spans="1:14" hidden="1" x14ac:dyDescent="0.25">
      <c r="A1997" s="1" t="str">
        <f>VLOOKUP(Table2[[#This Row],[Prod Line ]],Lists!A:E,5,0)</f>
        <v>b</v>
      </c>
      <c r="B1997" s="1">
        <v>44483</v>
      </c>
      <c r="C1997" s="1">
        <v>44481</v>
      </c>
      <c r="D1997" s="1" t="s">
        <v>58</v>
      </c>
      <c r="E1997" s="2" t="s">
        <v>406</v>
      </c>
      <c r="F1997" s="1"/>
      <c r="G1997" s="2">
        <v>2</v>
      </c>
      <c r="H1997" s="1"/>
      <c r="I1997" t="s">
        <v>1</v>
      </c>
      <c r="J1997" t="s">
        <v>64</v>
      </c>
      <c r="K1997" t="s">
        <v>24</v>
      </c>
      <c r="L1997" t="s">
        <v>407</v>
      </c>
      <c r="M1997" s="3" t="s">
        <v>750</v>
      </c>
    </row>
    <row r="1998" spans="1:14" hidden="1" x14ac:dyDescent="0.25">
      <c r="A1998" s="1" t="str">
        <f>VLOOKUP(Table2[[#This Row],[Prod Line ]],Lists!A:E,5,0)</f>
        <v>b</v>
      </c>
      <c r="B1998" s="1">
        <v>44483</v>
      </c>
      <c r="C1998" s="1">
        <v>44481</v>
      </c>
      <c r="D1998" s="1" t="s">
        <v>58</v>
      </c>
      <c r="E1998" s="2" t="s">
        <v>404</v>
      </c>
      <c r="F1998" s="1"/>
      <c r="G1998" s="2">
        <v>10</v>
      </c>
      <c r="H1998" s="1"/>
      <c r="I1998" t="s">
        <v>0</v>
      </c>
      <c r="J1998" t="s">
        <v>65</v>
      </c>
      <c r="K1998" t="s">
        <v>27</v>
      </c>
      <c r="L1998" t="s">
        <v>70</v>
      </c>
      <c r="M1998" s="3" t="s">
        <v>1704</v>
      </c>
    </row>
    <row r="1999" spans="1:14" hidden="1" x14ac:dyDescent="0.25">
      <c r="A1999" s="1" t="str">
        <f>VLOOKUP(Table2[[#This Row],[Prod Line ]],Lists!A:E,5,0)</f>
        <v>b</v>
      </c>
      <c r="B1999" s="1">
        <v>44483</v>
      </c>
      <c r="C1999" s="1">
        <v>44481</v>
      </c>
      <c r="D1999" s="1" t="s">
        <v>58</v>
      </c>
      <c r="E1999" s="2" t="s">
        <v>404</v>
      </c>
      <c r="F1999" s="1"/>
      <c r="G1999" s="2">
        <v>137</v>
      </c>
      <c r="H1999" s="1"/>
      <c r="I1999" t="s">
        <v>0</v>
      </c>
      <c r="J1999" t="s">
        <v>66</v>
      </c>
      <c r="K1999" t="s">
        <v>4</v>
      </c>
      <c r="L1999" t="s">
        <v>70</v>
      </c>
      <c r="M1999" s="3" t="s">
        <v>1486</v>
      </c>
      <c r="N1999" s="20" t="s">
        <v>1789</v>
      </c>
    </row>
    <row r="2000" spans="1:14" hidden="1" x14ac:dyDescent="0.25">
      <c r="A2000" s="1" t="str">
        <f>VLOOKUP(Table2[[#This Row],[Prod Line ]],Lists!A:E,5,0)</f>
        <v>b</v>
      </c>
      <c r="B2000" s="1">
        <v>44483</v>
      </c>
      <c r="C2000" s="1">
        <v>44481</v>
      </c>
      <c r="D2000" s="1" t="s">
        <v>58</v>
      </c>
      <c r="E2000" s="2" t="s">
        <v>405</v>
      </c>
      <c r="F2000" s="1"/>
      <c r="G2000" s="2">
        <v>179</v>
      </c>
      <c r="H2000" s="1"/>
      <c r="I2000" t="s">
        <v>0</v>
      </c>
      <c r="J2000" t="s">
        <v>66</v>
      </c>
      <c r="K2000" t="s">
        <v>4</v>
      </c>
      <c r="L2000" t="s">
        <v>70</v>
      </c>
      <c r="M2000" s="3" t="s">
        <v>1486</v>
      </c>
      <c r="N2000" s="20" t="s">
        <v>1790</v>
      </c>
    </row>
    <row r="2001" spans="1:14" hidden="1" x14ac:dyDescent="0.25">
      <c r="A2001" s="1" t="str">
        <f>VLOOKUP(Table2[[#This Row],[Prod Line ]],Lists!A:E,5,0)</f>
        <v>b</v>
      </c>
      <c r="B2001" s="1">
        <v>44483</v>
      </c>
      <c r="C2001" s="1">
        <v>44481</v>
      </c>
      <c r="D2001" s="1" t="s">
        <v>58</v>
      </c>
      <c r="E2001" s="2" t="s">
        <v>404</v>
      </c>
      <c r="F2001" s="1"/>
      <c r="G2001" s="2">
        <v>34</v>
      </c>
      <c r="H2001" s="1"/>
      <c r="I2001" t="s">
        <v>1</v>
      </c>
      <c r="J2001" t="s">
        <v>65</v>
      </c>
      <c r="K2001" t="s">
        <v>27</v>
      </c>
      <c r="L2001" t="s">
        <v>441</v>
      </c>
      <c r="M2001" s="3" t="s">
        <v>1579</v>
      </c>
    </row>
    <row r="2002" spans="1:14" hidden="1" x14ac:dyDescent="0.25">
      <c r="A2002" s="1" t="str">
        <f>VLOOKUP(Table2[[#This Row],[Prod Line ]],Lists!A:E,5,0)</f>
        <v>a</v>
      </c>
      <c r="B2002" s="1">
        <v>44484</v>
      </c>
      <c r="C2002" s="1">
        <v>44482</v>
      </c>
      <c r="D2002" s="1" t="s">
        <v>56</v>
      </c>
      <c r="E2002" s="2" t="s">
        <v>404</v>
      </c>
      <c r="F2002" s="1"/>
      <c r="G2002" s="2">
        <v>5</v>
      </c>
      <c r="H2002" s="1"/>
      <c r="I2002" t="s">
        <v>1</v>
      </c>
      <c r="J2002" t="s">
        <v>64</v>
      </c>
      <c r="K2002" t="s">
        <v>370</v>
      </c>
      <c r="L2002" t="s">
        <v>407</v>
      </c>
      <c r="M2002" s="3" t="s">
        <v>939</v>
      </c>
    </row>
    <row r="2003" spans="1:14" hidden="1" x14ac:dyDescent="0.25">
      <c r="A2003" s="1" t="str">
        <f>VLOOKUP(Table2[[#This Row],[Prod Line ]],Lists!A:E,5,0)</f>
        <v>a</v>
      </c>
      <c r="B2003" s="1">
        <v>44484</v>
      </c>
      <c r="C2003" s="1">
        <v>44482</v>
      </c>
      <c r="D2003" s="1" t="s">
        <v>56</v>
      </c>
      <c r="E2003" s="2" t="s">
        <v>405</v>
      </c>
      <c r="F2003" s="1"/>
      <c r="G2003" s="2">
        <v>17</v>
      </c>
      <c r="H2003" s="1"/>
      <c r="I2003" t="s">
        <v>1</v>
      </c>
      <c r="J2003" t="s">
        <v>64</v>
      </c>
      <c r="K2003" t="s">
        <v>370</v>
      </c>
      <c r="L2003" t="s">
        <v>407</v>
      </c>
      <c r="M2003" s="3" t="s">
        <v>939</v>
      </c>
    </row>
    <row r="2004" spans="1:14" hidden="1" x14ac:dyDescent="0.25">
      <c r="A2004" s="1" t="str">
        <f>VLOOKUP(Table2[[#This Row],[Prod Line ]],Lists!A:E,5,0)</f>
        <v>c</v>
      </c>
      <c r="B2004" s="1">
        <v>44484</v>
      </c>
      <c r="C2004" s="1">
        <v>44482</v>
      </c>
      <c r="D2004" s="1" t="s">
        <v>60</v>
      </c>
      <c r="E2004" s="2" t="s">
        <v>404</v>
      </c>
      <c r="F2004" s="1"/>
      <c r="G2004" s="2">
        <v>70</v>
      </c>
      <c r="H2004" s="1"/>
      <c r="I2004" t="s">
        <v>0</v>
      </c>
      <c r="J2004" t="s">
        <v>2</v>
      </c>
      <c r="K2004" t="s">
        <v>378</v>
      </c>
      <c r="L2004" t="s">
        <v>70</v>
      </c>
      <c r="M2004" s="3" t="s">
        <v>1737</v>
      </c>
      <c r="N2004" s="20" t="s">
        <v>1791</v>
      </c>
    </row>
    <row r="2005" spans="1:14" hidden="1" x14ac:dyDescent="0.25">
      <c r="A2005" s="1" t="str">
        <f>VLOOKUP(Table2[[#This Row],[Prod Line ]],Lists!A:E,5,0)</f>
        <v>c</v>
      </c>
      <c r="B2005" s="1">
        <v>44484</v>
      </c>
      <c r="C2005" s="1">
        <v>44482</v>
      </c>
      <c r="D2005" s="1" t="s">
        <v>60</v>
      </c>
      <c r="E2005" s="2" t="s">
        <v>404</v>
      </c>
      <c r="F2005" s="1"/>
      <c r="G2005" s="2">
        <v>13</v>
      </c>
      <c r="H2005" s="1"/>
      <c r="I2005" t="s">
        <v>0</v>
      </c>
      <c r="J2005" t="s">
        <v>64</v>
      </c>
      <c r="K2005" t="s">
        <v>381</v>
      </c>
      <c r="L2005" t="s">
        <v>70</v>
      </c>
      <c r="M2005" s="3" t="s">
        <v>1738</v>
      </c>
    </row>
    <row r="2006" spans="1:14" hidden="1" x14ac:dyDescent="0.25">
      <c r="A2006" s="1" t="str">
        <f>VLOOKUP(Table2[[#This Row],[Prod Line ]],Lists!A:E,5,0)</f>
        <v>c</v>
      </c>
      <c r="B2006" s="1">
        <v>44484</v>
      </c>
      <c r="C2006" s="1">
        <v>44482</v>
      </c>
      <c r="D2006" s="1" t="s">
        <v>60</v>
      </c>
      <c r="E2006" s="2" t="s">
        <v>405</v>
      </c>
      <c r="F2006" s="1"/>
      <c r="G2006" s="2">
        <v>28</v>
      </c>
      <c r="H2006" s="1"/>
      <c r="I2006" t="s">
        <v>0</v>
      </c>
      <c r="J2006" t="s">
        <v>64</v>
      </c>
      <c r="K2006" t="s">
        <v>379</v>
      </c>
      <c r="L2006" t="s">
        <v>70</v>
      </c>
      <c r="M2006" s="3" t="s">
        <v>1739</v>
      </c>
    </row>
    <row r="2007" spans="1:14" hidden="1" x14ac:dyDescent="0.25">
      <c r="A2007" s="1" t="str">
        <f>VLOOKUP(Table2[[#This Row],[Prod Line ]],Lists!A:E,5,0)</f>
        <v>c</v>
      </c>
      <c r="B2007" s="1">
        <v>44484</v>
      </c>
      <c r="C2007" s="1">
        <v>44482</v>
      </c>
      <c r="D2007" s="1" t="s">
        <v>60</v>
      </c>
      <c r="E2007" s="2" t="s">
        <v>405</v>
      </c>
      <c r="F2007" s="1"/>
      <c r="G2007" s="2">
        <v>16</v>
      </c>
      <c r="H2007" s="1"/>
      <c r="I2007" t="s">
        <v>0</v>
      </c>
      <c r="J2007" t="s">
        <v>64</v>
      </c>
      <c r="K2007" t="s">
        <v>381</v>
      </c>
      <c r="L2007" t="s">
        <v>70</v>
      </c>
      <c r="M2007" s="3" t="s">
        <v>1738</v>
      </c>
    </row>
    <row r="2008" spans="1:14" hidden="1" x14ac:dyDescent="0.25">
      <c r="A2008" s="1" t="str">
        <f>VLOOKUP(Table2[[#This Row],[Prod Line ]],Lists!A:E,5,0)</f>
        <v>c</v>
      </c>
      <c r="B2008" s="1">
        <v>44484</v>
      </c>
      <c r="C2008" s="1">
        <v>44482</v>
      </c>
      <c r="D2008" s="1" t="s">
        <v>60</v>
      </c>
      <c r="E2008" s="2" t="s">
        <v>405</v>
      </c>
      <c r="F2008" s="1"/>
      <c r="G2008" s="2">
        <v>40</v>
      </c>
      <c r="H2008" s="1"/>
      <c r="I2008" t="s">
        <v>0</v>
      </c>
      <c r="J2008" t="s">
        <v>2</v>
      </c>
      <c r="K2008" t="s">
        <v>378</v>
      </c>
      <c r="L2008" t="s">
        <v>70</v>
      </c>
      <c r="M2008" s="3" t="s">
        <v>1737</v>
      </c>
      <c r="N2008" s="20" t="s">
        <v>1792</v>
      </c>
    </row>
    <row r="2009" spans="1:14" hidden="1" x14ac:dyDescent="0.25">
      <c r="A2009" s="1" t="str">
        <f>VLOOKUP(Table2[[#This Row],[Prod Line ]],Lists!A:E,5,0)</f>
        <v>d</v>
      </c>
      <c r="B2009" s="1">
        <v>44484</v>
      </c>
      <c r="C2009" s="1">
        <v>44482</v>
      </c>
      <c r="D2009" s="1" t="s">
        <v>62</v>
      </c>
      <c r="E2009" s="2" t="s">
        <v>406</v>
      </c>
      <c r="F2009" s="1"/>
      <c r="G2009" s="2">
        <v>45</v>
      </c>
      <c r="H2009" s="1"/>
      <c r="I2009" t="s">
        <v>1</v>
      </c>
      <c r="J2009" t="s">
        <v>2</v>
      </c>
      <c r="K2009" t="s">
        <v>19</v>
      </c>
      <c r="L2009" t="s">
        <v>349</v>
      </c>
      <c r="M2009" s="3" t="s">
        <v>557</v>
      </c>
    </row>
    <row r="2010" spans="1:14" hidden="1" x14ac:dyDescent="0.25">
      <c r="A2010" s="1" t="str">
        <f>VLOOKUP(Table2[[#This Row],[Prod Line ]],Lists!A:E,5,0)</f>
        <v>a</v>
      </c>
      <c r="B2010" s="1">
        <v>44485</v>
      </c>
      <c r="C2010" s="1">
        <v>44483</v>
      </c>
      <c r="D2010" s="1" t="s">
        <v>56</v>
      </c>
      <c r="E2010" s="2" t="s">
        <v>404</v>
      </c>
      <c r="F2010" s="1"/>
      <c r="G2010" s="2">
        <v>6</v>
      </c>
      <c r="H2010" s="1"/>
      <c r="I2010" t="s">
        <v>1</v>
      </c>
      <c r="J2010" t="s">
        <v>2</v>
      </c>
      <c r="K2010" t="s">
        <v>19</v>
      </c>
      <c r="L2010" t="s">
        <v>407</v>
      </c>
      <c r="M2010" s="3" t="s">
        <v>1740</v>
      </c>
    </row>
    <row r="2011" spans="1:14" hidden="1" x14ac:dyDescent="0.25">
      <c r="A2011" s="1" t="str">
        <f>VLOOKUP(Table2[[#This Row],[Prod Line ]],Lists!A:E,5,0)</f>
        <v>a</v>
      </c>
      <c r="B2011" s="1">
        <v>44485</v>
      </c>
      <c r="C2011" s="1">
        <v>44483</v>
      </c>
      <c r="D2011" s="1" t="s">
        <v>56</v>
      </c>
      <c r="E2011" s="2" t="s">
        <v>404</v>
      </c>
      <c r="F2011" s="1"/>
      <c r="G2011" s="2">
        <v>48</v>
      </c>
      <c r="H2011" s="1"/>
      <c r="I2011" t="s">
        <v>0</v>
      </c>
      <c r="J2011" t="s">
        <v>64</v>
      </c>
      <c r="K2011" t="s">
        <v>363</v>
      </c>
      <c r="L2011" t="s">
        <v>70</v>
      </c>
      <c r="M2011" s="3" t="s">
        <v>1741</v>
      </c>
      <c r="N2011" s="20" t="s">
        <v>1793</v>
      </c>
    </row>
    <row r="2012" spans="1:14" hidden="1" x14ac:dyDescent="0.25">
      <c r="A2012" s="1" t="str">
        <f>VLOOKUP(Table2[[#This Row],[Prod Line ]],Lists!A:E,5,0)</f>
        <v>a</v>
      </c>
      <c r="B2012" s="1">
        <v>44485</v>
      </c>
      <c r="C2012" s="1">
        <v>44483</v>
      </c>
      <c r="D2012" s="1" t="s">
        <v>56</v>
      </c>
      <c r="E2012" s="2" t="s">
        <v>404</v>
      </c>
      <c r="F2012" s="1"/>
      <c r="G2012" s="2">
        <v>22</v>
      </c>
      <c r="H2012" s="1"/>
      <c r="I2012" t="s">
        <v>0</v>
      </c>
      <c r="J2012" t="s">
        <v>64</v>
      </c>
      <c r="K2012" t="s">
        <v>363</v>
      </c>
      <c r="L2012" t="s">
        <v>70</v>
      </c>
      <c r="M2012" s="3" t="s">
        <v>1742</v>
      </c>
      <c r="N2012" s="20" t="s">
        <v>1793</v>
      </c>
    </row>
    <row r="2013" spans="1:14" hidden="1" x14ac:dyDescent="0.25">
      <c r="A2013" s="1" t="str">
        <f>VLOOKUP(Table2[[#This Row],[Prod Line ]],Lists!A:E,5,0)</f>
        <v>a</v>
      </c>
      <c r="B2013" s="1">
        <v>44485</v>
      </c>
      <c r="C2013" s="1">
        <v>44483</v>
      </c>
      <c r="D2013" s="1" t="s">
        <v>56</v>
      </c>
      <c r="E2013" s="2" t="s">
        <v>404</v>
      </c>
      <c r="F2013" s="1"/>
      <c r="G2013" s="2">
        <v>13</v>
      </c>
      <c r="H2013" s="1"/>
      <c r="I2013" t="s">
        <v>1</v>
      </c>
      <c r="J2013" t="s">
        <v>2</v>
      </c>
      <c r="K2013" t="s">
        <v>19</v>
      </c>
      <c r="L2013" t="s">
        <v>407</v>
      </c>
      <c r="M2013" s="3" t="s">
        <v>1743</v>
      </c>
    </row>
    <row r="2014" spans="1:14" hidden="1" x14ac:dyDescent="0.25">
      <c r="A2014" s="1" t="str">
        <f>VLOOKUP(Table2[[#This Row],[Prod Line ]],Lists!A:E,5,0)</f>
        <v>a</v>
      </c>
      <c r="B2014" s="1">
        <v>44485</v>
      </c>
      <c r="C2014" s="1">
        <v>44483</v>
      </c>
      <c r="D2014" s="1" t="s">
        <v>56</v>
      </c>
      <c r="E2014" s="2" t="s">
        <v>405</v>
      </c>
      <c r="F2014" s="1"/>
      <c r="G2014" s="2">
        <v>15</v>
      </c>
      <c r="H2014" s="1"/>
      <c r="I2014" t="s">
        <v>1</v>
      </c>
      <c r="J2014" t="s">
        <v>64</v>
      </c>
      <c r="K2014" t="s">
        <v>370</v>
      </c>
      <c r="L2014" t="s">
        <v>407</v>
      </c>
      <c r="M2014" s="3" t="s">
        <v>939</v>
      </c>
    </row>
    <row r="2015" spans="1:14" hidden="1" x14ac:dyDescent="0.25">
      <c r="A2015" s="1" t="str">
        <f>VLOOKUP(Table2[[#This Row],[Prod Line ]],Lists!A:E,5,0)</f>
        <v>d</v>
      </c>
      <c r="B2015" s="1">
        <v>44485</v>
      </c>
      <c r="C2015" s="1">
        <v>44483</v>
      </c>
      <c r="D2015" s="1" t="s">
        <v>62</v>
      </c>
      <c r="E2015" s="2" t="s">
        <v>405</v>
      </c>
      <c r="F2015" s="1"/>
      <c r="G2015" s="2">
        <v>107</v>
      </c>
      <c r="H2015" s="1"/>
      <c r="I2015" t="s">
        <v>1</v>
      </c>
      <c r="J2015" t="s">
        <v>2</v>
      </c>
      <c r="K2015" t="s">
        <v>19</v>
      </c>
      <c r="L2015" t="s">
        <v>407</v>
      </c>
      <c r="M2015" s="3" t="s">
        <v>1744</v>
      </c>
    </row>
    <row r="2016" spans="1:14" hidden="1" x14ac:dyDescent="0.25">
      <c r="A2016" s="1" t="str">
        <f>VLOOKUP(Table2[[#This Row],[Prod Line ]],Lists!A:E,5,0)</f>
        <v>c</v>
      </c>
      <c r="B2016" s="1">
        <v>44485</v>
      </c>
      <c r="C2016" s="1">
        <v>44483</v>
      </c>
      <c r="D2016" s="1" t="s">
        <v>60</v>
      </c>
      <c r="E2016" s="2" t="s">
        <v>404</v>
      </c>
      <c r="F2016" s="1"/>
      <c r="G2016" s="2">
        <v>76</v>
      </c>
      <c r="H2016" s="1"/>
      <c r="I2016" t="s">
        <v>1</v>
      </c>
      <c r="J2016" t="s">
        <v>2</v>
      </c>
      <c r="K2016" t="s">
        <v>378</v>
      </c>
      <c r="L2016" t="s">
        <v>407</v>
      </c>
      <c r="M2016" s="3" t="s">
        <v>1745</v>
      </c>
    </row>
    <row r="2017" spans="1:14" hidden="1" x14ac:dyDescent="0.25">
      <c r="A2017" s="1" t="str">
        <f>VLOOKUP(Table2[[#This Row],[Prod Line ]],Lists!A:E,5,0)</f>
        <v>c</v>
      </c>
      <c r="B2017" s="1">
        <v>44485</v>
      </c>
      <c r="C2017" s="1">
        <v>44483</v>
      </c>
      <c r="D2017" s="1" t="s">
        <v>60</v>
      </c>
      <c r="E2017" s="2" t="s">
        <v>404</v>
      </c>
      <c r="F2017" s="1"/>
      <c r="G2017" s="2">
        <v>9</v>
      </c>
      <c r="H2017" s="1"/>
      <c r="I2017" t="s">
        <v>0</v>
      </c>
      <c r="J2017" t="s">
        <v>2</v>
      </c>
      <c r="K2017" t="s">
        <v>378</v>
      </c>
      <c r="L2017" t="s">
        <v>70</v>
      </c>
      <c r="M2017" s="3" t="s">
        <v>1746</v>
      </c>
      <c r="N2017" s="20" t="s">
        <v>1792</v>
      </c>
    </row>
    <row r="2018" spans="1:14" hidden="1" x14ac:dyDescent="0.25">
      <c r="A2018" s="1" t="str">
        <f>VLOOKUP(Table2[[#This Row],[Prod Line ]],Lists!A:E,5,0)</f>
        <v>c</v>
      </c>
      <c r="B2018" s="1">
        <v>44485</v>
      </c>
      <c r="C2018" s="1">
        <v>44483</v>
      </c>
      <c r="D2018" s="1" t="s">
        <v>60</v>
      </c>
      <c r="E2018" s="2" t="s">
        <v>405</v>
      </c>
      <c r="F2018" s="1"/>
      <c r="G2018" s="2">
        <v>23</v>
      </c>
      <c r="H2018" s="1"/>
      <c r="I2018" t="s">
        <v>0</v>
      </c>
      <c r="J2018" t="s">
        <v>64</v>
      </c>
      <c r="K2018" t="s">
        <v>379</v>
      </c>
      <c r="L2018" t="s">
        <v>82</v>
      </c>
      <c r="M2018" s="3" t="s">
        <v>1747</v>
      </c>
    </row>
    <row r="2019" spans="1:14" hidden="1" x14ac:dyDescent="0.25">
      <c r="A2019" s="1" t="str">
        <f>VLOOKUP(Table2[[#This Row],[Prod Line ]],Lists!A:E,5,0)</f>
        <v>a</v>
      </c>
      <c r="B2019" s="1">
        <v>44487</v>
      </c>
      <c r="C2019" s="1">
        <v>44485</v>
      </c>
      <c r="D2019" s="1" t="s">
        <v>56</v>
      </c>
      <c r="E2019" s="2" t="s">
        <v>404</v>
      </c>
      <c r="F2019" s="1"/>
      <c r="G2019" s="2">
        <v>7</v>
      </c>
      <c r="H2019" s="1"/>
      <c r="I2019" t="s">
        <v>0</v>
      </c>
      <c r="J2019" t="s">
        <v>64</v>
      </c>
      <c r="K2019" t="s">
        <v>363</v>
      </c>
      <c r="L2019" t="s">
        <v>69</v>
      </c>
      <c r="M2019" s="3" t="s">
        <v>1748</v>
      </c>
    </row>
    <row r="2020" spans="1:14" hidden="1" x14ac:dyDescent="0.25">
      <c r="A2020" s="1" t="str">
        <f>VLOOKUP(Table2[[#This Row],[Prod Line ]],Lists!A:E,5,0)</f>
        <v>a</v>
      </c>
      <c r="B2020" s="1">
        <v>44487</v>
      </c>
      <c r="C2020" s="1">
        <v>44485</v>
      </c>
      <c r="D2020" s="1" t="s">
        <v>56</v>
      </c>
      <c r="E2020" s="2" t="s">
        <v>404</v>
      </c>
      <c r="F2020" s="1"/>
      <c r="G2020" s="2">
        <v>20</v>
      </c>
      <c r="H2020" s="1"/>
      <c r="I2020" t="s">
        <v>1</v>
      </c>
      <c r="J2020" t="s">
        <v>2</v>
      </c>
      <c r="K2020" t="s">
        <v>15</v>
      </c>
      <c r="L2020" t="s">
        <v>72</v>
      </c>
      <c r="M2020" s="3" t="s">
        <v>1749</v>
      </c>
    </row>
    <row r="2021" spans="1:14" hidden="1" x14ac:dyDescent="0.25">
      <c r="A2021" s="1" t="str">
        <f>VLOOKUP(Table2[[#This Row],[Prod Line ]],Lists!A:E,5,0)</f>
        <v>a</v>
      </c>
      <c r="B2021" s="1">
        <v>44487</v>
      </c>
      <c r="C2021" s="1">
        <v>44485</v>
      </c>
      <c r="D2021" s="1" t="s">
        <v>56</v>
      </c>
      <c r="E2021" s="2" t="s">
        <v>404</v>
      </c>
      <c r="F2021" s="1"/>
      <c r="G2021" s="2">
        <v>6</v>
      </c>
      <c r="H2021" s="1"/>
      <c r="I2021" t="s">
        <v>1</v>
      </c>
      <c r="J2021" t="s">
        <v>2</v>
      </c>
      <c r="K2021" t="s">
        <v>19</v>
      </c>
      <c r="L2021" t="s">
        <v>407</v>
      </c>
      <c r="M2021" s="3" t="s">
        <v>1750</v>
      </c>
    </row>
    <row r="2022" spans="1:14" hidden="1" x14ac:dyDescent="0.25">
      <c r="A2022" s="1" t="str">
        <f>VLOOKUP(Table2[[#This Row],[Prod Line ]],Lists!A:E,5,0)</f>
        <v>a</v>
      </c>
      <c r="B2022" s="1">
        <v>44487</v>
      </c>
      <c r="C2022" s="1">
        <v>44485</v>
      </c>
      <c r="D2022" s="1" t="s">
        <v>56</v>
      </c>
      <c r="E2022" s="2" t="s">
        <v>404</v>
      </c>
      <c r="F2022" s="1"/>
      <c r="G2022" s="2">
        <v>23</v>
      </c>
      <c r="H2022" s="1"/>
      <c r="I2022" t="s">
        <v>0</v>
      </c>
      <c r="J2022" t="s">
        <v>64</v>
      </c>
      <c r="K2022" t="s">
        <v>370</v>
      </c>
      <c r="L2022" t="s">
        <v>70</v>
      </c>
      <c r="M2022" s="3" t="s">
        <v>1726</v>
      </c>
    </row>
    <row r="2023" spans="1:14" hidden="1" x14ac:dyDescent="0.25">
      <c r="A2023" s="1" t="str">
        <f>VLOOKUP(Table2[[#This Row],[Prod Line ]],Lists!A:E,5,0)</f>
        <v>a</v>
      </c>
      <c r="B2023" s="1">
        <v>44487</v>
      </c>
      <c r="C2023" s="1">
        <v>44485</v>
      </c>
      <c r="D2023" s="1" t="s">
        <v>56</v>
      </c>
      <c r="E2023" s="2" t="s">
        <v>405</v>
      </c>
      <c r="F2023" s="1"/>
      <c r="G2023" s="2">
        <v>10</v>
      </c>
      <c r="H2023" s="1"/>
      <c r="I2023" t="s">
        <v>0</v>
      </c>
      <c r="J2023" t="s">
        <v>64</v>
      </c>
      <c r="K2023" t="s">
        <v>370</v>
      </c>
      <c r="L2023" t="s">
        <v>70</v>
      </c>
      <c r="M2023" s="3" t="s">
        <v>1726</v>
      </c>
    </row>
    <row r="2024" spans="1:14" hidden="1" x14ac:dyDescent="0.25">
      <c r="A2024" s="1" t="str">
        <f>VLOOKUP(Table2[[#This Row],[Prod Line ]],Lists!A:E,5,0)</f>
        <v>b</v>
      </c>
      <c r="B2024" s="1">
        <v>44487</v>
      </c>
      <c r="C2024" s="1">
        <v>44485</v>
      </c>
      <c r="D2024" s="1" t="s">
        <v>58</v>
      </c>
      <c r="E2024" s="2" t="s">
        <v>406</v>
      </c>
      <c r="F2024" s="1"/>
      <c r="G2024" s="2">
        <v>5</v>
      </c>
      <c r="H2024" s="1"/>
      <c r="I2024" t="s">
        <v>1</v>
      </c>
      <c r="J2024" t="s">
        <v>64</v>
      </c>
      <c r="K2024" t="s">
        <v>24</v>
      </c>
      <c r="L2024" t="s">
        <v>407</v>
      </c>
      <c r="M2024" s="3" t="s">
        <v>1751</v>
      </c>
    </row>
    <row r="2025" spans="1:14" hidden="1" x14ac:dyDescent="0.25">
      <c r="A2025" s="1" t="str">
        <f>VLOOKUP(Table2[[#This Row],[Prod Line ]],Lists!A:E,5,0)</f>
        <v>b</v>
      </c>
      <c r="B2025" s="1">
        <v>44487</v>
      </c>
      <c r="C2025" s="1">
        <v>44485</v>
      </c>
      <c r="D2025" s="1" t="s">
        <v>58</v>
      </c>
      <c r="E2025" s="2" t="s">
        <v>406</v>
      </c>
      <c r="F2025" s="1"/>
      <c r="G2025" s="2">
        <v>8</v>
      </c>
      <c r="H2025" s="1"/>
      <c r="I2025" t="s">
        <v>1</v>
      </c>
      <c r="J2025" t="s">
        <v>66</v>
      </c>
      <c r="K2025" t="s">
        <v>4</v>
      </c>
      <c r="L2025" t="s">
        <v>441</v>
      </c>
      <c r="M2025" s="3" t="s">
        <v>1752</v>
      </c>
    </row>
    <row r="2026" spans="1:14" hidden="1" x14ac:dyDescent="0.25">
      <c r="A2026" s="1" t="str">
        <f>VLOOKUP(Table2[[#This Row],[Prod Line ]],Lists!A:E,5,0)</f>
        <v>b</v>
      </c>
      <c r="B2026" s="1">
        <v>44487</v>
      </c>
      <c r="C2026" s="1">
        <v>44485</v>
      </c>
      <c r="D2026" s="1" t="s">
        <v>58</v>
      </c>
      <c r="E2026" s="2" t="s">
        <v>406</v>
      </c>
      <c r="F2026" s="1"/>
      <c r="G2026" s="2">
        <v>24</v>
      </c>
      <c r="H2026" s="1"/>
      <c r="I2026" t="s">
        <v>1</v>
      </c>
      <c r="J2026" t="s">
        <v>65</v>
      </c>
      <c r="K2026" t="s">
        <v>27</v>
      </c>
      <c r="L2026" t="s">
        <v>441</v>
      </c>
      <c r="M2026" s="3" t="s">
        <v>1753</v>
      </c>
    </row>
    <row r="2027" spans="1:14" hidden="1" x14ac:dyDescent="0.25">
      <c r="A2027" s="1" t="str">
        <f>VLOOKUP(Table2[[#This Row],[Prod Line ]],Lists!A:E,5,0)</f>
        <v>c</v>
      </c>
      <c r="B2027" s="1">
        <v>44487</v>
      </c>
      <c r="C2027" s="1">
        <v>44485</v>
      </c>
      <c r="D2027" s="1" t="s">
        <v>60</v>
      </c>
      <c r="E2027" s="2" t="s">
        <v>405</v>
      </c>
      <c r="F2027" s="1"/>
      <c r="G2027" s="2">
        <v>85</v>
      </c>
      <c r="H2027" s="1"/>
      <c r="I2027" t="s">
        <v>1</v>
      </c>
      <c r="J2027" t="s">
        <v>2</v>
      </c>
      <c r="K2027" t="s">
        <v>378</v>
      </c>
      <c r="L2027" t="s">
        <v>407</v>
      </c>
      <c r="M2027" s="3" t="s">
        <v>1316</v>
      </c>
    </row>
    <row r="2028" spans="1:14" hidden="1" x14ac:dyDescent="0.25">
      <c r="A2028" s="1" t="str">
        <f>VLOOKUP(Table2[[#This Row],[Prod Line ]],Lists!A:E,5,0)</f>
        <v>c</v>
      </c>
      <c r="B2028" s="1">
        <v>44487</v>
      </c>
      <c r="C2028" s="1">
        <v>44485</v>
      </c>
      <c r="D2028" s="1" t="s">
        <v>60</v>
      </c>
      <c r="E2028" s="2" t="s">
        <v>405</v>
      </c>
      <c r="F2028" s="1"/>
      <c r="G2028" s="2">
        <v>36</v>
      </c>
      <c r="H2028" s="1"/>
      <c r="I2028" t="s">
        <v>1</v>
      </c>
      <c r="J2028" t="s">
        <v>2</v>
      </c>
      <c r="K2028" t="s">
        <v>378</v>
      </c>
      <c r="L2028" t="s">
        <v>407</v>
      </c>
      <c r="M2028" s="3" t="s">
        <v>437</v>
      </c>
    </row>
    <row r="2029" spans="1:14" hidden="1" x14ac:dyDescent="0.25">
      <c r="A2029" s="1" t="str">
        <f>VLOOKUP(Table2[[#This Row],[Prod Line ]],Lists!A:E,5,0)</f>
        <v>c</v>
      </c>
      <c r="B2029" s="1">
        <v>44487</v>
      </c>
      <c r="C2029" s="1">
        <v>44485</v>
      </c>
      <c r="D2029" s="1" t="s">
        <v>60</v>
      </c>
      <c r="E2029" s="2" t="s">
        <v>404</v>
      </c>
      <c r="F2029" s="1"/>
      <c r="G2029" s="2">
        <v>2</v>
      </c>
      <c r="H2029" s="1"/>
      <c r="I2029" t="s">
        <v>1</v>
      </c>
      <c r="J2029" t="s">
        <v>2</v>
      </c>
      <c r="K2029" t="s">
        <v>378</v>
      </c>
      <c r="L2029" t="s">
        <v>407</v>
      </c>
      <c r="M2029" s="3" t="s">
        <v>1316</v>
      </c>
    </row>
    <row r="2030" spans="1:14" hidden="1" x14ac:dyDescent="0.25">
      <c r="A2030" s="1" t="str">
        <f>VLOOKUP(Table2[[#This Row],[Prod Line ]],Lists!A:E,5,0)</f>
        <v>a</v>
      </c>
      <c r="B2030" s="1">
        <v>44488</v>
      </c>
      <c r="C2030" s="1">
        <v>44486</v>
      </c>
      <c r="D2030" s="1" t="s">
        <v>56</v>
      </c>
      <c r="E2030" s="2" t="s">
        <v>405</v>
      </c>
      <c r="F2030" s="1"/>
      <c r="G2030" s="2">
        <v>80</v>
      </c>
      <c r="H2030" s="1"/>
      <c r="I2030" t="s">
        <v>1</v>
      </c>
      <c r="J2030" t="s">
        <v>2</v>
      </c>
      <c r="K2030" t="s">
        <v>19</v>
      </c>
      <c r="L2030" t="s">
        <v>72</v>
      </c>
      <c r="M2030" s="3" t="s">
        <v>1754</v>
      </c>
    </row>
    <row r="2031" spans="1:14" hidden="1" x14ac:dyDescent="0.25">
      <c r="A2031" s="1" t="str">
        <f>VLOOKUP(Table2[[#This Row],[Prod Line ]],Lists!A:E,5,0)</f>
        <v>a</v>
      </c>
      <c r="B2031" s="1">
        <v>44488</v>
      </c>
      <c r="C2031" s="1">
        <v>44486</v>
      </c>
      <c r="D2031" s="1" t="s">
        <v>56</v>
      </c>
      <c r="E2031" s="2" t="s">
        <v>405</v>
      </c>
      <c r="F2031" s="1"/>
      <c r="G2031" s="2">
        <v>8</v>
      </c>
      <c r="H2031" s="1"/>
      <c r="I2031" t="s">
        <v>1</v>
      </c>
      <c r="J2031" t="s">
        <v>64</v>
      </c>
      <c r="K2031" t="s">
        <v>367</v>
      </c>
      <c r="L2031" t="s">
        <v>72</v>
      </c>
      <c r="M2031" s="3" t="s">
        <v>1755</v>
      </c>
    </row>
    <row r="2032" spans="1:14" hidden="1" x14ac:dyDescent="0.25">
      <c r="A2032" s="1" t="str">
        <f>VLOOKUP(Table2[[#This Row],[Prod Line ]],Lists!A:E,5,0)</f>
        <v>b</v>
      </c>
      <c r="B2032" s="1">
        <v>44488</v>
      </c>
      <c r="C2032" s="1">
        <v>44486</v>
      </c>
      <c r="D2032" s="1" t="s">
        <v>58</v>
      </c>
      <c r="E2032" s="2" t="s">
        <v>404</v>
      </c>
      <c r="F2032" s="1"/>
      <c r="G2032" s="2">
        <v>11</v>
      </c>
      <c r="H2032" s="1"/>
      <c r="I2032" t="s">
        <v>0</v>
      </c>
      <c r="J2032" t="s">
        <v>66</v>
      </c>
      <c r="K2032" t="s">
        <v>4</v>
      </c>
      <c r="L2032" t="s">
        <v>70</v>
      </c>
      <c r="M2032" s="3" t="s">
        <v>1756</v>
      </c>
    </row>
    <row r="2033" spans="1:14" hidden="1" x14ac:dyDescent="0.25">
      <c r="A2033" s="1" t="str">
        <f>VLOOKUP(Table2[[#This Row],[Prod Line ]],Lists!A:E,5,0)</f>
        <v>c</v>
      </c>
      <c r="B2033" s="1">
        <v>44488</v>
      </c>
      <c r="C2033" s="1">
        <v>44486</v>
      </c>
      <c r="D2033" s="1" t="s">
        <v>60</v>
      </c>
      <c r="E2033" s="2" t="s">
        <v>404</v>
      </c>
      <c r="F2033" s="1"/>
      <c r="G2033" s="2">
        <v>24</v>
      </c>
      <c r="H2033" s="1"/>
      <c r="I2033" t="s">
        <v>1</v>
      </c>
      <c r="J2033" t="s">
        <v>2</v>
      </c>
      <c r="K2033" t="s">
        <v>378</v>
      </c>
      <c r="L2033" t="s">
        <v>72</v>
      </c>
      <c r="M2033" s="3" t="s">
        <v>575</v>
      </c>
    </row>
    <row r="2034" spans="1:14" hidden="1" x14ac:dyDescent="0.25">
      <c r="A2034" s="1" t="str">
        <f>VLOOKUP(Table2[[#This Row],[Prod Line ]],Lists!A:E,5,0)</f>
        <v>b</v>
      </c>
      <c r="B2034" s="1">
        <v>44488</v>
      </c>
      <c r="C2034" s="1">
        <v>44486</v>
      </c>
      <c r="D2034" s="1" t="s">
        <v>58</v>
      </c>
      <c r="E2034" s="2" t="s">
        <v>406</v>
      </c>
      <c r="F2034" s="1"/>
      <c r="G2034" s="2">
        <v>60</v>
      </c>
      <c r="H2034" s="1"/>
      <c r="I2034" t="s">
        <v>1</v>
      </c>
      <c r="J2034" t="s">
        <v>65</v>
      </c>
      <c r="K2034" t="s">
        <v>3</v>
      </c>
      <c r="L2034" t="s">
        <v>407</v>
      </c>
      <c r="M2034" s="3" t="s">
        <v>1225</v>
      </c>
    </row>
    <row r="2035" spans="1:14" hidden="1" x14ac:dyDescent="0.25">
      <c r="A2035" s="1" t="str">
        <f>VLOOKUP(Table2[[#This Row],[Prod Line ]],Lists!A:E,5,0)</f>
        <v>b</v>
      </c>
      <c r="B2035" s="1">
        <v>44490</v>
      </c>
      <c r="C2035" s="1">
        <v>44488</v>
      </c>
      <c r="D2035" s="1" t="s">
        <v>58</v>
      </c>
      <c r="E2035" s="2" t="s">
        <v>406</v>
      </c>
      <c r="F2035" s="1"/>
      <c r="G2035" s="2">
        <v>58</v>
      </c>
      <c r="H2035" s="1"/>
      <c r="I2035" t="s">
        <v>0</v>
      </c>
      <c r="J2035" t="s">
        <v>5</v>
      </c>
      <c r="K2035" t="s">
        <v>39</v>
      </c>
      <c r="L2035" t="s">
        <v>82</v>
      </c>
      <c r="M2035" s="3" t="s">
        <v>1757</v>
      </c>
      <c r="N2035" s="20" t="s">
        <v>1794</v>
      </c>
    </row>
    <row r="2036" spans="1:14" hidden="1" x14ac:dyDescent="0.25">
      <c r="A2036" s="1" t="str">
        <f>VLOOKUP(Table2[[#This Row],[Prod Line ]],Lists!A:E,5,0)</f>
        <v>b</v>
      </c>
      <c r="B2036" s="1">
        <v>44490</v>
      </c>
      <c r="C2036" s="1">
        <v>44488</v>
      </c>
      <c r="D2036" s="1" t="s">
        <v>58</v>
      </c>
      <c r="E2036" s="2" t="s">
        <v>404</v>
      </c>
      <c r="F2036" s="1"/>
      <c r="G2036" s="2">
        <v>20</v>
      </c>
      <c r="H2036" s="1"/>
      <c r="I2036" t="s">
        <v>0</v>
      </c>
      <c r="J2036" t="s">
        <v>5</v>
      </c>
      <c r="K2036" t="s">
        <v>39</v>
      </c>
      <c r="L2036" t="s">
        <v>82</v>
      </c>
      <c r="M2036" s="3" t="s">
        <v>1757</v>
      </c>
      <c r="N2036" s="20" t="s">
        <v>1794</v>
      </c>
    </row>
    <row r="2037" spans="1:14" hidden="1" x14ac:dyDescent="0.25">
      <c r="A2037" s="1" t="str">
        <f>VLOOKUP(Table2[[#This Row],[Prod Line ]],Lists!A:E,5,0)</f>
        <v>b</v>
      </c>
      <c r="B2037" s="1">
        <v>44490</v>
      </c>
      <c r="C2037" s="1">
        <v>44488</v>
      </c>
      <c r="D2037" s="1" t="s">
        <v>58</v>
      </c>
      <c r="E2037" s="2" t="s">
        <v>404</v>
      </c>
      <c r="F2037" s="1"/>
      <c r="G2037" s="2">
        <v>18</v>
      </c>
      <c r="H2037" s="1"/>
      <c r="I2037" t="s">
        <v>1</v>
      </c>
      <c r="J2037" t="s">
        <v>65</v>
      </c>
      <c r="K2037" t="s">
        <v>3</v>
      </c>
      <c r="L2037" t="s">
        <v>441</v>
      </c>
      <c r="M2037" s="3" t="s">
        <v>1758</v>
      </c>
    </row>
    <row r="2038" spans="1:14" hidden="1" x14ac:dyDescent="0.25">
      <c r="A2038" s="1" t="str">
        <f>VLOOKUP(Table2[[#This Row],[Prod Line ]],Lists!A:E,5,0)</f>
        <v>b</v>
      </c>
      <c r="B2038" s="1">
        <v>44490</v>
      </c>
      <c r="C2038" s="1">
        <v>44488</v>
      </c>
      <c r="D2038" s="1" t="s">
        <v>58</v>
      </c>
      <c r="E2038" s="2" t="s">
        <v>405</v>
      </c>
      <c r="F2038" s="1"/>
      <c r="G2038" s="2">
        <v>9</v>
      </c>
      <c r="H2038" s="1"/>
      <c r="I2038" t="s">
        <v>0</v>
      </c>
      <c r="J2038" t="s">
        <v>64</v>
      </c>
      <c r="K2038" t="s">
        <v>21</v>
      </c>
      <c r="L2038" t="s">
        <v>70</v>
      </c>
      <c r="M2038" s="3" t="s">
        <v>1759</v>
      </c>
    </row>
    <row r="2039" spans="1:14" hidden="1" x14ac:dyDescent="0.25">
      <c r="A2039" s="1" t="str">
        <f>VLOOKUP(Table2[[#This Row],[Prod Line ]],Lists!A:E,5,0)</f>
        <v>b</v>
      </c>
      <c r="B2039" s="1">
        <v>44490</v>
      </c>
      <c r="C2039" s="1">
        <v>44488</v>
      </c>
      <c r="D2039" s="1" t="s">
        <v>58</v>
      </c>
      <c r="E2039" s="2" t="s">
        <v>404</v>
      </c>
      <c r="F2039" s="1"/>
      <c r="G2039" s="2">
        <v>8</v>
      </c>
      <c r="H2039" s="1"/>
      <c r="I2039" t="s">
        <v>1</v>
      </c>
      <c r="J2039" t="s">
        <v>65</v>
      </c>
      <c r="K2039" t="s">
        <v>3</v>
      </c>
      <c r="L2039" t="s">
        <v>441</v>
      </c>
      <c r="M2039" s="3" t="s">
        <v>1760</v>
      </c>
    </row>
    <row r="2040" spans="1:14" hidden="1" x14ac:dyDescent="0.25">
      <c r="A2040" s="1" t="str">
        <f>VLOOKUP(Table2[[#This Row],[Prod Line ]],Lists!A:E,5,0)</f>
        <v>b</v>
      </c>
      <c r="B2040" s="1">
        <v>44490</v>
      </c>
      <c r="C2040" s="1">
        <v>44490</v>
      </c>
      <c r="D2040" s="1" t="s">
        <v>58</v>
      </c>
      <c r="E2040" s="2" t="s">
        <v>404</v>
      </c>
      <c r="F2040" s="1"/>
      <c r="G2040" s="2">
        <v>7</v>
      </c>
      <c r="H2040" s="1"/>
      <c r="I2040" t="s">
        <v>1</v>
      </c>
      <c r="J2040" t="s">
        <v>26</v>
      </c>
      <c r="K2040" t="s">
        <v>25</v>
      </c>
      <c r="L2040" t="s">
        <v>441</v>
      </c>
      <c r="M2040" s="3" t="s">
        <v>1761</v>
      </c>
    </row>
    <row r="2041" spans="1:14" hidden="1" x14ac:dyDescent="0.25">
      <c r="A2041" s="1" t="str">
        <f>VLOOKUP(Table2[[#This Row],[Prod Line ]],Lists!A:E,5,0)</f>
        <v>d</v>
      </c>
      <c r="B2041" s="1">
        <v>44491</v>
      </c>
      <c r="C2041" s="1">
        <v>44489</v>
      </c>
      <c r="D2041" s="1" t="s">
        <v>62</v>
      </c>
      <c r="E2041" s="2" t="s">
        <v>404</v>
      </c>
      <c r="F2041" s="1"/>
      <c r="G2041" s="2">
        <v>15</v>
      </c>
      <c r="H2041" s="1"/>
      <c r="I2041" t="s">
        <v>1</v>
      </c>
      <c r="J2041" t="s">
        <v>2</v>
      </c>
      <c r="K2041" t="s">
        <v>19</v>
      </c>
      <c r="L2041" t="s">
        <v>407</v>
      </c>
      <c r="M2041" s="3" t="s">
        <v>1762</v>
      </c>
    </row>
    <row r="2042" spans="1:14" hidden="1" x14ac:dyDescent="0.25">
      <c r="A2042" s="1" t="str">
        <f>VLOOKUP(Table2[[#This Row],[Prod Line ]],Lists!A:E,5,0)</f>
        <v>d</v>
      </c>
      <c r="B2042" s="1">
        <v>44491</v>
      </c>
      <c r="C2042" s="1">
        <v>44489</v>
      </c>
      <c r="D2042" s="1" t="s">
        <v>62</v>
      </c>
      <c r="E2042" s="2" t="s">
        <v>405</v>
      </c>
      <c r="F2042" s="1"/>
      <c r="G2042" s="2">
        <v>17</v>
      </c>
      <c r="H2042" s="1"/>
      <c r="I2042" t="s">
        <v>1</v>
      </c>
      <c r="J2042" t="s">
        <v>2</v>
      </c>
      <c r="K2042" t="s">
        <v>19</v>
      </c>
      <c r="L2042" t="s">
        <v>407</v>
      </c>
      <c r="M2042" s="3" t="s">
        <v>1763</v>
      </c>
    </row>
    <row r="2043" spans="1:14" hidden="1" x14ac:dyDescent="0.25">
      <c r="A2043" s="1" t="str">
        <f>VLOOKUP(Table2[[#This Row],[Prod Line ]],Lists!A:E,5,0)</f>
        <v>d</v>
      </c>
      <c r="B2043" s="1">
        <v>44491</v>
      </c>
      <c r="C2043" s="1">
        <v>44489</v>
      </c>
      <c r="D2043" s="1" t="s">
        <v>62</v>
      </c>
      <c r="E2043" s="2" t="s">
        <v>406</v>
      </c>
      <c r="F2043" s="1"/>
      <c r="G2043" s="2">
        <v>15</v>
      </c>
      <c r="H2043" s="1"/>
      <c r="I2043" t="s">
        <v>1</v>
      </c>
      <c r="J2043" t="s">
        <v>2</v>
      </c>
      <c r="K2043" t="s">
        <v>19</v>
      </c>
      <c r="L2043" t="s">
        <v>407</v>
      </c>
      <c r="M2043" s="3" t="s">
        <v>1764</v>
      </c>
    </row>
    <row r="2044" spans="1:14" hidden="1" x14ac:dyDescent="0.25">
      <c r="A2044" s="1" t="str">
        <f>VLOOKUP(Table2[[#This Row],[Prod Line ]],Lists!A:E,5,0)</f>
        <v>b</v>
      </c>
      <c r="B2044" s="1">
        <v>44491</v>
      </c>
      <c r="C2044" s="1">
        <v>44489</v>
      </c>
      <c r="D2044" s="1" t="s">
        <v>58</v>
      </c>
      <c r="E2044" s="2" t="s">
        <v>406</v>
      </c>
      <c r="F2044" s="1"/>
      <c r="G2044" s="2">
        <v>20</v>
      </c>
      <c r="H2044" s="1"/>
      <c r="I2044" t="s">
        <v>1</v>
      </c>
      <c r="J2044" t="s">
        <v>2</v>
      </c>
      <c r="K2044" t="s">
        <v>17</v>
      </c>
      <c r="L2044" t="s">
        <v>407</v>
      </c>
      <c r="M2044" s="3" t="s">
        <v>1765</v>
      </c>
    </row>
    <row r="2045" spans="1:14" hidden="1" x14ac:dyDescent="0.25">
      <c r="A2045" s="1" t="str">
        <f>VLOOKUP(Table2[[#This Row],[Prod Line ]],Lists!A:E,5,0)</f>
        <v>b</v>
      </c>
      <c r="B2045" s="1">
        <v>44491</v>
      </c>
      <c r="C2045" s="1">
        <v>44489</v>
      </c>
      <c r="D2045" s="1" t="s">
        <v>58</v>
      </c>
      <c r="E2045" s="2" t="s">
        <v>406</v>
      </c>
      <c r="F2045" s="1"/>
      <c r="G2045" s="2">
        <v>21</v>
      </c>
      <c r="H2045" s="1"/>
      <c r="I2045" t="s">
        <v>1</v>
      </c>
      <c r="J2045" t="s">
        <v>65</v>
      </c>
      <c r="K2045" t="s">
        <v>27</v>
      </c>
      <c r="L2045" t="s">
        <v>407</v>
      </c>
      <c r="M2045" s="3" t="s">
        <v>1766</v>
      </c>
    </row>
    <row r="2046" spans="1:14" hidden="1" x14ac:dyDescent="0.25">
      <c r="A2046" s="1" t="str">
        <f>VLOOKUP(Table2[[#This Row],[Prod Line ]],Lists!A:E,5,0)</f>
        <v>b</v>
      </c>
      <c r="B2046" s="1">
        <v>44494</v>
      </c>
      <c r="C2046" s="1">
        <v>44492</v>
      </c>
      <c r="D2046" s="1" t="s">
        <v>58</v>
      </c>
      <c r="E2046" s="2" t="s">
        <v>406</v>
      </c>
      <c r="F2046" s="1"/>
      <c r="G2046" s="2">
        <v>4</v>
      </c>
      <c r="H2046" s="1"/>
      <c r="I2046" t="s">
        <v>0</v>
      </c>
      <c r="J2046" t="s">
        <v>65</v>
      </c>
      <c r="K2046" t="s">
        <v>27</v>
      </c>
      <c r="L2046" t="s">
        <v>70</v>
      </c>
      <c r="M2046" s="3" t="s">
        <v>1767</v>
      </c>
    </row>
    <row r="2047" spans="1:14" hidden="1" x14ac:dyDescent="0.25">
      <c r="A2047" s="1" t="str">
        <f>VLOOKUP(Table2[[#This Row],[Prod Line ]],Lists!A:E,5,0)</f>
        <v>b</v>
      </c>
      <c r="B2047" s="1">
        <v>44494</v>
      </c>
      <c r="C2047" s="1">
        <v>44492</v>
      </c>
      <c r="D2047" s="1" t="s">
        <v>58</v>
      </c>
      <c r="E2047" s="2" t="s">
        <v>406</v>
      </c>
      <c r="F2047" s="1"/>
      <c r="G2047" s="2">
        <v>4</v>
      </c>
      <c r="H2047" s="1"/>
      <c r="I2047" t="s">
        <v>0</v>
      </c>
      <c r="J2047" t="s">
        <v>64</v>
      </c>
      <c r="K2047" t="s">
        <v>20</v>
      </c>
      <c r="L2047" t="s">
        <v>70</v>
      </c>
      <c r="M2047" s="3" t="s">
        <v>1768</v>
      </c>
    </row>
    <row r="2048" spans="1:14" hidden="1" x14ac:dyDescent="0.25">
      <c r="A2048" s="1" t="str">
        <f>VLOOKUP(Table2[[#This Row],[Prod Line ]],Lists!A:E,5,0)</f>
        <v>b</v>
      </c>
      <c r="B2048" s="1">
        <v>44494</v>
      </c>
      <c r="C2048" s="1">
        <v>44492</v>
      </c>
      <c r="D2048" s="1" t="s">
        <v>58</v>
      </c>
      <c r="E2048" s="2" t="s">
        <v>406</v>
      </c>
      <c r="F2048" s="1"/>
      <c r="G2048" s="2">
        <v>10</v>
      </c>
      <c r="H2048" s="1"/>
      <c r="I2048" t="s">
        <v>1</v>
      </c>
      <c r="J2048" t="s">
        <v>64</v>
      </c>
      <c r="K2048" t="s">
        <v>21</v>
      </c>
      <c r="L2048" t="s">
        <v>72</v>
      </c>
      <c r="M2048" s="3" t="s">
        <v>1769</v>
      </c>
    </row>
    <row r="2049" spans="1:14" hidden="1" x14ac:dyDescent="0.25">
      <c r="A2049" s="1" t="str">
        <f>VLOOKUP(Table2[[#This Row],[Prod Line ]],Lists!A:E,5,0)</f>
        <v>b</v>
      </c>
      <c r="B2049" s="1">
        <v>44494</v>
      </c>
      <c r="C2049" s="1">
        <v>44492</v>
      </c>
      <c r="D2049" s="1" t="s">
        <v>58</v>
      </c>
      <c r="E2049" s="2" t="s">
        <v>406</v>
      </c>
      <c r="F2049" s="1"/>
      <c r="G2049" s="2">
        <v>3</v>
      </c>
      <c r="H2049" s="1"/>
      <c r="I2049" t="s">
        <v>1</v>
      </c>
      <c r="J2049" t="s">
        <v>65</v>
      </c>
      <c r="K2049" t="s">
        <v>27</v>
      </c>
      <c r="L2049" t="s">
        <v>441</v>
      </c>
      <c r="M2049" s="3" t="s">
        <v>441</v>
      </c>
    </row>
    <row r="2050" spans="1:14" hidden="1" x14ac:dyDescent="0.25">
      <c r="A2050" s="1" t="str">
        <f>VLOOKUP(Table2[[#This Row],[Prod Line ]],Lists!A:E,5,0)</f>
        <v>b</v>
      </c>
      <c r="B2050" s="1">
        <v>44494</v>
      </c>
      <c r="C2050" s="1">
        <v>44492</v>
      </c>
      <c r="D2050" s="1" t="s">
        <v>58</v>
      </c>
      <c r="E2050" s="2" t="s">
        <v>404</v>
      </c>
      <c r="F2050" s="1"/>
      <c r="G2050" s="2">
        <v>16</v>
      </c>
      <c r="H2050" s="1"/>
      <c r="I2050" t="s">
        <v>1</v>
      </c>
      <c r="J2050" t="s">
        <v>64</v>
      </c>
      <c r="K2050" t="s">
        <v>21</v>
      </c>
      <c r="L2050" t="s">
        <v>72</v>
      </c>
      <c r="M2050" s="3" t="s">
        <v>1769</v>
      </c>
    </row>
    <row r="2051" spans="1:14" hidden="1" x14ac:dyDescent="0.25">
      <c r="A2051" s="1" t="str">
        <f>VLOOKUP(Table2[[#This Row],[Prod Line ]],Lists!A:E,5,0)</f>
        <v>b</v>
      </c>
      <c r="B2051" s="1">
        <v>44494</v>
      </c>
      <c r="C2051" s="1">
        <v>44492</v>
      </c>
      <c r="D2051" s="1" t="s">
        <v>58</v>
      </c>
      <c r="E2051" s="2" t="s">
        <v>404</v>
      </c>
      <c r="F2051" s="1"/>
      <c r="G2051" s="2">
        <v>4</v>
      </c>
      <c r="H2051" s="1"/>
      <c r="I2051" t="s">
        <v>1</v>
      </c>
      <c r="J2051" t="s">
        <v>64</v>
      </c>
      <c r="K2051" t="s">
        <v>23</v>
      </c>
      <c r="L2051" t="s">
        <v>350</v>
      </c>
      <c r="M2051" s="3" t="s">
        <v>540</v>
      </c>
    </row>
    <row r="2052" spans="1:14" hidden="1" x14ac:dyDescent="0.25">
      <c r="A2052" s="1" t="str">
        <f>VLOOKUP(Table2[[#This Row],[Prod Line ]],Lists!A:E,5,0)</f>
        <v>b</v>
      </c>
      <c r="B2052" s="1">
        <v>44494</v>
      </c>
      <c r="C2052" s="1">
        <v>44492</v>
      </c>
      <c r="D2052" s="1" t="s">
        <v>58</v>
      </c>
      <c r="E2052" s="2" t="s">
        <v>406</v>
      </c>
      <c r="F2052" s="1"/>
      <c r="G2052" s="2">
        <v>10</v>
      </c>
      <c r="H2052" s="1"/>
      <c r="I2052" t="s">
        <v>0</v>
      </c>
      <c r="J2052" t="s">
        <v>64</v>
      </c>
      <c r="K2052" t="s">
        <v>20</v>
      </c>
      <c r="L2052" t="s">
        <v>70</v>
      </c>
      <c r="M2052" s="3" t="s">
        <v>1770</v>
      </c>
    </row>
    <row r="2053" spans="1:14" hidden="1" x14ac:dyDescent="0.25">
      <c r="A2053" s="1" t="str">
        <f>VLOOKUP(Table2[[#This Row],[Prod Line ]],Lists!A:E,5,0)</f>
        <v>b</v>
      </c>
      <c r="B2053" s="1">
        <v>44494</v>
      </c>
      <c r="C2053" s="1">
        <v>44492</v>
      </c>
      <c r="D2053" s="1" t="s">
        <v>58</v>
      </c>
      <c r="E2053" s="2" t="s">
        <v>406</v>
      </c>
      <c r="F2053" s="1"/>
      <c r="G2053" s="2">
        <v>21</v>
      </c>
      <c r="H2053" s="1"/>
      <c r="I2053" t="s">
        <v>1</v>
      </c>
      <c r="J2053" t="s">
        <v>65</v>
      </c>
      <c r="K2053" t="s">
        <v>27</v>
      </c>
      <c r="L2053" t="s">
        <v>441</v>
      </c>
      <c r="M2053" s="3" t="s">
        <v>1771</v>
      </c>
    </row>
    <row r="2054" spans="1:14" hidden="1" x14ac:dyDescent="0.25">
      <c r="A2054" s="1" t="str">
        <f>VLOOKUP(Table2[[#This Row],[Prod Line ]],Lists!A:E,5,0)</f>
        <v>d</v>
      </c>
      <c r="B2054" s="1">
        <v>44494</v>
      </c>
      <c r="C2054" s="1">
        <v>44492</v>
      </c>
      <c r="D2054" s="1" t="s">
        <v>62</v>
      </c>
      <c r="E2054" s="2" t="s">
        <v>404</v>
      </c>
      <c r="F2054" s="1"/>
      <c r="G2054" s="2">
        <v>25</v>
      </c>
      <c r="H2054" s="1"/>
      <c r="I2054" t="s">
        <v>1</v>
      </c>
      <c r="J2054" t="s">
        <v>2</v>
      </c>
      <c r="K2054" t="s">
        <v>19</v>
      </c>
      <c r="L2054" t="s">
        <v>407</v>
      </c>
      <c r="M2054" s="3" t="s">
        <v>1772</v>
      </c>
    </row>
    <row r="2055" spans="1:14" hidden="1" x14ac:dyDescent="0.25">
      <c r="A2055" s="1" t="str">
        <f>VLOOKUP(Table2[[#This Row],[Prod Line ]],Lists!A:E,5,0)</f>
        <v>d</v>
      </c>
      <c r="B2055" s="1">
        <v>44494</v>
      </c>
      <c r="C2055" s="1">
        <v>44492</v>
      </c>
      <c r="D2055" s="1" t="s">
        <v>62</v>
      </c>
      <c r="E2055" s="2" t="s">
        <v>404</v>
      </c>
      <c r="F2055" s="1"/>
      <c r="G2055" s="2">
        <v>30</v>
      </c>
      <c r="H2055" s="1"/>
      <c r="I2055" t="s">
        <v>0</v>
      </c>
      <c r="J2055" t="s">
        <v>64</v>
      </c>
      <c r="K2055" t="s">
        <v>379</v>
      </c>
      <c r="L2055" t="s">
        <v>70</v>
      </c>
      <c r="M2055" s="3" t="s">
        <v>1773</v>
      </c>
      <c r="N2055" s="20" t="s">
        <v>1795</v>
      </c>
    </row>
    <row r="2056" spans="1:14" hidden="1" x14ac:dyDescent="0.25">
      <c r="A2056" s="1" t="str">
        <f>VLOOKUP(Table2[[#This Row],[Prod Line ]],Lists!A:E,5,0)</f>
        <v>d</v>
      </c>
      <c r="B2056" s="1">
        <v>44494</v>
      </c>
      <c r="C2056" s="1">
        <v>44492</v>
      </c>
      <c r="D2056" s="1" t="s">
        <v>62</v>
      </c>
      <c r="E2056" s="2" t="s">
        <v>406</v>
      </c>
      <c r="F2056" s="1"/>
      <c r="G2056" s="2">
        <v>30</v>
      </c>
      <c r="H2056" s="1"/>
      <c r="I2056" t="s">
        <v>1</v>
      </c>
      <c r="J2056" t="s">
        <v>2</v>
      </c>
      <c r="K2056" t="s">
        <v>19</v>
      </c>
      <c r="L2056" t="s">
        <v>407</v>
      </c>
      <c r="M2056" s="3" t="s">
        <v>759</v>
      </c>
    </row>
    <row r="2057" spans="1:14" hidden="1" x14ac:dyDescent="0.25">
      <c r="A2057" s="1" t="str">
        <f>VLOOKUP(Table2[[#This Row],[Prod Line ]],Lists!A:E,5,0)</f>
        <v>b</v>
      </c>
      <c r="B2057" s="1">
        <v>44495</v>
      </c>
      <c r="C2057" s="1">
        <v>44493</v>
      </c>
      <c r="D2057" s="1" t="s">
        <v>58</v>
      </c>
      <c r="E2057" s="2" t="s">
        <v>404</v>
      </c>
      <c r="F2057" s="1"/>
      <c r="G2057" s="2">
        <v>6</v>
      </c>
      <c r="H2057" s="1"/>
      <c r="I2057" t="s">
        <v>1</v>
      </c>
      <c r="J2057" t="s">
        <v>64</v>
      </c>
      <c r="K2057" t="s">
        <v>22</v>
      </c>
      <c r="L2057" t="s">
        <v>407</v>
      </c>
      <c r="M2057" s="3" t="s">
        <v>833</v>
      </c>
    </row>
    <row r="2058" spans="1:14" hidden="1" x14ac:dyDescent="0.25">
      <c r="A2058" s="1" t="str">
        <f>VLOOKUP(Table2[[#This Row],[Prod Line ]],Lists!A:E,5,0)</f>
        <v>d</v>
      </c>
      <c r="B2058" s="1">
        <v>44497</v>
      </c>
      <c r="C2058" s="1">
        <v>44494</v>
      </c>
      <c r="D2058" s="1" t="s">
        <v>62</v>
      </c>
      <c r="E2058" s="2" t="s">
        <v>404</v>
      </c>
      <c r="F2058" s="1"/>
      <c r="G2058" s="2">
        <v>25</v>
      </c>
      <c r="H2058" s="1"/>
      <c r="I2058" t="s">
        <v>1</v>
      </c>
      <c r="J2058" t="s">
        <v>2</v>
      </c>
      <c r="K2058" t="s">
        <v>19</v>
      </c>
      <c r="L2058" t="s">
        <v>407</v>
      </c>
      <c r="M2058" s="3" t="s">
        <v>1774</v>
      </c>
    </row>
    <row r="2059" spans="1:14" hidden="1" x14ac:dyDescent="0.25">
      <c r="A2059" s="1" t="str">
        <f>VLOOKUP(Table2[[#This Row],[Prod Line ]],Lists!A:E,5,0)</f>
        <v>d</v>
      </c>
      <c r="B2059" s="1">
        <v>44497</v>
      </c>
      <c r="C2059" s="1">
        <v>44494</v>
      </c>
      <c r="D2059" s="1" t="s">
        <v>62</v>
      </c>
      <c r="E2059" s="2" t="s">
        <v>404</v>
      </c>
      <c r="F2059" s="1"/>
      <c r="G2059" s="2">
        <v>30</v>
      </c>
      <c r="H2059" s="1"/>
      <c r="I2059" t="s">
        <v>0</v>
      </c>
      <c r="J2059" t="s">
        <v>64</v>
      </c>
      <c r="K2059" t="s">
        <v>379</v>
      </c>
      <c r="L2059" t="s">
        <v>70</v>
      </c>
      <c r="M2059" s="3" t="s">
        <v>1773</v>
      </c>
      <c r="N2059" s="20" t="s">
        <v>1795</v>
      </c>
    </row>
    <row r="2060" spans="1:14" hidden="1" x14ac:dyDescent="0.25">
      <c r="A2060" s="1" t="str">
        <f>VLOOKUP(Table2[[#This Row],[Prod Line ]],Lists!A:E,5,0)</f>
        <v>d</v>
      </c>
      <c r="B2060" s="1">
        <v>44497</v>
      </c>
      <c r="C2060" s="1">
        <v>44494</v>
      </c>
      <c r="D2060" s="1" t="s">
        <v>62</v>
      </c>
      <c r="E2060" s="2" t="s">
        <v>406</v>
      </c>
      <c r="F2060" s="1"/>
      <c r="G2060" s="2">
        <v>30</v>
      </c>
      <c r="H2060" s="1"/>
      <c r="I2060" t="s">
        <v>1</v>
      </c>
      <c r="J2060" t="s">
        <v>2</v>
      </c>
      <c r="K2060" t="s">
        <v>19</v>
      </c>
      <c r="L2060" t="s">
        <v>407</v>
      </c>
      <c r="M2060" s="3" t="s">
        <v>1775</v>
      </c>
    </row>
    <row r="2061" spans="1:14" hidden="1" x14ac:dyDescent="0.25">
      <c r="A2061" s="1" t="str">
        <f>VLOOKUP(Table2[[#This Row],[Prod Line ]],Lists!A:E,5,0)</f>
        <v>b</v>
      </c>
      <c r="B2061" s="1">
        <v>44497</v>
      </c>
      <c r="C2061" s="1">
        <v>44494</v>
      </c>
      <c r="D2061" s="1" t="s">
        <v>58</v>
      </c>
      <c r="E2061" s="2" t="s">
        <v>406</v>
      </c>
      <c r="F2061" s="1"/>
      <c r="G2061" s="2">
        <v>4</v>
      </c>
      <c r="H2061" s="1"/>
      <c r="I2061" t="s">
        <v>0</v>
      </c>
      <c r="J2061" t="s">
        <v>65</v>
      </c>
      <c r="K2061" t="s">
        <v>27</v>
      </c>
      <c r="L2061" t="s">
        <v>70</v>
      </c>
      <c r="M2061" s="3" t="s">
        <v>1767</v>
      </c>
    </row>
    <row r="2062" spans="1:14" hidden="1" x14ac:dyDescent="0.25">
      <c r="A2062" s="1" t="str">
        <f>VLOOKUP(Table2[[#This Row],[Prod Line ]],Lists!A:E,5,0)</f>
        <v>b</v>
      </c>
      <c r="B2062" s="1">
        <v>44497</v>
      </c>
      <c r="C2062" s="1">
        <v>44494</v>
      </c>
      <c r="D2062" s="1" t="s">
        <v>58</v>
      </c>
      <c r="E2062" s="2" t="s">
        <v>406</v>
      </c>
      <c r="F2062" s="1"/>
      <c r="G2062" s="2">
        <v>4</v>
      </c>
      <c r="H2062" s="1"/>
      <c r="I2062" t="s">
        <v>0</v>
      </c>
      <c r="J2062" t="s">
        <v>64</v>
      </c>
      <c r="K2062" t="s">
        <v>20</v>
      </c>
      <c r="L2062" t="s">
        <v>70</v>
      </c>
      <c r="M2062" s="3" t="s">
        <v>1768</v>
      </c>
    </row>
    <row r="2063" spans="1:14" hidden="1" x14ac:dyDescent="0.25">
      <c r="A2063" s="1" t="str">
        <f>VLOOKUP(Table2[[#This Row],[Prod Line ]],Lists!A:E,5,0)</f>
        <v>b</v>
      </c>
      <c r="B2063" s="1">
        <v>44497</v>
      </c>
      <c r="C2063" s="1">
        <v>44494</v>
      </c>
      <c r="D2063" s="1" t="s">
        <v>58</v>
      </c>
      <c r="E2063" s="2" t="s">
        <v>406</v>
      </c>
      <c r="F2063" s="1"/>
      <c r="G2063" s="2">
        <v>10</v>
      </c>
      <c r="H2063" s="1"/>
      <c r="I2063" t="s">
        <v>1</v>
      </c>
      <c r="J2063" t="s">
        <v>64</v>
      </c>
      <c r="K2063" t="s">
        <v>21</v>
      </c>
      <c r="L2063" t="s">
        <v>72</v>
      </c>
      <c r="M2063" s="3" t="s">
        <v>1776</v>
      </c>
    </row>
    <row r="2064" spans="1:14" hidden="1" x14ac:dyDescent="0.25">
      <c r="A2064" s="1" t="str">
        <f>VLOOKUP(Table2[[#This Row],[Prod Line ]],Lists!A:E,5,0)</f>
        <v>b</v>
      </c>
      <c r="B2064" s="1">
        <v>44495</v>
      </c>
      <c r="C2064" s="1">
        <v>44494</v>
      </c>
      <c r="D2064" s="1" t="s">
        <v>58</v>
      </c>
      <c r="E2064" s="2" t="s">
        <v>404</v>
      </c>
      <c r="F2064" s="1"/>
      <c r="G2064" s="2">
        <v>16</v>
      </c>
      <c r="H2064" s="1"/>
      <c r="I2064" t="s">
        <v>1</v>
      </c>
      <c r="J2064" t="s">
        <v>64</v>
      </c>
      <c r="K2064" t="s">
        <v>21</v>
      </c>
      <c r="L2064" t="s">
        <v>72</v>
      </c>
      <c r="M2064" s="3" t="s">
        <v>1776</v>
      </c>
    </row>
    <row r="2065" spans="1:13" hidden="1" x14ac:dyDescent="0.25">
      <c r="A2065" s="1" t="str">
        <f>VLOOKUP(Table2[[#This Row],[Prod Line ]],Lists!A:E,5,0)</f>
        <v>b</v>
      </c>
      <c r="B2065" s="1">
        <v>44497</v>
      </c>
      <c r="C2065" s="1">
        <v>44494</v>
      </c>
      <c r="D2065" s="1" t="s">
        <v>58</v>
      </c>
      <c r="E2065" s="2" t="s">
        <v>404</v>
      </c>
      <c r="F2065" s="1"/>
      <c r="G2065" s="2">
        <v>4</v>
      </c>
      <c r="H2065" s="1"/>
      <c r="I2065" t="s">
        <v>1</v>
      </c>
      <c r="J2065" t="s">
        <v>65</v>
      </c>
      <c r="K2065" t="s">
        <v>27</v>
      </c>
      <c r="L2065" t="s">
        <v>407</v>
      </c>
      <c r="M2065" s="3" t="s">
        <v>1777</v>
      </c>
    </row>
    <row r="2066" spans="1:13" hidden="1" x14ac:dyDescent="0.25">
      <c r="A2066" s="1" t="str">
        <f>VLOOKUP(Table2[[#This Row],[Prod Line ]],Lists!A:E,5,0)</f>
        <v>b</v>
      </c>
      <c r="B2066" s="1">
        <v>44497</v>
      </c>
      <c r="C2066" s="1">
        <v>44494</v>
      </c>
      <c r="D2066" s="1" t="s">
        <v>58</v>
      </c>
      <c r="E2066" s="2" t="s">
        <v>406</v>
      </c>
      <c r="F2066" s="1"/>
      <c r="G2066" s="2">
        <v>10</v>
      </c>
      <c r="H2066" s="1"/>
      <c r="I2066" t="s">
        <v>0</v>
      </c>
      <c r="J2066" t="s">
        <v>64</v>
      </c>
      <c r="K2066" t="s">
        <v>20</v>
      </c>
      <c r="L2066" t="s">
        <v>70</v>
      </c>
      <c r="M2066" s="3" t="s">
        <v>1770</v>
      </c>
    </row>
    <row r="2067" spans="1:13" hidden="1" x14ac:dyDescent="0.25">
      <c r="A2067" s="1" t="str">
        <f>VLOOKUP(Table2[[#This Row],[Prod Line ]],Lists!A:E,5,0)</f>
        <v>b</v>
      </c>
      <c r="B2067" s="1">
        <v>44497</v>
      </c>
      <c r="C2067" s="1">
        <v>44495</v>
      </c>
      <c r="D2067" s="1" t="s">
        <v>58</v>
      </c>
      <c r="E2067" s="2" t="s">
        <v>404</v>
      </c>
      <c r="F2067" s="1"/>
      <c r="G2067" s="2">
        <v>16</v>
      </c>
      <c r="H2067" s="1"/>
      <c r="I2067" t="s">
        <v>1</v>
      </c>
      <c r="J2067" t="s">
        <v>64</v>
      </c>
      <c r="K2067" t="s">
        <v>21</v>
      </c>
      <c r="L2067" t="s">
        <v>407</v>
      </c>
      <c r="M2067" s="3" t="s">
        <v>811</v>
      </c>
    </row>
    <row r="2068" spans="1:13" hidden="1" x14ac:dyDescent="0.25">
      <c r="A2068" s="1" t="str">
        <f>VLOOKUP(Table2[[#This Row],[Prod Line ]],Lists!A:E,5,0)</f>
        <v>b</v>
      </c>
      <c r="B2068" s="1">
        <v>44499</v>
      </c>
      <c r="C2068" s="1">
        <v>44497</v>
      </c>
      <c r="D2068" s="1" t="s">
        <v>58</v>
      </c>
      <c r="E2068" s="2" t="s">
        <v>405</v>
      </c>
      <c r="F2068" s="1"/>
      <c r="G2068" s="2">
        <v>18</v>
      </c>
      <c r="H2068" s="1"/>
      <c r="I2068" t="s">
        <v>1</v>
      </c>
      <c r="J2068" t="s">
        <v>65</v>
      </c>
      <c r="K2068" t="s">
        <v>27</v>
      </c>
      <c r="L2068" t="s">
        <v>441</v>
      </c>
      <c r="M2068" s="3" t="s">
        <v>612</v>
      </c>
    </row>
    <row r="2069" spans="1:13" hidden="1" x14ac:dyDescent="0.25">
      <c r="A2069" s="1" t="str">
        <f>VLOOKUP(Table2[[#This Row],[Prod Line ]],Lists!A:E,5,0)</f>
        <v>a</v>
      </c>
      <c r="B2069" s="1">
        <v>44499</v>
      </c>
      <c r="C2069" s="1">
        <v>44497</v>
      </c>
      <c r="D2069" s="1" t="s">
        <v>56</v>
      </c>
      <c r="E2069" s="2" t="s">
        <v>405</v>
      </c>
      <c r="F2069" s="1"/>
      <c r="G2069" s="2">
        <v>10</v>
      </c>
      <c r="H2069" s="1"/>
      <c r="I2069" t="s">
        <v>0</v>
      </c>
      <c r="J2069" t="s">
        <v>65</v>
      </c>
      <c r="K2069" t="s">
        <v>372</v>
      </c>
      <c r="L2069" t="s">
        <v>82</v>
      </c>
      <c r="M2069" s="3" t="s">
        <v>1646</v>
      </c>
    </row>
    <row r="2070" spans="1:13" hidden="1" x14ac:dyDescent="0.25">
      <c r="A2070" s="1" t="str">
        <f>VLOOKUP(Table2[[#This Row],[Prod Line ]],Lists!A:E,5,0)</f>
        <v>a</v>
      </c>
      <c r="B2070" s="1">
        <v>44499</v>
      </c>
      <c r="C2070" s="1">
        <v>44497</v>
      </c>
      <c r="D2070" s="1" t="s">
        <v>56</v>
      </c>
      <c r="E2070" s="2" t="s">
        <v>404</v>
      </c>
      <c r="F2070" s="1"/>
      <c r="G2070" s="2">
        <v>15</v>
      </c>
      <c r="H2070" s="1"/>
      <c r="I2070" t="s">
        <v>0</v>
      </c>
      <c r="J2070" t="s">
        <v>64</v>
      </c>
      <c r="K2070" t="s">
        <v>367</v>
      </c>
      <c r="L2070" t="s">
        <v>70</v>
      </c>
      <c r="M2070" s="3" t="s">
        <v>1778</v>
      </c>
    </row>
    <row r="2071" spans="1:13" hidden="1" x14ac:dyDescent="0.25">
      <c r="A2071" s="1" t="str">
        <f>VLOOKUP(Table2[[#This Row],[Prod Line ]],Lists!A:E,5,0)</f>
        <v>a</v>
      </c>
      <c r="B2071" s="1">
        <v>44499</v>
      </c>
      <c r="C2071" s="1">
        <v>44497</v>
      </c>
      <c r="D2071" s="1" t="s">
        <v>56</v>
      </c>
      <c r="E2071" s="2" t="s">
        <v>405</v>
      </c>
      <c r="F2071" s="1"/>
      <c r="G2071" s="2">
        <v>20</v>
      </c>
      <c r="H2071" s="1"/>
      <c r="I2071" t="s">
        <v>0</v>
      </c>
      <c r="J2071" t="s">
        <v>64</v>
      </c>
      <c r="K2071" t="s">
        <v>368</v>
      </c>
      <c r="L2071" t="s">
        <v>82</v>
      </c>
      <c r="M2071" s="3" t="s">
        <v>1779</v>
      </c>
    </row>
    <row r="2072" spans="1:13" hidden="1" x14ac:dyDescent="0.25">
      <c r="A2072" s="1" t="str">
        <f>VLOOKUP(Table2[[#This Row],[Prod Line ]],Lists!A:E,5,0)</f>
        <v>a</v>
      </c>
      <c r="B2072" s="1">
        <v>44499</v>
      </c>
      <c r="C2072" s="1">
        <v>44497</v>
      </c>
      <c r="D2072" s="1" t="s">
        <v>56</v>
      </c>
      <c r="E2072" s="2" t="s">
        <v>405</v>
      </c>
      <c r="F2072" s="1"/>
      <c r="G2072" s="2">
        <v>12</v>
      </c>
      <c r="H2072" s="1"/>
      <c r="I2072" t="s">
        <v>1</v>
      </c>
      <c r="J2072" t="s">
        <v>64</v>
      </c>
      <c r="K2072" t="s">
        <v>363</v>
      </c>
      <c r="L2072" t="s">
        <v>407</v>
      </c>
      <c r="M2072" s="3" t="s">
        <v>1780</v>
      </c>
    </row>
    <row r="2073" spans="1:13" hidden="1" x14ac:dyDescent="0.25">
      <c r="A2073" s="1" t="str">
        <f>VLOOKUP(Table2[[#This Row],[Prod Line ]],Lists!A:E,5,0)</f>
        <v>c</v>
      </c>
      <c r="B2073" s="1">
        <v>44499</v>
      </c>
      <c r="C2073" s="1">
        <v>44497</v>
      </c>
      <c r="D2073" s="1" t="s">
        <v>60</v>
      </c>
      <c r="E2073" s="2" t="s">
        <v>404</v>
      </c>
      <c r="F2073" s="1"/>
      <c r="G2073" s="2">
        <v>25</v>
      </c>
      <c r="H2073" s="1"/>
      <c r="I2073" t="s">
        <v>0</v>
      </c>
      <c r="J2073" t="s">
        <v>64</v>
      </c>
      <c r="K2073" t="s">
        <v>381</v>
      </c>
      <c r="L2073" t="s">
        <v>70</v>
      </c>
      <c r="M2073" s="3" t="s">
        <v>1781</v>
      </c>
    </row>
    <row r="2074" spans="1:13" hidden="1" x14ac:dyDescent="0.25">
      <c r="A2074" s="1" t="str">
        <f>VLOOKUP(Table2[[#This Row],[Prod Line ]],Lists!A:E,5,0)</f>
        <v>c</v>
      </c>
      <c r="B2074" s="1">
        <v>44499</v>
      </c>
      <c r="C2074" s="1">
        <v>44497</v>
      </c>
      <c r="D2074" s="1" t="s">
        <v>60</v>
      </c>
      <c r="E2074" s="2" t="s">
        <v>404</v>
      </c>
      <c r="F2074" s="1"/>
      <c r="G2074" s="2">
        <v>16</v>
      </c>
      <c r="H2074" s="1"/>
      <c r="I2074" t="s">
        <v>1</v>
      </c>
      <c r="J2074" t="s">
        <v>2</v>
      </c>
      <c r="K2074" t="s">
        <v>13</v>
      </c>
      <c r="L2074" t="s">
        <v>407</v>
      </c>
      <c r="M2074" s="3" t="s">
        <v>1782</v>
      </c>
    </row>
    <row r="2075" spans="1:13" hidden="1" x14ac:dyDescent="0.25">
      <c r="A2075" s="1" t="str">
        <f>VLOOKUP(Table2[[#This Row],[Prod Line ]],Lists!A:E,5,0)</f>
        <v>d</v>
      </c>
      <c r="B2075" s="1">
        <v>44500</v>
      </c>
      <c r="C2075" s="1">
        <v>44498</v>
      </c>
      <c r="D2075" s="1" t="s">
        <v>62</v>
      </c>
      <c r="E2075" s="2" t="s">
        <v>404</v>
      </c>
      <c r="F2075" s="1"/>
      <c r="G2075" s="2">
        <v>25</v>
      </c>
      <c r="H2075" s="1"/>
      <c r="I2075" t="s">
        <v>1</v>
      </c>
      <c r="J2075" t="s">
        <v>5</v>
      </c>
      <c r="K2075" t="s">
        <v>396</v>
      </c>
      <c r="L2075" t="s">
        <v>407</v>
      </c>
      <c r="M2075" s="3" t="s">
        <v>1217</v>
      </c>
    </row>
    <row r="2076" spans="1:13" hidden="1" x14ac:dyDescent="0.25">
      <c r="A2076" s="1" t="str">
        <f>VLOOKUP(Table2[[#This Row],[Prod Line ]],Lists!A:E,5,0)</f>
        <v>d</v>
      </c>
      <c r="B2076" s="1">
        <v>44500</v>
      </c>
      <c r="C2076" s="1">
        <v>44498</v>
      </c>
      <c r="D2076" s="1" t="s">
        <v>62</v>
      </c>
      <c r="E2076" s="2" t="s">
        <v>404</v>
      </c>
      <c r="F2076" s="1"/>
      <c r="G2076" s="2">
        <v>6</v>
      </c>
      <c r="H2076" s="1"/>
      <c r="I2076" t="s">
        <v>1</v>
      </c>
      <c r="J2076" t="s">
        <v>2</v>
      </c>
      <c r="K2076" t="s">
        <v>19</v>
      </c>
      <c r="L2076" t="s">
        <v>349</v>
      </c>
      <c r="M2076" s="3" t="s">
        <v>524</v>
      </c>
    </row>
    <row r="2077" spans="1:13" hidden="1" x14ac:dyDescent="0.25">
      <c r="A2077" s="1" t="str">
        <f>VLOOKUP(Table2[[#This Row],[Prod Line ]],Lists!A:E,5,0)</f>
        <v>d</v>
      </c>
      <c r="B2077" s="1">
        <v>44500</v>
      </c>
      <c r="C2077" s="1">
        <v>44498</v>
      </c>
      <c r="D2077" s="1" t="s">
        <v>62</v>
      </c>
      <c r="E2077" s="2" t="s">
        <v>405</v>
      </c>
      <c r="F2077" s="1"/>
      <c r="G2077" s="2">
        <v>5</v>
      </c>
      <c r="H2077" s="1"/>
      <c r="I2077" t="s">
        <v>1</v>
      </c>
      <c r="J2077" t="s">
        <v>2</v>
      </c>
      <c r="K2077" t="s">
        <v>19</v>
      </c>
      <c r="L2077" t="s">
        <v>349</v>
      </c>
      <c r="M2077" s="3" t="s">
        <v>1797</v>
      </c>
    </row>
    <row r="2078" spans="1:13" hidden="1" x14ac:dyDescent="0.25">
      <c r="A2078" s="1" t="str">
        <f>VLOOKUP(Table2[[#This Row],[Prod Line ]],Lists!A:E,5,0)</f>
        <v>d</v>
      </c>
      <c r="B2078" s="1">
        <v>44500</v>
      </c>
      <c r="C2078" s="1">
        <v>44498</v>
      </c>
      <c r="D2078" s="1" t="s">
        <v>62</v>
      </c>
      <c r="E2078" s="2" t="s">
        <v>405</v>
      </c>
      <c r="F2078" s="1"/>
      <c r="G2078" s="2">
        <v>8</v>
      </c>
      <c r="H2078" s="1"/>
      <c r="I2078" t="s">
        <v>1</v>
      </c>
      <c r="J2078" t="s">
        <v>2</v>
      </c>
      <c r="K2078" t="s">
        <v>19</v>
      </c>
      <c r="L2078" t="s">
        <v>407</v>
      </c>
      <c r="M2078" s="3" t="s">
        <v>1796</v>
      </c>
    </row>
    <row r="2079" spans="1:13" hidden="1" x14ac:dyDescent="0.25">
      <c r="A2079" s="1" t="str">
        <f>VLOOKUP(Table2[[#This Row],[Prod Line ]],Lists!A:E,5,0)</f>
        <v>a</v>
      </c>
      <c r="B2079" s="1">
        <v>44500</v>
      </c>
      <c r="C2079" s="1">
        <v>44498</v>
      </c>
      <c r="D2079" s="1" t="s">
        <v>56</v>
      </c>
      <c r="E2079" s="2" t="s">
        <v>404</v>
      </c>
      <c r="F2079" s="1"/>
      <c r="G2079" s="2">
        <v>7</v>
      </c>
      <c r="H2079" s="1"/>
      <c r="I2079" t="s">
        <v>0</v>
      </c>
      <c r="J2079" t="s">
        <v>64</v>
      </c>
      <c r="K2079" t="s">
        <v>367</v>
      </c>
      <c r="L2079" t="s">
        <v>70</v>
      </c>
      <c r="M2079" s="3" t="s">
        <v>1220</v>
      </c>
    </row>
    <row r="2080" spans="1:13" hidden="1" x14ac:dyDescent="0.25">
      <c r="A2080" s="1" t="str">
        <f>VLOOKUP(Table2[[#This Row],[Prod Line ]],Lists!A:E,5,0)</f>
        <v>a</v>
      </c>
      <c r="B2080" s="1">
        <v>44500</v>
      </c>
      <c r="C2080" s="1">
        <v>44498</v>
      </c>
      <c r="D2080" s="1" t="s">
        <v>56</v>
      </c>
      <c r="E2080" s="2" t="s">
        <v>404</v>
      </c>
      <c r="F2080" s="1"/>
      <c r="G2080" s="2">
        <v>9</v>
      </c>
      <c r="H2080" s="1"/>
      <c r="I2080" t="s">
        <v>1</v>
      </c>
      <c r="J2080" t="s">
        <v>65</v>
      </c>
      <c r="K2080" t="s">
        <v>27</v>
      </c>
      <c r="L2080" t="s">
        <v>441</v>
      </c>
      <c r="M2080" s="3" t="s">
        <v>612</v>
      </c>
    </row>
    <row r="2081" spans="1:14" hidden="1" x14ac:dyDescent="0.25">
      <c r="A2081" s="1" t="str">
        <f>VLOOKUP(Table2[[#This Row],[Prod Line ]],Lists!A:E,5,0)</f>
        <v>a</v>
      </c>
      <c r="B2081" s="1">
        <v>44500</v>
      </c>
      <c r="C2081" s="1">
        <v>44498</v>
      </c>
      <c r="D2081" s="1" t="s">
        <v>56</v>
      </c>
      <c r="E2081" s="2" t="s">
        <v>404</v>
      </c>
      <c r="F2081" s="1"/>
      <c r="G2081" s="2">
        <v>7</v>
      </c>
      <c r="H2081" s="1"/>
      <c r="I2081" t="s">
        <v>1</v>
      </c>
      <c r="J2081" t="s">
        <v>64</v>
      </c>
      <c r="K2081" t="s">
        <v>370</v>
      </c>
      <c r="L2081" t="s">
        <v>407</v>
      </c>
      <c r="M2081" s="3" t="s">
        <v>1798</v>
      </c>
    </row>
    <row r="2082" spans="1:14" hidden="1" x14ac:dyDescent="0.25">
      <c r="A2082" s="1" t="str">
        <f>VLOOKUP(Table2[[#This Row],[Prod Line ]],Lists!A:E,5,0)</f>
        <v>a</v>
      </c>
      <c r="B2082" s="1">
        <v>44500</v>
      </c>
      <c r="C2082" s="1">
        <v>44499</v>
      </c>
      <c r="D2082" s="1" t="s">
        <v>56</v>
      </c>
      <c r="E2082" s="2" t="s">
        <v>404</v>
      </c>
      <c r="F2082" s="1"/>
      <c r="G2082" s="2">
        <v>7</v>
      </c>
      <c r="H2082" s="1"/>
      <c r="I2082" t="s">
        <v>1</v>
      </c>
      <c r="J2082" t="s">
        <v>64</v>
      </c>
      <c r="K2082" t="s">
        <v>370</v>
      </c>
      <c r="L2082" t="s">
        <v>407</v>
      </c>
      <c r="M2082" s="3" t="s">
        <v>939</v>
      </c>
    </row>
    <row r="2083" spans="1:14" hidden="1" x14ac:dyDescent="0.25">
      <c r="A2083" s="1" t="str">
        <f>VLOOKUP(Table2[[#This Row],[Prod Line ]],Lists!A:E,5,0)</f>
        <v>a</v>
      </c>
      <c r="B2083" s="1">
        <v>44500</v>
      </c>
      <c r="C2083" s="1">
        <v>44499</v>
      </c>
      <c r="D2083" s="1" t="s">
        <v>56</v>
      </c>
      <c r="E2083" s="2" t="s">
        <v>405</v>
      </c>
      <c r="F2083" s="1"/>
      <c r="G2083" s="2">
        <v>12</v>
      </c>
      <c r="H2083" s="1"/>
      <c r="I2083" t="s">
        <v>1</v>
      </c>
      <c r="J2083" t="s">
        <v>64</v>
      </c>
      <c r="K2083" t="s">
        <v>370</v>
      </c>
      <c r="L2083" t="s">
        <v>407</v>
      </c>
      <c r="M2083" s="3" t="s">
        <v>939</v>
      </c>
    </row>
    <row r="2084" spans="1:14" hidden="1" x14ac:dyDescent="0.25">
      <c r="A2084" s="1" t="str">
        <f>VLOOKUP(Table2[[#This Row],[Prod Line ]],Lists!A:E,5,0)</f>
        <v>a</v>
      </c>
      <c r="B2084" s="1">
        <v>44500</v>
      </c>
      <c r="C2084" s="1">
        <v>44499</v>
      </c>
      <c r="D2084" s="1" t="s">
        <v>56</v>
      </c>
      <c r="E2084" s="2" t="s">
        <v>405</v>
      </c>
      <c r="F2084" s="1"/>
      <c r="G2084" s="2">
        <v>18</v>
      </c>
      <c r="H2084" s="1"/>
      <c r="I2084" t="s">
        <v>0</v>
      </c>
      <c r="J2084" t="s">
        <v>64</v>
      </c>
      <c r="K2084" t="s">
        <v>367</v>
      </c>
      <c r="L2084" t="s">
        <v>70</v>
      </c>
      <c r="M2084" s="3" t="s">
        <v>1799</v>
      </c>
    </row>
    <row r="2085" spans="1:14" hidden="1" x14ac:dyDescent="0.25">
      <c r="A2085" s="1" t="str">
        <f>VLOOKUP(Table2[[#This Row],[Prod Line ]],Lists!A:E,5,0)</f>
        <v>a</v>
      </c>
      <c r="B2085" s="1">
        <v>44500</v>
      </c>
      <c r="C2085" s="1">
        <v>44499</v>
      </c>
      <c r="D2085" s="1" t="s">
        <v>56</v>
      </c>
      <c r="E2085" s="2" t="s">
        <v>404</v>
      </c>
      <c r="F2085" s="1"/>
      <c r="G2085" s="2">
        <v>61</v>
      </c>
      <c r="H2085" s="1"/>
      <c r="I2085" t="s">
        <v>0</v>
      </c>
      <c r="J2085" t="s">
        <v>65</v>
      </c>
      <c r="K2085" t="s">
        <v>3</v>
      </c>
      <c r="L2085" t="s">
        <v>70</v>
      </c>
      <c r="M2085" s="3" t="s">
        <v>1812</v>
      </c>
      <c r="N2085" s="20" t="s">
        <v>1813</v>
      </c>
    </row>
    <row r="2086" spans="1:14" hidden="1" x14ac:dyDescent="0.25">
      <c r="A2086" s="1" t="str">
        <f>VLOOKUP(Table2[[#This Row],[Prod Line ]],Lists!A:E,5,0)</f>
        <v>a</v>
      </c>
      <c r="B2086" s="1">
        <v>44501</v>
      </c>
      <c r="C2086" s="1">
        <v>44500</v>
      </c>
      <c r="D2086" s="1" t="s">
        <v>56</v>
      </c>
      <c r="E2086" s="2" t="s">
        <v>404</v>
      </c>
      <c r="F2086" s="1"/>
      <c r="G2086" s="2">
        <v>10</v>
      </c>
      <c r="H2086" s="1"/>
      <c r="I2086" t="s">
        <v>0</v>
      </c>
      <c r="J2086" t="s">
        <v>65</v>
      </c>
      <c r="K2086" t="s">
        <v>3</v>
      </c>
      <c r="L2086" t="s">
        <v>70</v>
      </c>
      <c r="M2086" s="3" t="s">
        <v>1264</v>
      </c>
      <c r="N2086" s="20" t="s">
        <v>1814</v>
      </c>
    </row>
    <row r="2087" spans="1:14" hidden="1" x14ac:dyDescent="0.25">
      <c r="A2087" s="1" t="str">
        <f>VLOOKUP(Table2[[#This Row],[Prod Line ]],Lists!A:E,5,0)</f>
        <v>a</v>
      </c>
      <c r="B2087" s="1">
        <v>44501</v>
      </c>
      <c r="C2087" s="1">
        <v>44500</v>
      </c>
      <c r="D2087" s="1" t="s">
        <v>56</v>
      </c>
      <c r="E2087" s="2" t="s">
        <v>404</v>
      </c>
      <c r="F2087" s="1"/>
      <c r="G2087" s="2">
        <v>5</v>
      </c>
      <c r="H2087" s="1"/>
      <c r="I2087" t="s">
        <v>0</v>
      </c>
      <c r="J2087" t="s">
        <v>64</v>
      </c>
      <c r="K2087" t="s">
        <v>370</v>
      </c>
      <c r="L2087" t="s">
        <v>70</v>
      </c>
      <c r="M2087" s="3" t="s">
        <v>1800</v>
      </c>
    </row>
    <row r="2088" spans="1:14" hidden="1" x14ac:dyDescent="0.25">
      <c r="A2088" s="1" t="str">
        <f>VLOOKUP(Table2[[#This Row],[Prod Line ]],Lists!A:E,5,0)</f>
        <v>b</v>
      </c>
      <c r="B2088" s="1">
        <v>44501</v>
      </c>
      <c r="C2088" s="1">
        <v>44500</v>
      </c>
      <c r="D2088" s="1" t="s">
        <v>58</v>
      </c>
      <c r="E2088" s="2" t="s">
        <v>406</v>
      </c>
      <c r="F2088" s="1"/>
      <c r="G2088" s="2">
        <v>10</v>
      </c>
      <c r="H2088" s="1"/>
      <c r="I2088" t="s">
        <v>1</v>
      </c>
      <c r="J2088" t="s">
        <v>65</v>
      </c>
      <c r="K2088" t="s">
        <v>27</v>
      </c>
      <c r="L2088" t="s">
        <v>441</v>
      </c>
      <c r="M2088" s="3" t="s">
        <v>612</v>
      </c>
    </row>
    <row r="2089" spans="1:14" hidden="1" x14ac:dyDescent="0.25">
      <c r="A2089" s="1" t="str">
        <f>VLOOKUP(Table2[[#This Row],[Prod Line ]],Lists!A:E,5,0)</f>
        <v>b</v>
      </c>
      <c r="B2089" s="1">
        <v>44501</v>
      </c>
      <c r="C2089" s="1">
        <v>44500</v>
      </c>
      <c r="D2089" s="1" t="s">
        <v>58</v>
      </c>
      <c r="E2089" s="2" t="s">
        <v>406</v>
      </c>
      <c r="F2089" s="1"/>
      <c r="G2089" s="2">
        <v>5</v>
      </c>
      <c r="H2089" s="1"/>
      <c r="I2089" t="s">
        <v>1</v>
      </c>
      <c r="J2089" t="s">
        <v>64</v>
      </c>
      <c r="K2089" t="s">
        <v>22</v>
      </c>
      <c r="L2089" t="s">
        <v>407</v>
      </c>
      <c r="M2089" s="3" t="s">
        <v>750</v>
      </c>
    </row>
    <row r="2090" spans="1:14" hidden="1" x14ac:dyDescent="0.25">
      <c r="A2090" s="1" t="str">
        <f>VLOOKUP(Table2[[#This Row],[Prod Line ]],Lists!A:E,5,0)</f>
        <v>b</v>
      </c>
      <c r="B2090" s="1">
        <v>44501</v>
      </c>
      <c r="C2090" s="1">
        <v>44500</v>
      </c>
      <c r="D2090" s="1" t="s">
        <v>58</v>
      </c>
      <c r="E2090" s="2" t="s">
        <v>404</v>
      </c>
      <c r="F2090" s="1"/>
      <c r="G2090" s="2">
        <v>14</v>
      </c>
      <c r="H2090" s="1"/>
      <c r="I2090" t="s">
        <v>0</v>
      </c>
      <c r="J2090" t="s">
        <v>5</v>
      </c>
      <c r="K2090" t="s">
        <v>38</v>
      </c>
      <c r="L2090" t="s">
        <v>70</v>
      </c>
      <c r="M2090" s="3" t="s">
        <v>1801</v>
      </c>
    </row>
    <row r="2091" spans="1:14" hidden="1" x14ac:dyDescent="0.25">
      <c r="A2091" s="1" t="str">
        <f>VLOOKUP(Table2[[#This Row],[Prod Line ]],Lists!A:E,5,0)</f>
        <v>c</v>
      </c>
      <c r="B2091" s="1">
        <v>44501</v>
      </c>
      <c r="C2091" s="1">
        <v>44500</v>
      </c>
      <c r="D2091" s="1" t="s">
        <v>60</v>
      </c>
      <c r="E2091" s="2" t="s">
        <v>405</v>
      </c>
      <c r="F2091" s="1"/>
      <c r="G2091" s="2">
        <v>20</v>
      </c>
      <c r="H2091" s="1"/>
      <c r="I2091" t="s">
        <v>0</v>
      </c>
      <c r="J2091" t="s">
        <v>2</v>
      </c>
      <c r="K2091" t="s">
        <v>378</v>
      </c>
      <c r="L2091" t="s">
        <v>70</v>
      </c>
      <c r="M2091" s="3" t="s">
        <v>1802</v>
      </c>
      <c r="N2091" s="20" t="s">
        <v>1816</v>
      </c>
    </row>
    <row r="2092" spans="1:14" hidden="1" x14ac:dyDescent="0.25">
      <c r="A2092" s="1" t="str">
        <f>VLOOKUP(Table2[[#This Row],[Prod Line ]],Lists!A:E,5,0)</f>
        <v>d</v>
      </c>
      <c r="B2092" s="1">
        <v>44501</v>
      </c>
      <c r="C2092" s="1">
        <v>44500</v>
      </c>
      <c r="D2092" s="1" t="s">
        <v>62</v>
      </c>
      <c r="E2092" s="2" t="s">
        <v>404</v>
      </c>
      <c r="F2092" s="1"/>
      <c r="G2092" s="2">
        <v>33</v>
      </c>
      <c r="H2092" s="1"/>
      <c r="I2092" t="s">
        <v>1</v>
      </c>
      <c r="J2092" t="s">
        <v>2</v>
      </c>
      <c r="K2092" t="s">
        <v>19</v>
      </c>
      <c r="L2092" t="s">
        <v>407</v>
      </c>
      <c r="M2092" s="3" t="s">
        <v>1803</v>
      </c>
    </row>
    <row r="2093" spans="1:14" hidden="1" x14ac:dyDescent="0.25">
      <c r="A2093" s="1" t="str">
        <f>VLOOKUP(Table2[[#This Row],[Prod Line ]],Lists!A:E,5,0)</f>
        <v>a</v>
      </c>
      <c r="B2093" s="1">
        <v>44502</v>
      </c>
      <c r="C2093" s="1">
        <v>44197</v>
      </c>
      <c r="D2093" s="1" t="s">
        <v>56</v>
      </c>
      <c r="E2093" s="2" t="s">
        <v>404</v>
      </c>
      <c r="F2093" s="1"/>
      <c r="G2093" s="2">
        <v>31</v>
      </c>
      <c r="H2093" s="1"/>
      <c r="I2093" t="s">
        <v>0</v>
      </c>
      <c r="J2093" t="s">
        <v>64</v>
      </c>
      <c r="K2093" t="s">
        <v>370</v>
      </c>
      <c r="L2093" t="s">
        <v>70</v>
      </c>
      <c r="M2093" s="3" t="s">
        <v>1804</v>
      </c>
    </row>
    <row r="2094" spans="1:14" hidden="1" x14ac:dyDescent="0.25">
      <c r="A2094" s="1" t="str">
        <f>VLOOKUP(Table2[[#This Row],[Prod Line ]],Lists!A:E,5,0)</f>
        <v>b</v>
      </c>
      <c r="B2094" s="1">
        <v>44502</v>
      </c>
      <c r="C2094" s="1">
        <v>44197</v>
      </c>
      <c r="D2094" s="1" t="s">
        <v>58</v>
      </c>
      <c r="E2094" s="2" t="s">
        <v>404</v>
      </c>
      <c r="F2094" s="1"/>
      <c r="G2094" s="2">
        <v>12</v>
      </c>
      <c r="H2094" s="1"/>
      <c r="I2094" t="s">
        <v>1</v>
      </c>
      <c r="J2094" t="s">
        <v>64</v>
      </c>
      <c r="K2094" t="s">
        <v>20</v>
      </c>
      <c r="L2094" t="s">
        <v>407</v>
      </c>
      <c r="M2094" s="3" t="s">
        <v>1805</v>
      </c>
    </row>
    <row r="2095" spans="1:14" hidden="1" x14ac:dyDescent="0.25">
      <c r="A2095" s="1" t="str">
        <f>VLOOKUP(Table2[[#This Row],[Prod Line ]],Lists!A:E,5,0)</f>
        <v>b</v>
      </c>
      <c r="B2095" s="1">
        <v>44502</v>
      </c>
      <c r="C2095" s="1">
        <v>44197</v>
      </c>
      <c r="D2095" s="1" t="s">
        <v>58</v>
      </c>
      <c r="E2095" s="2" t="s">
        <v>406</v>
      </c>
      <c r="F2095" s="1"/>
      <c r="G2095" s="2">
        <v>48</v>
      </c>
      <c r="H2095" s="1"/>
      <c r="I2095" t="s">
        <v>1</v>
      </c>
      <c r="J2095" t="s">
        <v>65</v>
      </c>
      <c r="K2095" t="s">
        <v>3</v>
      </c>
      <c r="L2095" t="s">
        <v>407</v>
      </c>
      <c r="M2095" s="3" t="s">
        <v>1806</v>
      </c>
    </row>
    <row r="2096" spans="1:14" hidden="1" x14ac:dyDescent="0.25">
      <c r="A2096" s="1" t="str">
        <f>VLOOKUP(Table2[[#This Row],[Prod Line ]],Lists!A:E,5,0)</f>
        <v>c</v>
      </c>
      <c r="B2096" s="1">
        <v>44502</v>
      </c>
      <c r="C2096" s="1">
        <v>44197</v>
      </c>
      <c r="D2096" s="1" t="s">
        <v>60</v>
      </c>
      <c r="E2096" s="2" t="s">
        <v>404</v>
      </c>
      <c r="F2096" s="1"/>
      <c r="G2096" s="2">
        <v>10</v>
      </c>
      <c r="H2096" s="1"/>
      <c r="I2096" t="s">
        <v>1</v>
      </c>
      <c r="J2096" t="s">
        <v>64</v>
      </c>
      <c r="K2096" t="s">
        <v>381</v>
      </c>
      <c r="L2096" t="s">
        <v>407</v>
      </c>
      <c r="M2096" s="3" t="s">
        <v>833</v>
      </c>
    </row>
    <row r="2097" spans="1:14" hidden="1" x14ac:dyDescent="0.25">
      <c r="A2097" s="1" t="str">
        <f>VLOOKUP(Table2[[#This Row],[Prod Line ]],Lists!A:E,5,0)</f>
        <v>c</v>
      </c>
      <c r="B2097" s="1">
        <v>44502</v>
      </c>
      <c r="C2097" s="1">
        <v>44197</v>
      </c>
      <c r="D2097" s="1" t="s">
        <v>60</v>
      </c>
      <c r="E2097" s="2" t="s">
        <v>404</v>
      </c>
      <c r="F2097" s="1"/>
      <c r="G2097" s="2">
        <v>11</v>
      </c>
      <c r="H2097" s="1"/>
      <c r="I2097" t="s">
        <v>1</v>
      </c>
      <c r="J2097" t="s">
        <v>2</v>
      </c>
      <c r="K2097" t="s">
        <v>19</v>
      </c>
      <c r="L2097" t="s">
        <v>349</v>
      </c>
      <c r="M2097" s="3" t="s">
        <v>524</v>
      </c>
    </row>
    <row r="2098" spans="1:14" hidden="1" x14ac:dyDescent="0.25">
      <c r="A2098" s="1" t="str">
        <f>VLOOKUP(Table2[[#This Row],[Prod Line ]],Lists!A:E,5,0)</f>
        <v>d</v>
      </c>
      <c r="B2098" s="1">
        <v>44502</v>
      </c>
      <c r="C2098" s="1">
        <v>44197</v>
      </c>
      <c r="D2098" s="1" t="s">
        <v>62</v>
      </c>
      <c r="E2098" s="2" t="s">
        <v>404</v>
      </c>
      <c r="F2098" s="1"/>
      <c r="G2098" s="2">
        <v>5</v>
      </c>
      <c r="H2098" s="1"/>
      <c r="I2098" t="s">
        <v>1</v>
      </c>
      <c r="J2098" t="s">
        <v>5</v>
      </c>
      <c r="K2098" t="s">
        <v>397</v>
      </c>
      <c r="L2098" t="s">
        <v>407</v>
      </c>
      <c r="M2098" s="3" t="s">
        <v>1807</v>
      </c>
    </row>
    <row r="2099" spans="1:14" hidden="1" x14ac:dyDescent="0.25">
      <c r="A2099" s="1" t="str">
        <f>VLOOKUP(Table2[[#This Row],[Prod Line ]],Lists!A:E,5,0)</f>
        <v>b</v>
      </c>
      <c r="B2099" s="1">
        <v>44504</v>
      </c>
      <c r="C2099" s="1">
        <v>44502</v>
      </c>
      <c r="D2099" s="1" t="s">
        <v>58</v>
      </c>
      <c r="E2099" s="2" t="s">
        <v>404</v>
      </c>
      <c r="F2099" s="1"/>
      <c r="G2099" s="2">
        <v>4</v>
      </c>
      <c r="H2099" s="1"/>
      <c r="I2099" t="s">
        <v>1</v>
      </c>
      <c r="J2099" t="s">
        <v>2</v>
      </c>
      <c r="K2099" t="s">
        <v>19</v>
      </c>
      <c r="L2099" t="s">
        <v>349</v>
      </c>
      <c r="M2099" s="3" t="s">
        <v>575</v>
      </c>
    </row>
    <row r="2100" spans="1:14" hidden="1" x14ac:dyDescent="0.25">
      <c r="A2100" s="1" t="str">
        <f>VLOOKUP(Table2[[#This Row],[Prod Line ]],Lists!A:E,5,0)</f>
        <v>b</v>
      </c>
      <c r="B2100" s="1">
        <v>44504</v>
      </c>
      <c r="C2100" s="1">
        <v>44502</v>
      </c>
      <c r="D2100" s="1" t="s">
        <v>58</v>
      </c>
      <c r="E2100" s="2" t="s">
        <v>404</v>
      </c>
      <c r="F2100" s="1"/>
      <c r="G2100" s="2">
        <v>4</v>
      </c>
      <c r="H2100" s="1"/>
      <c r="I2100" t="s">
        <v>1</v>
      </c>
      <c r="J2100" t="s">
        <v>65</v>
      </c>
      <c r="K2100" t="s">
        <v>27</v>
      </c>
      <c r="L2100" t="s">
        <v>441</v>
      </c>
      <c r="M2100" s="3" t="s">
        <v>576</v>
      </c>
    </row>
    <row r="2101" spans="1:14" hidden="1" x14ac:dyDescent="0.25">
      <c r="A2101" s="1" t="str">
        <f>VLOOKUP(Table2[[#This Row],[Prod Line ]],Lists!A:E,5,0)</f>
        <v>d</v>
      </c>
      <c r="B2101" s="1">
        <v>44504</v>
      </c>
      <c r="C2101" s="1">
        <v>44502</v>
      </c>
      <c r="D2101" s="1" t="s">
        <v>62</v>
      </c>
      <c r="E2101" s="2" t="s">
        <v>405</v>
      </c>
      <c r="F2101" s="1"/>
      <c r="G2101" s="2">
        <v>36</v>
      </c>
      <c r="H2101" s="1"/>
      <c r="I2101" t="s">
        <v>1</v>
      </c>
      <c r="J2101" t="s">
        <v>2</v>
      </c>
      <c r="K2101" t="s">
        <v>19</v>
      </c>
      <c r="L2101" t="s">
        <v>407</v>
      </c>
      <c r="M2101" s="3" t="s">
        <v>623</v>
      </c>
    </row>
    <row r="2102" spans="1:14" ht="30" hidden="1" x14ac:dyDescent="0.25">
      <c r="A2102" s="1" t="str">
        <f>VLOOKUP(Table2[[#This Row],[Prod Line ]],Lists!A:E,5,0)</f>
        <v>a</v>
      </c>
      <c r="B2102" s="1">
        <v>44504</v>
      </c>
      <c r="C2102" s="1">
        <v>44502</v>
      </c>
      <c r="D2102" s="1" t="s">
        <v>56</v>
      </c>
      <c r="E2102" s="2" t="s">
        <v>404</v>
      </c>
      <c r="F2102" s="1"/>
      <c r="G2102" s="2">
        <v>52</v>
      </c>
      <c r="H2102" s="1"/>
      <c r="I2102" t="s">
        <v>0</v>
      </c>
      <c r="J2102" t="s">
        <v>64</v>
      </c>
      <c r="K2102" t="s">
        <v>370</v>
      </c>
      <c r="L2102" t="s">
        <v>70</v>
      </c>
      <c r="M2102" s="3" t="s">
        <v>1808</v>
      </c>
      <c r="N2102" s="20" t="s">
        <v>1815</v>
      </c>
    </row>
    <row r="2103" spans="1:14" hidden="1" x14ac:dyDescent="0.25">
      <c r="A2103" s="1" t="str">
        <f>VLOOKUP(Table2[[#This Row],[Prod Line ]],Lists!A:E,5,0)</f>
        <v>a</v>
      </c>
      <c r="B2103" s="1">
        <v>44504</v>
      </c>
      <c r="C2103" s="1">
        <v>44502</v>
      </c>
      <c r="D2103" s="1" t="s">
        <v>56</v>
      </c>
      <c r="E2103" s="2" t="s">
        <v>405</v>
      </c>
      <c r="F2103" s="1"/>
      <c r="G2103" s="2">
        <v>10</v>
      </c>
      <c r="H2103" s="1"/>
      <c r="I2103" t="s">
        <v>0</v>
      </c>
      <c r="J2103" t="s">
        <v>65</v>
      </c>
      <c r="K2103" t="s">
        <v>27</v>
      </c>
      <c r="L2103" t="s">
        <v>70</v>
      </c>
      <c r="M2103" s="3" t="s">
        <v>1809</v>
      </c>
    </row>
    <row r="2104" spans="1:14" hidden="1" x14ac:dyDescent="0.25">
      <c r="A2104" s="1" t="str">
        <f>VLOOKUP(Table2[[#This Row],[Prod Line ]],Lists!A:E,5,0)</f>
        <v>a</v>
      </c>
      <c r="B2104" s="1">
        <v>44504</v>
      </c>
      <c r="C2104" s="1">
        <v>44502</v>
      </c>
      <c r="D2104" s="1" t="s">
        <v>56</v>
      </c>
      <c r="E2104" s="2" t="s">
        <v>405</v>
      </c>
      <c r="F2104" s="1"/>
      <c r="G2104" s="2">
        <v>15</v>
      </c>
      <c r="H2104" s="1"/>
      <c r="I2104" t="s">
        <v>1</v>
      </c>
      <c r="J2104" t="s">
        <v>64</v>
      </c>
      <c r="K2104" t="s">
        <v>370</v>
      </c>
      <c r="L2104" t="s">
        <v>407</v>
      </c>
      <c r="M2104" s="3" t="s">
        <v>1810</v>
      </c>
    </row>
    <row r="2105" spans="1:14" hidden="1" x14ac:dyDescent="0.25">
      <c r="A2105" s="1" t="str">
        <f>VLOOKUP(Table2[[#This Row],[Prod Line ]],Lists!A:E,5,0)</f>
        <v>a</v>
      </c>
      <c r="B2105" s="1">
        <v>44504</v>
      </c>
      <c r="C2105" s="1">
        <v>44502</v>
      </c>
      <c r="D2105" s="1" t="s">
        <v>56</v>
      </c>
      <c r="E2105" s="2" t="s">
        <v>405</v>
      </c>
      <c r="F2105" s="1"/>
      <c r="G2105" s="2">
        <v>6</v>
      </c>
      <c r="H2105" s="1"/>
      <c r="I2105" t="s">
        <v>0</v>
      </c>
      <c r="J2105" t="s">
        <v>64</v>
      </c>
      <c r="K2105" t="s">
        <v>370</v>
      </c>
      <c r="L2105" t="s">
        <v>70</v>
      </c>
      <c r="M2105" s="3" t="s">
        <v>1811</v>
      </c>
    </row>
    <row r="2106" spans="1:14" hidden="1" x14ac:dyDescent="0.25">
      <c r="A2106" s="1" t="str">
        <f>VLOOKUP(Table2[[#This Row],[Prod Line ]],Lists!A:E,5,0)</f>
        <v>a</v>
      </c>
      <c r="B2106" s="1">
        <v>44504</v>
      </c>
      <c r="C2106" s="1">
        <v>44502</v>
      </c>
      <c r="D2106" s="1" t="s">
        <v>56</v>
      </c>
      <c r="E2106" s="2" t="s">
        <v>405</v>
      </c>
      <c r="F2106" s="1"/>
      <c r="G2106" s="2">
        <v>15</v>
      </c>
      <c r="H2106" s="1"/>
      <c r="I2106" t="s">
        <v>0</v>
      </c>
      <c r="J2106" t="s">
        <v>65</v>
      </c>
      <c r="K2106" t="s">
        <v>27</v>
      </c>
      <c r="L2106" t="s">
        <v>70</v>
      </c>
      <c r="M2106" s="3" t="s">
        <v>1365</v>
      </c>
    </row>
    <row r="2107" spans="1:14" hidden="1" x14ac:dyDescent="0.25">
      <c r="A2107" s="1" t="str">
        <f>VLOOKUP(Table2[[#This Row],[Prod Line ]],Lists!A:E,5,0)</f>
        <v>b</v>
      </c>
      <c r="B2107" s="1">
        <v>44505</v>
      </c>
      <c r="C2107" s="1">
        <v>44503</v>
      </c>
      <c r="D2107" s="1" t="s">
        <v>58</v>
      </c>
      <c r="E2107" s="2" t="s">
        <v>404</v>
      </c>
      <c r="F2107" s="1"/>
      <c r="G2107" s="2">
        <v>20</v>
      </c>
      <c r="H2107" s="1"/>
      <c r="I2107" t="s">
        <v>0</v>
      </c>
      <c r="J2107" t="s">
        <v>26</v>
      </c>
      <c r="K2107" t="s">
        <v>26</v>
      </c>
      <c r="L2107" t="s">
        <v>70</v>
      </c>
      <c r="M2107" s="3" t="s">
        <v>1817</v>
      </c>
    </row>
    <row r="2108" spans="1:14" hidden="1" x14ac:dyDescent="0.25">
      <c r="A2108" s="1" t="str">
        <f>VLOOKUP(Table2[[#This Row],[Prod Line ]],Lists!A:E,5,0)</f>
        <v>b</v>
      </c>
      <c r="B2108" s="1">
        <v>44505</v>
      </c>
      <c r="C2108" s="1">
        <v>44503</v>
      </c>
      <c r="D2108" s="1" t="s">
        <v>58</v>
      </c>
      <c r="E2108" s="2" t="s">
        <v>405</v>
      </c>
      <c r="F2108" s="1"/>
      <c r="G2108" s="2">
        <v>23</v>
      </c>
      <c r="H2108" s="1"/>
      <c r="I2108" t="s">
        <v>0</v>
      </c>
      <c r="J2108" t="s">
        <v>64</v>
      </c>
      <c r="K2108" t="s">
        <v>21</v>
      </c>
      <c r="L2108" t="s">
        <v>70</v>
      </c>
      <c r="M2108" s="3" t="s">
        <v>1818</v>
      </c>
    </row>
    <row r="2109" spans="1:14" hidden="1" x14ac:dyDescent="0.25">
      <c r="A2109" s="1" t="str">
        <f>VLOOKUP(Table2[[#This Row],[Prod Line ]],Lists!A:E,5,0)</f>
        <v>a</v>
      </c>
      <c r="B2109" s="1">
        <v>44505</v>
      </c>
      <c r="C2109" s="1">
        <v>44503</v>
      </c>
      <c r="D2109" s="1" t="s">
        <v>56</v>
      </c>
      <c r="E2109" s="2" t="s">
        <v>404</v>
      </c>
      <c r="F2109" s="1"/>
      <c r="G2109" s="2">
        <v>58</v>
      </c>
      <c r="H2109" s="1"/>
      <c r="I2109" t="s">
        <v>1</v>
      </c>
      <c r="J2109" t="s">
        <v>64</v>
      </c>
      <c r="K2109" t="s">
        <v>367</v>
      </c>
      <c r="L2109" t="s">
        <v>407</v>
      </c>
      <c r="M2109" s="3" t="s">
        <v>1096</v>
      </c>
    </row>
    <row r="2110" spans="1:14" hidden="1" x14ac:dyDescent="0.25">
      <c r="A2110" s="1" t="str">
        <f>VLOOKUP(Table2[[#This Row],[Prod Line ]],Lists!A:E,5,0)</f>
        <v>a</v>
      </c>
      <c r="B2110" s="1">
        <v>44505</v>
      </c>
      <c r="C2110" s="1">
        <v>44503</v>
      </c>
      <c r="D2110" s="1" t="s">
        <v>56</v>
      </c>
      <c r="E2110" s="2" t="s">
        <v>404</v>
      </c>
      <c r="F2110" s="1"/>
      <c r="G2110" s="2">
        <v>117</v>
      </c>
      <c r="H2110" s="1"/>
      <c r="I2110" t="s">
        <v>1</v>
      </c>
      <c r="J2110" t="s">
        <v>64</v>
      </c>
      <c r="K2110" t="s">
        <v>367</v>
      </c>
      <c r="L2110" t="s">
        <v>407</v>
      </c>
      <c r="M2110" s="3" t="s">
        <v>1819</v>
      </c>
    </row>
    <row r="2111" spans="1:14" hidden="1" x14ac:dyDescent="0.25">
      <c r="A2111" s="1" t="str">
        <f>VLOOKUP(Table2[[#This Row],[Prod Line ]],Lists!A:E,5,0)</f>
        <v>a</v>
      </c>
      <c r="B2111" s="1">
        <v>44505</v>
      </c>
      <c r="C2111" s="1">
        <v>44503</v>
      </c>
      <c r="D2111" s="1" t="s">
        <v>56</v>
      </c>
      <c r="E2111" s="2" t="s">
        <v>405</v>
      </c>
      <c r="F2111" s="1"/>
      <c r="G2111" s="2">
        <v>35</v>
      </c>
      <c r="H2111" s="1"/>
      <c r="I2111" t="s">
        <v>1</v>
      </c>
      <c r="J2111" t="s">
        <v>64</v>
      </c>
      <c r="K2111" t="s">
        <v>370</v>
      </c>
      <c r="L2111" t="s">
        <v>407</v>
      </c>
      <c r="M2111" s="3" t="s">
        <v>939</v>
      </c>
    </row>
    <row r="2112" spans="1:14" hidden="1" x14ac:dyDescent="0.25">
      <c r="A2112" s="1" t="str">
        <f>VLOOKUP(Table2[[#This Row],[Prod Line ]],Lists!A:E,5,0)</f>
        <v>a</v>
      </c>
      <c r="B2112" s="1">
        <v>44505</v>
      </c>
      <c r="C2112" s="1">
        <v>44503</v>
      </c>
      <c r="D2112" s="1" t="s">
        <v>56</v>
      </c>
      <c r="E2112" s="2" t="s">
        <v>405</v>
      </c>
      <c r="F2112" s="1"/>
      <c r="G2112" s="2">
        <v>38</v>
      </c>
      <c r="H2112" s="1"/>
      <c r="I2112" t="s">
        <v>67</v>
      </c>
      <c r="J2112" t="s">
        <v>64</v>
      </c>
      <c r="K2112" t="s">
        <v>367</v>
      </c>
      <c r="L2112" t="s">
        <v>70</v>
      </c>
      <c r="M2112" s="3" t="s">
        <v>1820</v>
      </c>
    </row>
    <row r="2113" spans="1:13" hidden="1" x14ac:dyDescent="0.25">
      <c r="A2113" s="1" t="str">
        <f>VLOOKUP(Table2[[#This Row],[Prod Line ]],Lists!A:E,5,0)</f>
        <v>d</v>
      </c>
      <c r="B2113" s="1">
        <v>44504</v>
      </c>
      <c r="C2113" s="1">
        <v>44503</v>
      </c>
      <c r="D2113" s="1" t="s">
        <v>62</v>
      </c>
      <c r="E2113" s="2" t="s">
        <v>404</v>
      </c>
      <c r="F2113" s="1"/>
      <c r="G2113" s="2">
        <v>36</v>
      </c>
      <c r="H2113" s="1"/>
      <c r="I2113" t="s">
        <v>1</v>
      </c>
      <c r="J2113" t="s">
        <v>2</v>
      </c>
      <c r="K2113" t="s">
        <v>17</v>
      </c>
      <c r="L2113" t="s">
        <v>407</v>
      </c>
      <c r="M2113" s="3" t="s">
        <v>437</v>
      </c>
    </row>
    <row r="2114" spans="1:13" hidden="1" x14ac:dyDescent="0.25">
      <c r="A2114" s="1" t="str">
        <f>VLOOKUP(Table2[[#This Row],[Prod Line ]],Lists!A:E,5,0)</f>
        <v>d</v>
      </c>
      <c r="B2114" s="1">
        <v>44504</v>
      </c>
      <c r="C2114" s="1">
        <v>44503</v>
      </c>
      <c r="D2114" s="1" t="s">
        <v>62</v>
      </c>
      <c r="E2114" s="2" t="s">
        <v>404</v>
      </c>
      <c r="F2114" s="1"/>
      <c r="G2114" s="2">
        <v>30</v>
      </c>
      <c r="H2114" s="1"/>
      <c r="I2114" t="s">
        <v>1</v>
      </c>
      <c r="J2114" t="s">
        <v>2</v>
      </c>
      <c r="K2114" t="s">
        <v>14</v>
      </c>
      <c r="L2114" t="s">
        <v>407</v>
      </c>
      <c r="M2114" s="3" t="s">
        <v>437</v>
      </c>
    </row>
    <row r="2115" spans="1:13" hidden="1" x14ac:dyDescent="0.25">
      <c r="A2115" s="1" t="str">
        <f>VLOOKUP(Table2[[#This Row],[Prod Line ]],Lists!A:E,5,0)</f>
        <v>d</v>
      </c>
      <c r="B2115" s="1">
        <v>44504</v>
      </c>
      <c r="C2115" s="1">
        <v>44503</v>
      </c>
      <c r="D2115" s="1" t="s">
        <v>62</v>
      </c>
      <c r="E2115" s="2" t="s">
        <v>404</v>
      </c>
      <c r="F2115" s="1"/>
      <c r="G2115" s="2">
        <v>152</v>
      </c>
      <c r="H2115" s="1"/>
      <c r="I2115" t="s">
        <v>1</v>
      </c>
      <c r="J2115" t="s">
        <v>2</v>
      </c>
      <c r="K2115" t="s">
        <v>13</v>
      </c>
      <c r="L2115" t="s">
        <v>407</v>
      </c>
      <c r="M2115" s="3" t="s">
        <v>437</v>
      </c>
    </row>
    <row r="2116" spans="1:13" hidden="1" x14ac:dyDescent="0.25">
      <c r="A2116" s="1" t="str">
        <f>VLOOKUP(Table2[[#This Row],[Prod Line ]],Lists!A:E,5,0)</f>
        <v>d</v>
      </c>
      <c r="B2116" s="1">
        <v>44504</v>
      </c>
      <c r="C2116" s="1">
        <v>44503</v>
      </c>
      <c r="D2116" s="1" t="s">
        <v>62</v>
      </c>
      <c r="E2116" s="2" t="s">
        <v>404</v>
      </c>
      <c r="F2116" s="1"/>
      <c r="G2116" s="2">
        <v>53</v>
      </c>
      <c r="H2116" s="1"/>
      <c r="I2116" t="s">
        <v>1</v>
      </c>
      <c r="J2116" t="s">
        <v>2</v>
      </c>
      <c r="K2116" t="s">
        <v>14</v>
      </c>
      <c r="L2116" t="s">
        <v>407</v>
      </c>
      <c r="M2116" s="3" t="s">
        <v>437</v>
      </c>
    </row>
    <row r="2117" spans="1:13" hidden="1" x14ac:dyDescent="0.25">
      <c r="A2117" s="1" t="str">
        <f>VLOOKUP(Table2[[#This Row],[Prod Line ]],Lists!A:E,5,0)</f>
        <v>a</v>
      </c>
      <c r="B2117" s="1">
        <v>44506</v>
      </c>
      <c r="C2117" s="1">
        <v>44504</v>
      </c>
      <c r="D2117" s="1" t="s">
        <v>56</v>
      </c>
      <c r="E2117" s="2" t="s">
        <v>405</v>
      </c>
      <c r="F2117" s="1"/>
      <c r="G2117" s="2">
        <v>27</v>
      </c>
      <c r="H2117" s="1"/>
      <c r="I2117" t="s">
        <v>1</v>
      </c>
      <c r="J2117" t="s">
        <v>64</v>
      </c>
      <c r="K2117" t="s">
        <v>370</v>
      </c>
      <c r="L2117" t="s">
        <v>72</v>
      </c>
      <c r="M2117" s="3" t="s">
        <v>1821</v>
      </c>
    </row>
    <row r="2118" spans="1:13" hidden="1" x14ac:dyDescent="0.25">
      <c r="A2118" s="1" t="str">
        <f>VLOOKUP(Table2[[#This Row],[Prod Line ]],Lists!A:E,5,0)</f>
        <v>b</v>
      </c>
      <c r="B2118" s="1">
        <v>44506</v>
      </c>
      <c r="C2118" s="1">
        <v>44504</v>
      </c>
      <c r="D2118" s="1" t="s">
        <v>58</v>
      </c>
      <c r="E2118" s="2" t="s">
        <v>404</v>
      </c>
      <c r="F2118" s="1"/>
      <c r="G2118" s="2">
        <v>5</v>
      </c>
      <c r="H2118" s="1"/>
      <c r="I2118" t="s">
        <v>0</v>
      </c>
      <c r="J2118" t="s">
        <v>64</v>
      </c>
      <c r="K2118" t="s">
        <v>21</v>
      </c>
      <c r="L2118" t="s">
        <v>70</v>
      </c>
      <c r="M2118" s="3" t="s">
        <v>1822</v>
      </c>
    </row>
    <row r="2119" spans="1:13" hidden="1" x14ac:dyDescent="0.25">
      <c r="A2119" s="1" t="str">
        <f>VLOOKUP(Table2[[#This Row],[Prod Line ]],Lists!A:E,5,0)</f>
        <v>b</v>
      </c>
      <c r="B2119" s="1">
        <v>44506</v>
      </c>
      <c r="C2119" s="1">
        <v>44504</v>
      </c>
      <c r="D2119" s="1" t="s">
        <v>58</v>
      </c>
      <c r="E2119" s="2" t="s">
        <v>406</v>
      </c>
      <c r="F2119" s="1"/>
      <c r="G2119" s="2">
        <v>22</v>
      </c>
      <c r="H2119" s="1"/>
      <c r="I2119" t="s">
        <v>0</v>
      </c>
      <c r="J2119" t="s">
        <v>5</v>
      </c>
      <c r="K2119" t="s">
        <v>38</v>
      </c>
      <c r="L2119" t="s">
        <v>70</v>
      </c>
      <c r="M2119" s="3" t="s">
        <v>1823</v>
      </c>
    </row>
    <row r="2120" spans="1:13" hidden="1" x14ac:dyDescent="0.25">
      <c r="A2120" s="1" t="str">
        <f>VLOOKUP(Table2[[#This Row],[Prod Line ]],Lists!A:E,5,0)</f>
        <v>b</v>
      </c>
      <c r="B2120" s="1">
        <v>44506</v>
      </c>
      <c r="C2120" s="1">
        <v>44504</v>
      </c>
      <c r="D2120" s="1" t="s">
        <v>58</v>
      </c>
      <c r="E2120" s="2" t="s">
        <v>406</v>
      </c>
      <c r="F2120" s="1"/>
      <c r="G2120" s="2">
        <v>20</v>
      </c>
      <c r="H2120" s="1"/>
      <c r="I2120" t="s">
        <v>1</v>
      </c>
      <c r="J2120" t="s">
        <v>5</v>
      </c>
      <c r="K2120" t="s">
        <v>36</v>
      </c>
      <c r="L2120" t="s">
        <v>72</v>
      </c>
      <c r="M2120" s="3" t="s">
        <v>1824</v>
      </c>
    </row>
    <row r="2121" spans="1:13" hidden="1" x14ac:dyDescent="0.25">
      <c r="A2121" s="1" t="str">
        <f>VLOOKUP(Table2[[#This Row],[Prod Line ]],Lists!A:E,5,0)</f>
        <v>d</v>
      </c>
      <c r="B2121" s="1">
        <v>44506</v>
      </c>
      <c r="C2121" s="1">
        <v>44504</v>
      </c>
      <c r="D2121" s="1" t="s">
        <v>62</v>
      </c>
      <c r="E2121" s="2" t="s">
        <v>405</v>
      </c>
      <c r="F2121" s="1"/>
      <c r="G2121" s="2">
        <v>7</v>
      </c>
      <c r="H2121" s="1"/>
      <c r="I2121" t="s">
        <v>1</v>
      </c>
      <c r="J2121" t="s">
        <v>64</v>
      </c>
      <c r="K2121" t="s">
        <v>379</v>
      </c>
      <c r="L2121" t="s">
        <v>72</v>
      </c>
      <c r="M2121" s="3" t="s">
        <v>1825</v>
      </c>
    </row>
    <row r="2122" spans="1:13" hidden="1" x14ac:dyDescent="0.25">
      <c r="A2122" s="1" t="str">
        <f>VLOOKUP(Table2[[#This Row],[Prod Line ]],Lists!A:E,5,0)</f>
        <v>d</v>
      </c>
      <c r="B2122" s="1">
        <v>44506</v>
      </c>
      <c r="C2122" s="1">
        <v>44504</v>
      </c>
      <c r="D2122" s="1" t="s">
        <v>62</v>
      </c>
      <c r="E2122" s="2" t="s">
        <v>405</v>
      </c>
      <c r="F2122" s="1"/>
      <c r="G2122" s="2">
        <v>4</v>
      </c>
      <c r="H2122" s="1"/>
      <c r="I2122" t="s">
        <v>1</v>
      </c>
      <c r="J2122" t="s">
        <v>2</v>
      </c>
      <c r="K2122" t="s">
        <v>19</v>
      </c>
      <c r="L2122" t="s">
        <v>349</v>
      </c>
      <c r="M2122" s="3" t="s">
        <v>557</v>
      </c>
    </row>
    <row r="2123" spans="1:13" hidden="1" x14ac:dyDescent="0.25">
      <c r="A2123" s="1" t="str">
        <f>VLOOKUP(Table2[[#This Row],[Prod Line ]],Lists!A:E,5,0)</f>
        <v>a</v>
      </c>
      <c r="B2123" s="1">
        <v>44506</v>
      </c>
      <c r="C2123" s="1">
        <v>44504</v>
      </c>
      <c r="D2123" s="1" t="s">
        <v>56</v>
      </c>
      <c r="E2123" s="2" t="s">
        <v>404</v>
      </c>
      <c r="F2123" s="1"/>
      <c r="G2123" s="2">
        <v>8</v>
      </c>
      <c r="H2123" s="1"/>
      <c r="I2123" t="s">
        <v>0</v>
      </c>
      <c r="J2123" t="s">
        <v>64</v>
      </c>
      <c r="K2123" t="s">
        <v>365</v>
      </c>
      <c r="L2123" t="s">
        <v>70</v>
      </c>
      <c r="M2123" s="3" t="s">
        <v>1826</v>
      </c>
    </row>
    <row r="2124" spans="1:13" hidden="1" x14ac:dyDescent="0.25">
      <c r="A2124" s="1" t="str">
        <f>VLOOKUP(Table2[[#This Row],[Prod Line ]],Lists!A:E,5,0)</f>
        <v>a</v>
      </c>
      <c r="B2124" s="1">
        <v>44508</v>
      </c>
      <c r="C2124" s="1">
        <v>44506</v>
      </c>
      <c r="D2124" s="1" t="s">
        <v>56</v>
      </c>
      <c r="E2124" s="2" t="s">
        <v>404</v>
      </c>
      <c r="F2124" s="1"/>
      <c r="G2124" s="2">
        <v>5</v>
      </c>
      <c r="H2124" s="1"/>
      <c r="I2124" t="s">
        <v>1</v>
      </c>
      <c r="J2124" t="s">
        <v>65</v>
      </c>
      <c r="K2124" t="s">
        <v>27</v>
      </c>
      <c r="L2124" t="s">
        <v>350</v>
      </c>
      <c r="M2124" s="3" t="s">
        <v>884</v>
      </c>
    </row>
    <row r="2125" spans="1:13" hidden="1" x14ac:dyDescent="0.25">
      <c r="A2125" s="1" t="str">
        <f>VLOOKUP(Table2[[#This Row],[Prod Line ]],Lists!A:E,5,0)</f>
        <v>a</v>
      </c>
      <c r="B2125" s="1">
        <v>44508</v>
      </c>
      <c r="C2125" s="1">
        <v>44506</v>
      </c>
      <c r="D2125" s="1" t="s">
        <v>56</v>
      </c>
      <c r="E2125" s="2" t="s">
        <v>404</v>
      </c>
      <c r="F2125" s="1"/>
      <c r="G2125" s="2">
        <v>3</v>
      </c>
      <c r="H2125" s="1"/>
      <c r="I2125" t="s">
        <v>1</v>
      </c>
      <c r="J2125" t="s">
        <v>64</v>
      </c>
      <c r="K2125" t="s">
        <v>367</v>
      </c>
      <c r="L2125" t="s">
        <v>407</v>
      </c>
      <c r="M2125" s="3" t="s">
        <v>750</v>
      </c>
    </row>
    <row r="2126" spans="1:13" hidden="1" x14ac:dyDescent="0.25">
      <c r="A2126" s="1" t="str">
        <f>VLOOKUP(Table2[[#This Row],[Prod Line ]],Lists!A:E,5,0)</f>
        <v>a</v>
      </c>
      <c r="B2126" s="1">
        <v>44508</v>
      </c>
      <c r="C2126" s="1">
        <v>44506</v>
      </c>
      <c r="D2126" s="1" t="s">
        <v>56</v>
      </c>
      <c r="E2126" s="2" t="s">
        <v>405</v>
      </c>
      <c r="F2126" s="1"/>
      <c r="G2126" s="2">
        <v>5</v>
      </c>
      <c r="H2126" s="1"/>
      <c r="I2126" t="s">
        <v>0</v>
      </c>
      <c r="J2126" t="s">
        <v>64</v>
      </c>
      <c r="K2126" t="s">
        <v>370</v>
      </c>
      <c r="L2126" t="s">
        <v>70</v>
      </c>
      <c r="M2126" s="3" t="s">
        <v>1827</v>
      </c>
    </row>
    <row r="2127" spans="1:13" hidden="1" x14ac:dyDescent="0.25">
      <c r="A2127" s="1" t="str">
        <f>VLOOKUP(Table2[[#This Row],[Prod Line ]],Lists!A:E,5,0)</f>
        <v>b</v>
      </c>
      <c r="B2127" s="1">
        <v>44508</v>
      </c>
      <c r="C2127" s="1">
        <v>44506</v>
      </c>
      <c r="D2127" s="1" t="s">
        <v>58</v>
      </c>
      <c r="E2127" s="2" t="s">
        <v>404</v>
      </c>
      <c r="F2127" s="1"/>
      <c r="G2127" s="2">
        <v>9</v>
      </c>
      <c r="H2127" s="1"/>
      <c r="I2127" t="s">
        <v>0</v>
      </c>
      <c r="J2127" t="s">
        <v>26</v>
      </c>
      <c r="K2127" t="s">
        <v>26</v>
      </c>
      <c r="L2127" t="s">
        <v>70</v>
      </c>
      <c r="M2127" s="3" t="s">
        <v>1828</v>
      </c>
    </row>
    <row r="2128" spans="1:13" hidden="1" x14ac:dyDescent="0.25">
      <c r="A2128" s="1" t="str">
        <f>VLOOKUP(Table2[[#This Row],[Prod Line ]],Lists!A:E,5,0)</f>
        <v>b</v>
      </c>
      <c r="B2128" s="1">
        <v>44508</v>
      </c>
      <c r="C2128" s="1">
        <v>44506</v>
      </c>
      <c r="D2128" s="1" t="s">
        <v>58</v>
      </c>
      <c r="E2128" s="2" t="s">
        <v>404</v>
      </c>
      <c r="F2128" s="1"/>
      <c r="G2128" s="2">
        <v>30</v>
      </c>
      <c r="H2128" s="1"/>
      <c r="I2128" t="s">
        <v>1</v>
      </c>
      <c r="J2128" t="s">
        <v>65</v>
      </c>
      <c r="K2128" t="s">
        <v>27</v>
      </c>
      <c r="L2128" t="s">
        <v>441</v>
      </c>
      <c r="M2128" s="3" t="s">
        <v>1829</v>
      </c>
    </row>
    <row r="2129" spans="1:13" hidden="1" x14ac:dyDescent="0.25">
      <c r="A2129" s="1" t="str">
        <f>VLOOKUP(Table2[[#This Row],[Prod Line ]],Lists!A:E,5,0)</f>
        <v>b</v>
      </c>
      <c r="B2129" s="1">
        <v>44508</v>
      </c>
      <c r="C2129" s="1">
        <v>44506</v>
      </c>
      <c r="D2129" s="1" t="s">
        <v>58</v>
      </c>
      <c r="E2129" s="2" t="s">
        <v>406</v>
      </c>
      <c r="F2129" s="1"/>
      <c r="G2129" s="2">
        <v>14</v>
      </c>
      <c r="H2129" s="1"/>
      <c r="I2129" t="s">
        <v>0</v>
      </c>
      <c r="J2129" t="s">
        <v>26</v>
      </c>
      <c r="K2129" t="s">
        <v>25</v>
      </c>
      <c r="L2129" t="s">
        <v>70</v>
      </c>
      <c r="M2129" s="3" t="s">
        <v>1330</v>
      </c>
    </row>
    <row r="2130" spans="1:13" hidden="1" x14ac:dyDescent="0.25">
      <c r="A2130" s="1" t="str">
        <f>VLOOKUP(Table2[[#This Row],[Prod Line ]],Lists!A:E,5,0)</f>
        <v>b</v>
      </c>
      <c r="B2130" s="1">
        <v>44508</v>
      </c>
      <c r="C2130" s="1">
        <v>44506</v>
      </c>
      <c r="D2130" s="1" t="s">
        <v>58</v>
      </c>
      <c r="E2130" s="2" t="s">
        <v>405</v>
      </c>
      <c r="F2130" s="1"/>
      <c r="G2130" s="2">
        <v>5</v>
      </c>
      <c r="H2130" s="1"/>
      <c r="I2130" t="s">
        <v>1</v>
      </c>
      <c r="J2130" t="s">
        <v>65</v>
      </c>
      <c r="K2130" t="s">
        <v>27</v>
      </c>
      <c r="L2130" t="s">
        <v>441</v>
      </c>
      <c r="M2130" s="3" t="s">
        <v>1011</v>
      </c>
    </row>
    <row r="2131" spans="1:13" hidden="1" x14ac:dyDescent="0.25">
      <c r="A2131" s="1" t="str">
        <f>VLOOKUP(Table2[[#This Row],[Prod Line ]],Lists!A:E,5,0)</f>
        <v>b</v>
      </c>
      <c r="B2131" s="1">
        <v>44508</v>
      </c>
      <c r="C2131" s="1">
        <v>44506</v>
      </c>
      <c r="D2131" s="1" t="s">
        <v>58</v>
      </c>
      <c r="E2131" s="2" t="s">
        <v>405</v>
      </c>
      <c r="F2131" s="1"/>
      <c r="G2131" s="2">
        <v>4</v>
      </c>
      <c r="H2131" s="1"/>
      <c r="I2131" t="s">
        <v>1</v>
      </c>
      <c r="J2131" t="s">
        <v>2</v>
      </c>
      <c r="K2131" t="s">
        <v>19</v>
      </c>
      <c r="L2131" t="s">
        <v>349</v>
      </c>
      <c r="M2131" s="3" t="s">
        <v>575</v>
      </c>
    </row>
    <row r="2132" spans="1:13" hidden="1" x14ac:dyDescent="0.25">
      <c r="A2132" s="1" t="str">
        <f>VLOOKUP(Table2[[#This Row],[Prod Line ]],Lists!A:E,5,0)</f>
        <v>b</v>
      </c>
      <c r="B2132" s="1">
        <v>44508</v>
      </c>
      <c r="C2132" s="1">
        <v>44506</v>
      </c>
      <c r="D2132" s="1" t="s">
        <v>58</v>
      </c>
      <c r="E2132" s="2" t="s">
        <v>406</v>
      </c>
      <c r="F2132" s="1"/>
      <c r="G2132" s="2">
        <v>6</v>
      </c>
      <c r="H2132" s="1"/>
      <c r="I2132" t="s">
        <v>1</v>
      </c>
      <c r="J2132" t="s">
        <v>2</v>
      </c>
      <c r="K2132" t="s">
        <v>19</v>
      </c>
      <c r="L2132" t="s">
        <v>349</v>
      </c>
      <c r="M2132" s="3" t="s">
        <v>575</v>
      </c>
    </row>
    <row r="2133" spans="1:13" hidden="1" x14ac:dyDescent="0.25">
      <c r="A2133" s="1" t="str">
        <f>VLOOKUP(Table2[[#This Row],[Prod Line ]],Lists!A:E,5,0)</f>
        <v>b</v>
      </c>
      <c r="B2133" s="1">
        <v>44508</v>
      </c>
      <c r="C2133" s="1">
        <v>44506</v>
      </c>
      <c r="D2133" s="1" t="s">
        <v>58</v>
      </c>
      <c r="E2133" s="2" t="s">
        <v>406</v>
      </c>
      <c r="F2133" s="1"/>
      <c r="G2133" s="2">
        <v>7</v>
      </c>
      <c r="H2133" s="1"/>
      <c r="I2133" t="s">
        <v>0</v>
      </c>
      <c r="J2133" t="s">
        <v>65</v>
      </c>
      <c r="K2133" t="s">
        <v>27</v>
      </c>
      <c r="L2133" t="s">
        <v>70</v>
      </c>
      <c r="M2133" s="3" t="s">
        <v>1247</v>
      </c>
    </row>
    <row r="2134" spans="1:13" hidden="1" x14ac:dyDescent="0.25">
      <c r="A2134" s="1" t="str">
        <f>VLOOKUP(Table2[[#This Row],[Prod Line ]],Lists!A:E,5,0)</f>
        <v>d</v>
      </c>
      <c r="B2134" s="1">
        <v>44508</v>
      </c>
      <c r="C2134" s="1">
        <v>44506</v>
      </c>
      <c r="D2134" s="1" t="s">
        <v>62</v>
      </c>
      <c r="E2134" s="2" t="s">
        <v>404</v>
      </c>
      <c r="F2134" s="1"/>
      <c r="G2134" s="2">
        <v>6</v>
      </c>
      <c r="H2134" s="1"/>
      <c r="I2134" t="s">
        <v>1</v>
      </c>
      <c r="J2134" t="s">
        <v>2</v>
      </c>
      <c r="K2134" t="s">
        <v>19</v>
      </c>
      <c r="L2134" t="s">
        <v>349</v>
      </c>
      <c r="M2134" s="3" t="s">
        <v>575</v>
      </c>
    </row>
    <row r="2135" spans="1:13" hidden="1" x14ac:dyDescent="0.25">
      <c r="A2135" s="1" t="str">
        <f>VLOOKUP(Table2[[#This Row],[Prod Line ]],Lists!A:E,5,0)</f>
        <v>d</v>
      </c>
      <c r="B2135" s="1">
        <v>44508</v>
      </c>
      <c r="C2135" s="1">
        <v>44506</v>
      </c>
      <c r="D2135" s="1" t="s">
        <v>62</v>
      </c>
      <c r="E2135" s="2" t="s">
        <v>405</v>
      </c>
      <c r="F2135" s="1"/>
      <c r="G2135" s="2">
        <v>7</v>
      </c>
      <c r="H2135" s="1"/>
      <c r="I2135" t="s">
        <v>1</v>
      </c>
      <c r="J2135" t="s">
        <v>2</v>
      </c>
      <c r="K2135" t="s">
        <v>19</v>
      </c>
      <c r="L2135" t="s">
        <v>349</v>
      </c>
      <c r="M2135" s="3" t="s">
        <v>575</v>
      </c>
    </row>
    <row r="2136" spans="1:13" hidden="1" x14ac:dyDescent="0.25">
      <c r="A2136" s="1" t="str">
        <f>VLOOKUP(Table2[[#This Row],[Prod Line ]],Lists!A:E,5,0)</f>
        <v>d</v>
      </c>
      <c r="B2136" s="1">
        <v>44508</v>
      </c>
      <c r="C2136" s="1">
        <v>44506</v>
      </c>
      <c r="D2136" s="1" t="s">
        <v>62</v>
      </c>
      <c r="E2136" s="2" t="s">
        <v>405</v>
      </c>
      <c r="F2136" s="1"/>
      <c r="G2136" s="2">
        <v>10</v>
      </c>
      <c r="H2136" s="1"/>
      <c r="I2136" t="s">
        <v>0</v>
      </c>
      <c r="J2136" t="s">
        <v>5</v>
      </c>
      <c r="K2136" t="s">
        <v>397</v>
      </c>
      <c r="L2136" t="s">
        <v>70</v>
      </c>
      <c r="M2136" s="3" t="s">
        <v>1053</v>
      </c>
    </row>
    <row r="2137" spans="1:13" hidden="1" x14ac:dyDescent="0.25">
      <c r="A2137" s="1" t="str">
        <f>VLOOKUP(Table2[[#This Row],[Prod Line ]],Lists!A:E,5,0)</f>
        <v>b</v>
      </c>
      <c r="B2137" s="1">
        <v>44509</v>
      </c>
      <c r="C2137" s="1">
        <v>44507</v>
      </c>
      <c r="D2137" s="1" t="s">
        <v>58</v>
      </c>
      <c r="E2137" s="2" t="s">
        <v>406</v>
      </c>
      <c r="F2137" s="1"/>
      <c r="G2137" s="2">
        <v>15</v>
      </c>
      <c r="H2137" s="1"/>
      <c r="I2137" t="s">
        <v>1</v>
      </c>
      <c r="J2137" t="s">
        <v>65</v>
      </c>
      <c r="K2137" t="s">
        <v>3</v>
      </c>
      <c r="L2137" t="s">
        <v>407</v>
      </c>
      <c r="M2137" s="3" t="s">
        <v>1830</v>
      </c>
    </row>
    <row r="2138" spans="1:13" hidden="1" x14ac:dyDescent="0.25">
      <c r="A2138" s="1" t="str">
        <f>VLOOKUP(Table2[[#This Row],[Prod Line ]],Lists!A:E,5,0)</f>
        <v>c</v>
      </c>
      <c r="B2138" s="1">
        <v>44509</v>
      </c>
      <c r="C2138" s="1">
        <v>44507</v>
      </c>
      <c r="D2138" s="1" t="s">
        <v>60</v>
      </c>
      <c r="E2138" s="2" t="s">
        <v>404</v>
      </c>
      <c r="F2138" s="1"/>
      <c r="G2138" s="2">
        <v>36</v>
      </c>
      <c r="H2138" s="1"/>
      <c r="I2138" t="s">
        <v>1</v>
      </c>
      <c r="J2138" t="s">
        <v>2</v>
      </c>
      <c r="K2138" t="s">
        <v>19</v>
      </c>
      <c r="L2138" t="s">
        <v>349</v>
      </c>
      <c r="M2138" s="3" t="s">
        <v>575</v>
      </c>
    </row>
    <row r="2139" spans="1:13" hidden="1" x14ac:dyDescent="0.25">
      <c r="A2139" s="1" t="str">
        <f>VLOOKUP(Table2[[#This Row],[Prod Line ]],Lists!A:E,5,0)</f>
        <v>d</v>
      </c>
      <c r="B2139" s="1">
        <v>44509</v>
      </c>
      <c r="C2139" s="1">
        <v>44507</v>
      </c>
      <c r="D2139" s="1" t="s">
        <v>62</v>
      </c>
      <c r="E2139" s="2" t="s">
        <v>405</v>
      </c>
      <c r="F2139" s="1"/>
      <c r="G2139" s="2">
        <v>5</v>
      </c>
      <c r="H2139" s="1"/>
      <c r="I2139" t="s">
        <v>1</v>
      </c>
      <c r="J2139" t="s">
        <v>64</v>
      </c>
      <c r="K2139" t="s">
        <v>379</v>
      </c>
      <c r="L2139" t="s">
        <v>407</v>
      </c>
      <c r="M2139" s="3" t="s">
        <v>1831</v>
      </c>
    </row>
    <row r="2140" spans="1:13" hidden="1" x14ac:dyDescent="0.25">
      <c r="A2140" s="1" t="str">
        <f>VLOOKUP(Table2[[#This Row],[Prod Line ]],Lists!A:E,5,0)</f>
        <v>b</v>
      </c>
      <c r="B2140" s="1">
        <v>44509</v>
      </c>
      <c r="C2140" s="1">
        <v>44507</v>
      </c>
      <c r="D2140" s="1" t="s">
        <v>58</v>
      </c>
      <c r="E2140" s="2" t="s">
        <v>406</v>
      </c>
      <c r="F2140" s="1"/>
      <c r="G2140" s="2">
        <v>30</v>
      </c>
      <c r="H2140" s="1"/>
      <c r="I2140" t="s">
        <v>1</v>
      </c>
      <c r="J2140" t="s">
        <v>64</v>
      </c>
      <c r="K2140" t="s">
        <v>23</v>
      </c>
      <c r="L2140" t="s">
        <v>407</v>
      </c>
      <c r="M2140" s="3" t="s">
        <v>1832</v>
      </c>
    </row>
    <row r="2141" spans="1:13" hidden="1" x14ac:dyDescent="0.25">
      <c r="A2141" s="1" t="str">
        <f>VLOOKUP(Table2[[#This Row],[Prod Line ]],Lists!A:E,5,0)</f>
        <v>a</v>
      </c>
      <c r="B2141" s="1">
        <v>44509</v>
      </c>
      <c r="C2141" s="1">
        <v>44507</v>
      </c>
      <c r="D2141" s="1" t="s">
        <v>56</v>
      </c>
      <c r="E2141" s="2" t="s">
        <v>404</v>
      </c>
      <c r="F2141" s="1"/>
      <c r="G2141" s="2">
        <v>15</v>
      </c>
      <c r="H2141" s="1"/>
      <c r="I2141" t="s">
        <v>1</v>
      </c>
      <c r="J2141" t="s">
        <v>64</v>
      </c>
      <c r="K2141" t="s">
        <v>366</v>
      </c>
      <c r="L2141" t="s">
        <v>407</v>
      </c>
      <c r="M2141" s="3" t="s">
        <v>875</v>
      </c>
    </row>
    <row r="2142" spans="1:13" hidden="1" x14ac:dyDescent="0.25">
      <c r="A2142" s="1" t="str">
        <f>VLOOKUP(Table2[[#This Row],[Prod Line ]],Lists!A:E,5,0)</f>
        <v>a</v>
      </c>
      <c r="B2142" s="1">
        <v>44509</v>
      </c>
      <c r="C2142" s="1">
        <v>44507</v>
      </c>
      <c r="D2142" s="1" t="s">
        <v>56</v>
      </c>
      <c r="E2142" s="2" t="s">
        <v>404</v>
      </c>
      <c r="F2142" s="1"/>
      <c r="G2142" s="2">
        <v>10</v>
      </c>
      <c r="H2142" s="1"/>
      <c r="I2142" t="s">
        <v>1</v>
      </c>
      <c r="J2142" t="s">
        <v>2</v>
      </c>
      <c r="K2142" t="s">
        <v>19</v>
      </c>
      <c r="L2142" t="s">
        <v>407</v>
      </c>
      <c r="M2142" s="3" t="s">
        <v>834</v>
      </c>
    </row>
    <row r="2143" spans="1:13" hidden="1" x14ac:dyDescent="0.25">
      <c r="A2143" s="1" t="str">
        <f>VLOOKUP(Table2[[#This Row],[Prod Line ]],Lists!A:E,5,0)</f>
        <v>a</v>
      </c>
      <c r="B2143" s="1">
        <v>44509</v>
      </c>
      <c r="C2143" s="1">
        <v>44507</v>
      </c>
      <c r="D2143" s="1" t="s">
        <v>56</v>
      </c>
      <c r="E2143" s="2" t="s">
        <v>404</v>
      </c>
      <c r="F2143" s="1"/>
      <c r="G2143" s="2">
        <v>15</v>
      </c>
      <c r="H2143" s="1"/>
      <c r="I2143" t="s">
        <v>1</v>
      </c>
      <c r="J2143" t="s">
        <v>64</v>
      </c>
      <c r="K2143" t="s">
        <v>369</v>
      </c>
      <c r="L2143" t="s">
        <v>407</v>
      </c>
      <c r="M2143" s="3" t="s">
        <v>1320</v>
      </c>
    </row>
    <row r="2144" spans="1:13" hidden="1" x14ac:dyDescent="0.25">
      <c r="A2144" s="1" t="str">
        <f>VLOOKUP(Table2[[#This Row],[Prod Line ]],Lists!A:E,5,0)</f>
        <v>b</v>
      </c>
      <c r="B2144" s="1">
        <v>44511</v>
      </c>
      <c r="C2144" s="1">
        <v>44509</v>
      </c>
      <c r="D2144" s="1" t="s">
        <v>58</v>
      </c>
      <c r="E2144" s="2" t="s">
        <v>405</v>
      </c>
      <c r="F2144" s="1"/>
      <c r="G2144" s="2">
        <v>8</v>
      </c>
      <c r="H2144" s="1"/>
      <c r="I2144" t="s">
        <v>0</v>
      </c>
      <c r="J2144" t="s">
        <v>64</v>
      </c>
      <c r="K2144" t="s">
        <v>20</v>
      </c>
      <c r="L2144" t="s">
        <v>70</v>
      </c>
      <c r="M2144" s="3" t="s">
        <v>1369</v>
      </c>
    </row>
    <row r="2145" spans="1:13" hidden="1" x14ac:dyDescent="0.25">
      <c r="A2145" s="1" t="str">
        <f>VLOOKUP(Table2[[#This Row],[Prod Line ]],Lists!A:E,5,0)</f>
        <v>b</v>
      </c>
      <c r="B2145" s="1">
        <v>44511</v>
      </c>
      <c r="C2145" s="1">
        <v>44509</v>
      </c>
      <c r="D2145" s="1" t="s">
        <v>58</v>
      </c>
      <c r="E2145" s="2" t="s">
        <v>406</v>
      </c>
      <c r="F2145" s="1"/>
      <c r="G2145" s="2">
        <v>2</v>
      </c>
      <c r="H2145" s="1"/>
      <c r="I2145" t="s">
        <v>0</v>
      </c>
      <c r="J2145" t="s">
        <v>64</v>
      </c>
      <c r="K2145" t="s">
        <v>20</v>
      </c>
      <c r="L2145" t="s">
        <v>70</v>
      </c>
      <c r="M2145" s="3" t="s">
        <v>1833</v>
      </c>
    </row>
    <row r="2146" spans="1:13" hidden="1" x14ac:dyDescent="0.25">
      <c r="A2146" s="1" t="str">
        <f>VLOOKUP(Table2[[#This Row],[Prod Line ]],Lists!A:E,5,0)</f>
        <v>b</v>
      </c>
      <c r="B2146" s="1">
        <v>44511</v>
      </c>
      <c r="C2146" s="1">
        <v>44509</v>
      </c>
      <c r="D2146" s="1" t="s">
        <v>58</v>
      </c>
      <c r="E2146" s="2" t="s">
        <v>406</v>
      </c>
      <c r="F2146" s="1"/>
      <c r="G2146" s="2">
        <v>3</v>
      </c>
      <c r="H2146" s="1"/>
      <c r="I2146" t="s">
        <v>0</v>
      </c>
      <c r="J2146" t="s">
        <v>26</v>
      </c>
      <c r="K2146" t="s">
        <v>25</v>
      </c>
      <c r="L2146" t="s">
        <v>70</v>
      </c>
      <c r="M2146" s="3" t="s">
        <v>1834</v>
      </c>
    </row>
    <row r="2147" spans="1:13" hidden="1" x14ac:dyDescent="0.25">
      <c r="A2147" s="1" t="str">
        <f>VLOOKUP(Table2[[#This Row],[Prod Line ]],Lists!A:E,5,0)</f>
        <v>b</v>
      </c>
      <c r="B2147" s="1">
        <v>44511</v>
      </c>
      <c r="C2147" s="1">
        <v>44509</v>
      </c>
      <c r="D2147" s="1" t="s">
        <v>58</v>
      </c>
      <c r="E2147" s="2" t="s">
        <v>406</v>
      </c>
      <c r="F2147" s="1"/>
      <c r="G2147" s="2">
        <v>18</v>
      </c>
      <c r="H2147" s="1"/>
      <c r="I2147" t="s">
        <v>1</v>
      </c>
      <c r="J2147" t="s">
        <v>26</v>
      </c>
      <c r="K2147" t="s">
        <v>25</v>
      </c>
      <c r="L2147" t="s">
        <v>407</v>
      </c>
      <c r="M2147" s="3" t="s">
        <v>1547</v>
      </c>
    </row>
    <row r="2148" spans="1:13" hidden="1" x14ac:dyDescent="0.25">
      <c r="A2148" s="1" t="str">
        <f>VLOOKUP(Table2[[#This Row],[Prod Line ]],Lists!A:E,5,0)</f>
        <v>d</v>
      </c>
      <c r="B2148" s="1">
        <v>44511</v>
      </c>
      <c r="C2148" s="1">
        <v>44509</v>
      </c>
      <c r="D2148" s="1" t="s">
        <v>62</v>
      </c>
      <c r="E2148" s="2" t="s">
        <v>404</v>
      </c>
      <c r="F2148" s="1"/>
      <c r="G2148" s="2">
        <v>30</v>
      </c>
      <c r="H2148" s="1"/>
      <c r="I2148" t="s">
        <v>0</v>
      </c>
      <c r="J2148" t="s">
        <v>5</v>
      </c>
      <c r="K2148" t="s">
        <v>396</v>
      </c>
      <c r="L2148" t="s">
        <v>70</v>
      </c>
      <c r="M2148" s="3" t="s">
        <v>1835</v>
      </c>
    </row>
    <row r="2149" spans="1:13" hidden="1" x14ac:dyDescent="0.25">
      <c r="A2149" s="1" t="str">
        <f>VLOOKUP(Table2[[#This Row],[Prod Line ]],Lists!A:E,5,0)</f>
        <v>d</v>
      </c>
      <c r="B2149" s="1">
        <v>44512</v>
      </c>
      <c r="C2149" s="1">
        <v>44510</v>
      </c>
      <c r="D2149" s="1" t="s">
        <v>62</v>
      </c>
      <c r="E2149" s="2" t="s">
        <v>404</v>
      </c>
      <c r="F2149" s="1"/>
      <c r="G2149" s="2">
        <v>8</v>
      </c>
      <c r="H2149" s="1"/>
      <c r="I2149" t="s">
        <v>1</v>
      </c>
      <c r="J2149" t="s">
        <v>2</v>
      </c>
      <c r="K2149" t="s">
        <v>19</v>
      </c>
      <c r="L2149" t="s">
        <v>407</v>
      </c>
      <c r="M2149" s="3" t="s">
        <v>1470</v>
      </c>
    </row>
    <row r="2150" spans="1:13" hidden="1" x14ac:dyDescent="0.25">
      <c r="A2150" s="1" t="str">
        <f>VLOOKUP(Table2[[#This Row],[Prod Line ]],Lists!A:E,5,0)</f>
        <v>b</v>
      </c>
      <c r="B2150" s="1">
        <v>44512</v>
      </c>
      <c r="C2150" s="1">
        <v>44510</v>
      </c>
      <c r="D2150" s="1" t="s">
        <v>58</v>
      </c>
      <c r="E2150" s="2" t="s">
        <v>404</v>
      </c>
      <c r="F2150" s="1"/>
      <c r="G2150" s="2">
        <v>7</v>
      </c>
      <c r="H2150" s="1"/>
      <c r="I2150" t="s">
        <v>1</v>
      </c>
      <c r="J2150" t="s">
        <v>65</v>
      </c>
      <c r="K2150" t="s">
        <v>3</v>
      </c>
      <c r="L2150" t="s">
        <v>407</v>
      </c>
      <c r="M2150" s="3" t="s">
        <v>1836</v>
      </c>
    </row>
    <row r="2151" spans="1:13" hidden="1" x14ac:dyDescent="0.25">
      <c r="A2151" s="1" t="str">
        <f>VLOOKUP(Table2[[#This Row],[Prod Line ]],Lists!A:E,5,0)</f>
        <v>b</v>
      </c>
      <c r="B2151" s="1">
        <v>44512</v>
      </c>
      <c r="C2151" s="1">
        <v>44510</v>
      </c>
      <c r="D2151" s="1" t="s">
        <v>58</v>
      </c>
      <c r="E2151" s="2" t="s">
        <v>404</v>
      </c>
      <c r="F2151" s="1"/>
      <c r="G2151" s="2">
        <v>4</v>
      </c>
      <c r="H2151" s="1"/>
      <c r="I2151" t="s">
        <v>1</v>
      </c>
      <c r="J2151" t="s">
        <v>65</v>
      </c>
      <c r="K2151" t="s">
        <v>27</v>
      </c>
      <c r="L2151" t="s">
        <v>441</v>
      </c>
      <c r="M2151" s="3" t="s">
        <v>514</v>
      </c>
    </row>
    <row r="2152" spans="1:13" hidden="1" x14ac:dyDescent="0.25">
      <c r="A2152" s="1" t="str">
        <f>VLOOKUP(Table2[[#This Row],[Prod Line ]],Lists!A:E,5,0)</f>
        <v>b</v>
      </c>
      <c r="B2152" s="1">
        <v>44512</v>
      </c>
      <c r="C2152" s="1">
        <v>44510</v>
      </c>
      <c r="D2152" s="1" t="s">
        <v>58</v>
      </c>
      <c r="E2152" s="2" t="s">
        <v>404</v>
      </c>
      <c r="F2152" s="1"/>
      <c r="G2152" s="2">
        <v>9</v>
      </c>
      <c r="H2152" s="1"/>
      <c r="I2152" t="s">
        <v>1</v>
      </c>
      <c r="J2152" t="s">
        <v>2</v>
      </c>
      <c r="K2152" t="s">
        <v>15</v>
      </c>
      <c r="L2152" t="s">
        <v>349</v>
      </c>
      <c r="M2152" s="3" t="s">
        <v>1470</v>
      </c>
    </row>
    <row r="2153" spans="1:13" hidden="1" x14ac:dyDescent="0.25">
      <c r="A2153" s="1" t="str">
        <f>VLOOKUP(Table2[[#This Row],[Prod Line ]],Lists!A:E,5,0)</f>
        <v>b</v>
      </c>
      <c r="B2153" s="1">
        <v>44512</v>
      </c>
      <c r="C2153" s="1">
        <v>44510</v>
      </c>
      <c r="D2153" s="1" t="s">
        <v>58</v>
      </c>
      <c r="E2153" s="2" t="s">
        <v>405</v>
      </c>
      <c r="F2153" s="1"/>
      <c r="G2153" s="2">
        <v>8</v>
      </c>
      <c r="H2153" s="1"/>
      <c r="I2153" t="s">
        <v>0</v>
      </c>
      <c r="J2153" t="s">
        <v>26</v>
      </c>
      <c r="K2153" t="s">
        <v>25</v>
      </c>
      <c r="L2153" t="s">
        <v>70</v>
      </c>
      <c r="M2153" s="3" t="s">
        <v>1477</v>
      </c>
    </row>
    <row r="2154" spans="1:13" hidden="1" x14ac:dyDescent="0.25">
      <c r="A2154" s="1" t="str">
        <f>VLOOKUP(Table2[[#This Row],[Prod Line ]],Lists!A:E,5,0)</f>
        <v>d</v>
      </c>
      <c r="B2154" s="1">
        <v>44513</v>
      </c>
      <c r="C2154" s="1">
        <v>44511</v>
      </c>
      <c r="D2154" s="1" t="s">
        <v>62</v>
      </c>
      <c r="E2154" s="2" t="s">
        <v>404</v>
      </c>
      <c r="F2154" s="1"/>
      <c r="G2154" s="2">
        <v>10</v>
      </c>
      <c r="H2154" s="1"/>
      <c r="I2154" t="s">
        <v>1</v>
      </c>
      <c r="J2154" t="s">
        <v>2</v>
      </c>
      <c r="K2154" t="s">
        <v>16</v>
      </c>
      <c r="L2154" t="s">
        <v>349</v>
      </c>
      <c r="M2154" s="3" t="s">
        <v>1470</v>
      </c>
    </row>
    <row r="2155" spans="1:13" hidden="1" x14ac:dyDescent="0.25">
      <c r="A2155" s="1" t="str">
        <f>VLOOKUP(Table2[[#This Row],[Prod Line ]],Lists!A:E,5,0)</f>
        <v>d</v>
      </c>
      <c r="B2155" s="1">
        <v>44513</v>
      </c>
      <c r="C2155" s="1">
        <v>44511</v>
      </c>
      <c r="D2155" s="1" t="s">
        <v>62</v>
      </c>
      <c r="E2155" s="2" t="s">
        <v>404</v>
      </c>
      <c r="F2155" s="1"/>
      <c r="G2155" s="2">
        <v>56</v>
      </c>
      <c r="H2155" s="1"/>
      <c r="I2155" t="s">
        <v>1</v>
      </c>
      <c r="J2155" t="s">
        <v>26</v>
      </c>
      <c r="K2155" t="s">
        <v>393</v>
      </c>
      <c r="L2155" t="s">
        <v>407</v>
      </c>
      <c r="M2155" s="3" t="s">
        <v>1005</v>
      </c>
    </row>
    <row r="2156" spans="1:13" hidden="1" x14ac:dyDescent="0.25">
      <c r="A2156" s="1" t="str">
        <f>VLOOKUP(Table2[[#This Row],[Prod Line ]],Lists!A:E,5,0)</f>
        <v>b</v>
      </c>
      <c r="B2156" s="1">
        <v>44513</v>
      </c>
      <c r="C2156" s="1">
        <v>44511</v>
      </c>
      <c r="D2156" s="1" t="s">
        <v>58</v>
      </c>
      <c r="E2156" s="2" t="s">
        <v>404</v>
      </c>
      <c r="F2156" s="1"/>
      <c r="G2156" s="2">
        <v>8</v>
      </c>
      <c r="H2156" s="1"/>
      <c r="I2156" t="s">
        <v>0</v>
      </c>
      <c r="J2156" t="s">
        <v>26</v>
      </c>
      <c r="K2156" t="s">
        <v>25</v>
      </c>
      <c r="L2156" t="s">
        <v>70</v>
      </c>
      <c r="M2156" s="3" t="s">
        <v>1492</v>
      </c>
    </row>
    <row r="2157" spans="1:13" hidden="1" x14ac:dyDescent="0.25">
      <c r="A2157" s="1" t="str">
        <f>VLOOKUP(Table2[[#This Row],[Prod Line ]],Lists!A:E,5,0)</f>
        <v>b</v>
      </c>
      <c r="B2157" s="1">
        <v>44513</v>
      </c>
      <c r="C2157" s="1">
        <v>44511</v>
      </c>
      <c r="D2157" s="1" t="s">
        <v>58</v>
      </c>
      <c r="E2157" s="2" t="s">
        <v>404</v>
      </c>
      <c r="F2157" s="1"/>
      <c r="G2157" s="2">
        <v>14</v>
      </c>
      <c r="H2157" s="1"/>
      <c r="I2157" t="s">
        <v>0</v>
      </c>
      <c r="J2157" t="s">
        <v>66</v>
      </c>
      <c r="K2157" t="s">
        <v>4</v>
      </c>
      <c r="L2157" t="s">
        <v>70</v>
      </c>
      <c r="M2157" s="3" t="s">
        <v>1486</v>
      </c>
    </row>
    <row r="2158" spans="1:13" hidden="1" x14ac:dyDescent="0.25">
      <c r="A2158" s="1" t="str">
        <f>VLOOKUP(Table2[[#This Row],[Prod Line ]],Lists!A:E,5,0)</f>
        <v>b</v>
      </c>
      <c r="B2158" s="1">
        <v>44513</v>
      </c>
      <c r="C2158" s="1">
        <v>44511</v>
      </c>
      <c r="D2158" s="1" t="s">
        <v>58</v>
      </c>
      <c r="E2158" s="2" t="s">
        <v>404</v>
      </c>
      <c r="F2158" s="1"/>
      <c r="G2158" s="2">
        <v>5</v>
      </c>
      <c r="H2158" s="1"/>
      <c r="I2158" t="s">
        <v>1</v>
      </c>
      <c r="J2158" t="s">
        <v>26</v>
      </c>
      <c r="K2158" t="s">
        <v>26</v>
      </c>
      <c r="L2158" t="s">
        <v>441</v>
      </c>
      <c r="M2158" s="3" t="s">
        <v>1837</v>
      </c>
    </row>
    <row r="2159" spans="1:13" hidden="1" x14ac:dyDescent="0.25">
      <c r="A2159" s="1" t="str">
        <f>VLOOKUP(Table2[[#This Row],[Prod Line ]],Lists!A:E,5,0)</f>
        <v>b</v>
      </c>
      <c r="B2159" s="1">
        <v>44513</v>
      </c>
      <c r="C2159" s="1">
        <v>44511</v>
      </c>
      <c r="D2159" s="1" t="s">
        <v>58</v>
      </c>
      <c r="E2159" s="2" t="s">
        <v>404</v>
      </c>
      <c r="F2159" s="1"/>
      <c r="G2159" s="2">
        <v>20</v>
      </c>
      <c r="H2159" s="1"/>
      <c r="I2159" t="s">
        <v>1</v>
      </c>
      <c r="J2159" t="s">
        <v>2</v>
      </c>
      <c r="K2159" t="s">
        <v>16</v>
      </c>
      <c r="L2159" t="s">
        <v>407</v>
      </c>
      <c r="M2159" s="3" t="s">
        <v>437</v>
      </c>
    </row>
    <row r="2160" spans="1:13" hidden="1" x14ac:dyDescent="0.25">
      <c r="A2160" s="1" t="str">
        <f>VLOOKUP(Table2[[#This Row],[Prod Line ]],Lists!A:E,5,0)</f>
        <v>a</v>
      </c>
      <c r="B2160" s="1">
        <v>44515</v>
      </c>
      <c r="C2160" s="1">
        <v>44513</v>
      </c>
      <c r="D2160" s="1" t="s">
        <v>56</v>
      </c>
      <c r="E2160" s="2" t="s">
        <v>404</v>
      </c>
      <c r="F2160" s="1"/>
      <c r="G2160" s="2">
        <v>3</v>
      </c>
      <c r="H2160" s="1"/>
      <c r="I2160" t="s">
        <v>1</v>
      </c>
      <c r="J2160" t="s">
        <v>64</v>
      </c>
      <c r="K2160" t="s">
        <v>363</v>
      </c>
      <c r="L2160" t="s">
        <v>407</v>
      </c>
      <c r="M2160" s="3" t="s">
        <v>1838</v>
      </c>
    </row>
    <row r="2161" spans="1:13" hidden="1" x14ac:dyDescent="0.25">
      <c r="A2161" s="1" t="str">
        <f>VLOOKUP(Table2[[#This Row],[Prod Line ]],Lists!A:E,5,0)</f>
        <v>a</v>
      </c>
      <c r="B2161" s="1">
        <v>44515</v>
      </c>
      <c r="C2161" s="1">
        <v>44513</v>
      </c>
      <c r="D2161" s="1" t="s">
        <v>56</v>
      </c>
      <c r="E2161" s="2" t="s">
        <v>405</v>
      </c>
      <c r="F2161" s="1"/>
      <c r="G2161" s="2">
        <v>29</v>
      </c>
      <c r="H2161" s="1"/>
      <c r="I2161" t="s">
        <v>1</v>
      </c>
      <c r="J2161" t="s">
        <v>64</v>
      </c>
      <c r="K2161" t="s">
        <v>369</v>
      </c>
      <c r="L2161" t="s">
        <v>407</v>
      </c>
      <c r="M2161" s="3" t="s">
        <v>1839</v>
      </c>
    </row>
    <row r="2162" spans="1:13" hidden="1" x14ac:dyDescent="0.25">
      <c r="A2162" s="1" t="str">
        <f>VLOOKUP(Table2[[#This Row],[Prod Line ]],Lists!A:E,5,0)</f>
        <v>a</v>
      </c>
      <c r="B2162" s="1">
        <v>44515</v>
      </c>
      <c r="C2162" s="1">
        <v>44513</v>
      </c>
      <c r="D2162" s="1" t="s">
        <v>56</v>
      </c>
      <c r="E2162" s="2" t="s">
        <v>405</v>
      </c>
      <c r="F2162" s="1"/>
      <c r="G2162" s="2">
        <v>4</v>
      </c>
      <c r="H2162" s="1"/>
      <c r="I2162" t="s">
        <v>1</v>
      </c>
      <c r="J2162" t="s">
        <v>64</v>
      </c>
      <c r="K2162" t="s">
        <v>368</v>
      </c>
      <c r="L2162" t="s">
        <v>407</v>
      </c>
      <c r="M2162" s="3" t="s">
        <v>1840</v>
      </c>
    </row>
    <row r="2163" spans="1:13" hidden="1" x14ac:dyDescent="0.25">
      <c r="A2163" s="1" t="str">
        <f>VLOOKUP(Table2[[#This Row],[Prod Line ]],Lists!A:E,5,0)</f>
        <v>b</v>
      </c>
      <c r="B2163" s="1">
        <v>44515</v>
      </c>
      <c r="C2163" s="1">
        <v>44513</v>
      </c>
      <c r="D2163" s="1" t="s">
        <v>58</v>
      </c>
      <c r="E2163" s="2" t="s">
        <v>406</v>
      </c>
      <c r="F2163" s="1"/>
      <c r="G2163" s="2">
        <v>8</v>
      </c>
      <c r="H2163" s="1"/>
      <c r="I2163" t="s">
        <v>0</v>
      </c>
      <c r="J2163" t="s">
        <v>26</v>
      </c>
      <c r="K2163" t="s">
        <v>25</v>
      </c>
      <c r="L2163" t="s">
        <v>70</v>
      </c>
      <c r="M2163" s="3" t="s">
        <v>1844</v>
      </c>
    </row>
    <row r="2164" spans="1:13" hidden="1" x14ac:dyDescent="0.25">
      <c r="A2164" s="1" t="str">
        <f>VLOOKUP(Table2[[#This Row],[Prod Line ]],Lists!A:E,5,0)</f>
        <v>b</v>
      </c>
      <c r="B2164" s="1">
        <v>44515</v>
      </c>
      <c r="C2164" s="1">
        <v>44513</v>
      </c>
      <c r="D2164" s="1" t="s">
        <v>58</v>
      </c>
      <c r="E2164" s="2" t="s">
        <v>406</v>
      </c>
      <c r="F2164" s="1"/>
      <c r="G2164" s="2">
        <v>8</v>
      </c>
      <c r="H2164" s="1"/>
      <c r="I2164" t="s">
        <v>0</v>
      </c>
      <c r="J2164" t="s">
        <v>26</v>
      </c>
      <c r="K2164" t="s">
        <v>26</v>
      </c>
      <c r="L2164" t="s">
        <v>70</v>
      </c>
      <c r="M2164" s="3" t="s">
        <v>1848</v>
      </c>
    </row>
    <row r="2165" spans="1:13" hidden="1" x14ac:dyDescent="0.25">
      <c r="A2165" s="1" t="str">
        <f>VLOOKUP(Table2[[#This Row],[Prod Line ]],Lists!A:E,5,0)</f>
        <v>b</v>
      </c>
      <c r="B2165" s="1">
        <v>44515</v>
      </c>
      <c r="C2165" s="1">
        <v>44513</v>
      </c>
      <c r="D2165" s="1" t="s">
        <v>58</v>
      </c>
      <c r="E2165" s="2" t="s">
        <v>406</v>
      </c>
      <c r="F2165" s="1"/>
      <c r="G2165" s="2">
        <v>3</v>
      </c>
      <c r="H2165" s="1"/>
      <c r="I2165" t="s">
        <v>1</v>
      </c>
      <c r="J2165" t="s">
        <v>64</v>
      </c>
      <c r="K2165" t="s">
        <v>21</v>
      </c>
      <c r="L2165" t="s">
        <v>407</v>
      </c>
      <c r="M2165" s="3" t="s">
        <v>1845</v>
      </c>
    </row>
    <row r="2166" spans="1:13" hidden="1" x14ac:dyDescent="0.25">
      <c r="A2166" s="1" t="str">
        <f>VLOOKUP(Table2[[#This Row],[Prod Line ]],Lists!A:E,5,0)</f>
        <v>b</v>
      </c>
      <c r="B2166" s="1">
        <v>44515</v>
      </c>
      <c r="C2166" s="1">
        <v>44513</v>
      </c>
      <c r="D2166" s="1" t="s">
        <v>58</v>
      </c>
      <c r="E2166" s="2" t="s">
        <v>404</v>
      </c>
      <c r="F2166" s="1"/>
      <c r="G2166" s="2">
        <v>12</v>
      </c>
      <c r="H2166" s="1"/>
      <c r="I2166" t="s">
        <v>0</v>
      </c>
      <c r="J2166" t="s">
        <v>65</v>
      </c>
      <c r="K2166" t="s">
        <v>27</v>
      </c>
      <c r="L2166" t="s">
        <v>70</v>
      </c>
      <c r="M2166" s="3" t="s">
        <v>1846</v>
      </c>
    </row>
    <row r="2167" spans="1:13" hidden="1" x14ac:dyDescent="0.25">
      <c r="A2167" s="1" t="str">
        <f>VLOOKUP(Table2[[#This Row],[Prod Line ]],Lists!A:E,5,0)</f>
        <v>b</v>
      </c>
      <c r="B2167" s="1">
        <v>44515</v>
      </c>
      <c r="C2167" s="1">
        <v>44513</v>
      </c>
      <c r="D2167" s="1" t="s">
        <v>58</v>
      </c>
      <c r="E2167" s="2" t="s">
        <v>404</v>
      </c>
      <c r="F2167" s="1"/>
      <c r="G2167" s="2">
        <v>15</v>
      </c>
      <c r="H2167" s="1"/>
      <c r="I2167" t="s">
        <v>1</v>
      </c>
      <c r="J2167" t="s">
        <v>26</v>
      </c>
      <c r="K2167" t="s">
        <v>25</v>
      </c>
      <c r="L2167" t="s">
        <v>441</v>
      </c>
      <c r="M2167" s="3" t="s">
        <v>1847</v>
      </c>
    </row>
    <row r="2168" spans="1:13" hidden="1" x14ac:dyDescent="0.25">
      <c r="A2168" s="1" t="str">
        <f>VLOOKUP(Table2[[#This Row],[Prod Line ]],Lists!A:E,5,0)</f>
        <v>b</v>
      </c>
      <c r="B2168" s="1">
        <v>44515</v>
      </c>
      <c r="C2168" s="1">
        <v>44513</v>
      </c>
      <c r="D2168" s="1" t="s">
        <v>58</v>
      </c>
      <c r="E2168" s="2" t="s">
        <v>406</v>
      </c>
      <c r="F2168" s="1"/>
      <c r="G2168" s="2">
        <v>5</v>
      </c>
      <c r="H2168" s="1"/>
      <c r="I2168" t="s">
        <v>1</v>
      </c>
      <c r="J2168" t="s">
        <v>2</v>
      </c>
      <c r="K2168" t="s">
        <v>19</v>
      </c>
      <c r="L2168" t="s">
        <v>349</v>
      </c>
      <c r="M2168" s="3" t="s">
        <v>1841</v>
      </c>
    </row>
    <row r="2169" spans="1:13" hidden="1" x14ac:dyDescent="0.25">
      <c r="A2169" s="1" t="str">
        <f>VLOOKUP(Table2[[#This Row],[Prod Line ]],Lists!A:E,5,0)</f>
        <v>b</v>
      </c>
      <c r="B2169" s="1">
        <v>44515</v>
      </c>
      <c r="C2169" s="1">
        <v>44513</v>
      </c>
      <c r="D2169" s="1" t="s">
        <v>58</v>
      </c>
      <c r="E2169" s="2" t="s">
        <v>406</v>
      </c>
      <c r="F2169" s="1"/>
      <c r="G2169" s="2">
        <v>13</v>
      </c>
      <c r="H2169" s="1"/>
      <c r="I2169" t="s">
        <v>1</v>
      </c>
      <c r="J2169" t="s">
        <v>26</v>
      </c>
      <c r="K2169" t="s">
        <v>25</v>
      </c>
      <c r="L2169" t="s">
        <v>441</v>
      </c>
      <c r="M2169" s="3" t="s">
        <v>1842</v>
      </c>
    </row>
    <row r="2170" spans="1:13" hidden="1" x14ac:dyDescent="0.25">
      <c r="A2170" s="1" t="str">
        <f>VLOOKUP(Table2[[#This Row],[Prod Line ]],Lists!A:E,5,0)</f>
        <v>b</v>
      </c>
      <c r="B2170" s="1">
        <v>44515</v>
      </c>
      <c r="C2170" s="1">
        <v>44513</v>
      </c>
      <c r="D2170" s="1" t="s">
        <v>58</v>
      </c>
      <c r="E2170" s="2" t="s">
        <v>406</v>
      </c>
      <c r="F2170" s="1"/>
      <c r="G2170" s="2">
        <v>44</v>
      </c>
      <c r="H2170" s="1"/>
      <c r="I2170" t="s">
        <v>0</v>
      </c>
      <c r="J2170" t="s">
        <v>64</v>
      </c>
      <c r="K2170" t="s">
        <v>21</v>
      </c>
      <c r="L2170" t="s">
        <v>69</v>
      </c>
      <c r="M2170" s="3" t="s">
        <v>1843</v>
      </c>
    </row>
    <row r="2171" spans="1:13" hidden="1" x14ac:dyDescent="0.25">
      <c r="A2171" s="1" t="str">
        <f>VLOOKUP(Table2[[#This Row],[Prod Line ]],Lists!A:E,5,0)</f>
        <v>c</v>
      </c>
      <c r="B2171" s="1">
        <v>44515</v>
      </c>
      <c r="C2171" s="1">
        <v>44513</v>
      </c>
      <c r="D2171" s="1" t="s">
        <v>60</v>
      </c>
      <c r="E2171" s="2" t="s">
        <v>404</v>
      </c>
      <c r="F2171" s="1"/>
      <c r="G2171" s="2">
        <v>17</v>
      </c>
      <c r="H2171" s="1"/>
      <c r="I2171" t="s">
        <v>0</v>
      </c>
      <c r="J2171" t="s">
        <v>67</v>
      </c>
      <c r="K2171" t="s">
        <v>67</v>
      </c>
      <c r="L2171" t="s">
        <v>70</v>
      </c>
      <c r="M2171" s="3" t="s">
        <v>1849</v>
      </c>
    </row>
    <row r="2172" spans="1:13" hidden="1" x14ac:dyDescent="0.25">
      <c r="A2172" s="1" t="str">
        <f>VLOOKUP(Table2[[#This Row],[Prod Line ]],Lists!A:E,5,0)</f>
        <v>d</v>
      </c>
      <c r="B2172" s="1">
        <v>44515</v>
      </c>
      <c r="C2172" s="1">
        <v>44513</v>
      </c>
      <c r="D2172" s="1" t="s">
        <v>62</v>
      </c>
      <c r="E2172" s="2" t="s">
        <v>405</v>
      </c>
      <c r="F2172" s="1"/>
      <c r="G2172" s="2">
        <v>40</v>
      </c>
      <c r="H2172" s="1"/>
      <c r="I2172" t="s">
        <v>0</v>
      </c>
      <c r="J2172" t="s">
        <v>2</v>
      </c>
      <c r="K2172" t="s">
        <v>19</v>
      </c>
      <c r="L2172" t="s">
        <v>70</v>
      </c>
      <c r="M2172" s="3" t="s">
        <v>1850</v>
      </c>
    </row>
    <row r="2173" spans="1:13" hidden="1" x14ac:dyDescent="0.25">
      <c r="A2173" s="1" t="str">
        <f>VLOOKUP(Table2[[#This Row],[Prod Line ]],Lists!A:E,5,0)</f>
        <v>b</v>
      </c>
      <c r="B2173" s="1">
        <v>44516</v>
      </c>
      <c r="C2173" s="1">
        <v>44514</v>
      </c>
      <c r="D2173" s="1" t="s">
        <v>58</v>
      </c>
      <c r="E2173" s="2" t="s">
        <v>406</v>
      </c>
      <c r="F2173" s="1"/>
      <c r="G2173" s="2">
        <v>8</v>
      </c>
      <c r="H2173" s="1"/>
      <c r="I2173" t="s">
        <v>1</v>
      </c>
      <c r="J2173" t="s">
        <v>2</v>
      </c>
      <c r="K2173" t="s">
        <v>19</v>
      </c>
      <c r="L2173" t="s">
        <v>349</v>
      </c>
      <c r="M2173" s="3" t="s">
        <v>1851</v>
      </c>
    </row>
    <row r="2174" spans="1:13" hidden="1" x14ac:dyDescent="0.25">
      <c r="A2174" s="1" t="str">
        <f>VLOOKUP(Table2[[#This Row],[Prod Line ]],Lists!A:E,5,0)</f>
        <v>b</v>
      </c>
      <c r="B2174" s="1">
        <v>44516</v>
      </c>
      <c r="C2174" s="1">
        <v>44514</v>
      </c>
      <c r="D2174" s="1" t="s">
        <v>58</v>
      </c>
      <c r="E2174" s="2" t="s">
        <v>405</v>
      </c>
      <c r="F2174" s="1"/>
      <c r="G2174" s="2">
        <v>8</v>
      </c>
      <c r="H2174" s="1"/>
      <c r="I2174" t="s">
        <v>0</v>
      </c>
      <c r="J2174" t="s">
        <v>64</v>
      </c>
      <c r="K2174" t="s">
        <v>21</v>
      </c>
      <c r="L2174" t="s">
        <v>70</v>
      </c>
      <c r="M2174" s="3" t="s">
        <v>1852</v>
      </c>
    </row>
    <row r="2175" spans="1:13" hidden="1" x14ac:dyDescent="0.25">
      <c r="A2175" s="1" t="str">
        <f>VLOOKUP(Table2[[#This Row],[Prod Line ]],Lists!A:E,5,0)</f>
        <v>b</v>
      </c>
      <c r="B2175" s="1">
        <v>44516</v>
      </c>
      <c r="C2175" s="1">
        <v>44514</v>
      </c>
      <c r="D2175" s="1" t="s">
        <v>58</v>
      </c>
      <c r="E2175" s="2" t="s">
        <v>404</v>
      </c>
      <c r="F2175" s="1"/>
      <c r="G2175" s="2">
        <v>13</v>
      </c>
      <c r="H2175" s="1"/>
      <c r="I2175" t="s">
        <v>0</v>
      </c>
      <c r="J2175" t="s">
        <v>5</v>
      </c>
      <c r="K2175" t="s">
        <v>37</v>
      </c>
      <c r="L2175" t="s">
        <v>70</v>
      </c>
      <c r="M2175" s="3" t="s">
        <v>1855</v>
      </c>
    </row>
    <row r="2176" spans="1:13" hidden="1" x14ac:dyDescent="0.25">
      <c r="A2176" s="1" t="str">
        <f>VLOOKUP(Table2[[#This Row],[Prod Line ]],Lists!A:E,5,0)</f>
        <v>b</v>
      </c>
      <c r="B2176" s="1">
        <v>44516</v>
      </c>
      <c r="C2176" s="1">
        <v>44514</v>
      </c>
      <c r="D2176" s="1" t="s">
        <v>58</v>
      </c>
      <c r="E2176" s="2" t="s">
        <v>404</v>
      </c>
      <c r="F2176" s="1"/>
      <c r="G2176" s="2">
        <v>8</v>
      </c>
      <c r="H2176" s="1"/>
      <c r="I2176" t="s">
        <v>0</v>
      </c>
      <c r="J2176" t="s">
        <v>26</v>
      </c>
      <c r="K2176" t="s">
        <v>25</v>
      </c>
      <c r="L2176" t="s">
        <v>70</v>
      </c>
      <c r="M2176" s="3" t="s">
        <v>1854</v>
      </c>
    </row>
    <row r="2177" spans="1:13" hidden="1" x14ac:dyDescent="0.25">
      <c r="A2177" s="1" t="str">
        <f>VLOOKUP(Table2[[#This Row],[Prod Line ]],Lists!A:E,5,0)</f>
        <v>b</v>
      </c>
      <c r="B2177" s="1">
        <v>44516</v>
      </c>
      <c r="C2177" s="1">
        <v>44514</v>
      </c>
      <c r="D2177" s="1" t="s">
        <v>58</v>
      </c>
      <c r="E2177" s="2" t="s">
        <v>404</v>
      </c>
      <c r="F2177" s="1"/>
      <c r="G2177" s="2">
        <v>37</v>
      </c>
      <c r="H2177" s="1"/>
      <c r="I2177" t="s">
        <v>0</v>
      </c>
      <c r="J2177" t="s">
        <v>5</v>
      </c>
      <c r="K2177" t="s">
        <v>37</v>
      </c>
      <c r="L2177" t="s">
        <v>70</v>
      </c>
      <c r="M2177" s="3" t="s">
        <v>1853</v>
      </c>
    </row>
    <row r="2178" spans="1:13" hidden="1" x14ac:dyDescent="0.25">
      <c r="A2178" s="1" t="str">
        <f>VLOOKUP(Table2[[#This Row],[Prod Line ]],Lists!A:E,5,0)</f>
        <v>a</v>
      </c>
      <c r="B2178" s="1">
        <v>44516</v>
      </c>
      <c r="C2178" s="1">
        <v>44514</v>
      </c>
      <c r="D2178" s="1" t="s">
        <v>56</v>
      </c>
      <c r="E2178" s="2" t="s">
        <v>404</v>
      </c>
      <c r="F2178" s="1"/>
      <c r="G2178" s="2">
        <v>30</v>
      </c>
      <c r="H2178" s="1"/>
      <c r="I2178" t="s">
        <v>0</v>
      </c>
      <c r="J2178" t="s">
        <v>64</v>
      </c>
      <c r="K2178" t="s">
        <v>370</v>
      </c>
      <c r="L2178" t="s">
        <v>70</v>
      </c>
      <c r="M2178" s="3" t="s">
        <v>1856</v>
      </c>
    </row>
    <row r="2179" spans="1:13" hidden="1" x14ac:dyDescent="0.25">
      <c r="A2179" s="1" t="str">
        <f>VLOOKUP(Table2[[#This Row],[Prod Line ]],Lists!A:E,5,0)</f>
        <v>a</v>
      </c>
      <c r="B2179" s="1">
        <v>44516</v>
      </c>
      <c r="C2179" s="1">
        <v>44514</v>
      </c>
      <c r="D2179" s="1" t="s">
        <v>56</v>
      </c>
      <c r="E2179" s="2" t="s">
        <v>405</v>
      </c>
      <c r="F2179" s="1"/>
      <c r="G2179" s="2">
        <v>22</v>
      </c>
      <c r="H2179" s="1"/>
      <c r="I2179" t="s">
        <v>0</v>
      </c>
      <c r="J2179" t="s">
        <v>64</v>
      </c>
      <c r="K2179" t="s">
        <v>370</v>
      </c>
      <c r="L2179" t="s">
        <v>70</v>
      </c>
      <c r="M2179" s="3" t="s">
        <v>1857</v>
      </c>
    </row>
    <row r="2180" spans="1:13" hidden="1" x14ac:dyDescent="0.25">
      <c r="A2180" s="1" t="str">
        <f>VLOOKUP(Table2[[#This Row],[Prod Line ]],Lists!A:E,5,0)</f>
        <v>a</v>
      </c>
      <c r="B2180" s="1">
        <v>44516</v>
      </c>
      <c r="C2180" s="1">
        <v>44514</v>
      </c>
      <c r="D2180" s="1" t="s">
        <v>56</v>
      </c>
      <c r="E2180" s="2" t="s">
        <v>405</v>
      </c>
      <c r="F2180" s="1"/>
      <c r="G2180" s="2">
        <v>13</v>
      </c>
      <c r="H2180" s="1"/>
      <c r="I2180" t="s">
        <v>1</v>
      </c>
      <c r="J2180" t="s">
        <v>64</v>
      </c>
      <c r="K2180" t="s">
        <v>370</v>
      </c>
      <c r="L2180" t="s">
        <v>349</v>
      </c>
      <c r="M2180" s="3" t="s">
        <v>1858</v>
      </c>
    </row>
    <row r="2181" spans="1:13" hidden="1" x14ac:dyDescent="0.25">
      <c r="A2181" s="1" t="str">
        <f>VLOOKUP(Table2[[#This Row],[Prod Line ]],Lists!A:E,5,0)</f>
        <v>d</v>
      </c>
      <c r="B2181" s="1">
        <v>44516</v>
      </c>
      <c r="C2181" s="1">
        <v>44514</v>
      </c>
      <c r="D2181" s="1" t="s">
        <v>62</v>
      </c>
      <c r="E2181" s="2" t="s">
        <v>404</v>
      </c>
      <c r="F2181" s="1"/>
      <c r="G2181" s="2">
        <v>5</v>
      </c>
      <c r="H2181" s="1"/>
      <c r="I2181" t="s">
        <v>1</v>
      </c>
      <c r="J2181" t="s">
        <v>2</v>
      </c>
      <c r="K2181" t="s">
        <v>19</v>
      </c>
      <c r="L2181" t="s">
        <v>407</v>
      </c>
      <c r="M2181" s="3" t="s">
        <v>1774</v>
      </c>
    </row>
    <row r="2182" spans="1:13" hidden="1" x14ac:dyDescent="0.25">
      <c r="A2182" s="1" t="str">
        <f>VLOOKUP(Table2[[#This Row],[Prod Line ]],Lists!A:E,5,0)</f>
        <v>c</v>
      </c>
      <c r="B2182" s="1">
        <v>44516</v>
      </c>
      <c r="C2182" s="1">
        <v>44514</v>
      </c>
      <c r="D2182" s="1" t="s">
        <v>60</v>
      </c>
      <c r="E2182" s="2" t="s">
        <v>404</v>
      </c>
      <c r="F2182" s="1"/>
      <c r="G2182" s="2">
        <v>16</v>
      </c>
      <c r="H2182" s="1"/>
      <c r="I2182" t="s">
        <v>1</v>
      </c>
      <c r="J2182" t="s">
        <v>2</v>
      </c>
      <c r="K2182" t="s">
        <v>378</v>
      </c>
      <c r="L2182" t="s">
        <v>407</v>
      </c>
      <c r="M2182" s="3" t="s">
        <v>1859</v>
      </c>
    </row>
    <row r="2183" spans="1:13" hidden="1" x14ac:dyDescent="0.25">
      <c r="A2183" s="1" t="str">
        <f>VLOOKUP(Table2[[#This Row],[Prod Line ]],Lists!A:E,5,0)</f>
        <v>c</v>
      </c>
      <c r="B2183" s="1">
        <v>44516</v>
      </c>
      <c r="C2183" s="1">
        <v>44514</v>
      </c>
      <c r="D2183" s="1" t="s">
        <v>60</v>
      </c>
      <c r="E2183" s="2" t="s">
        <v>404</v>
      </c>
      <c r="F2183" s="1"/>
      <c r="G2183" s="2">
        <v>26</v>
      </c>
      <c r="H2183" s="1"/>
      <c r="I2183" t="s">
        <v>1</v>
      </c>
      <c r="J2183" t="s">
        <v>64</v>
      </c>
      <c r="K2183" t="s">
        <v>379</v>
      </c>
      <c r="L2183" t="s">
        <v>349</v>
      </c>
      <c r="M2183" s="3" t="s">
        <v>1851</v>
      </c>
    </row>
    <row r="2184" spans="1:13" hidden="1" x14ac:dyDescent="0.25">
      <c r="A2184" s="1" t="str">
        <f>VLOOKUP(Table2[[#This Row],[Prod Line ]],Lists!A:E,5,0)</f>
        <v>a</v>
      </c>
      <c r="B2184" s="1">
        <v>44516</v>
      </c>
      <c r="C2184" s="1">
        <v>44515</v>
      </c>
      <c r="D2184" s="1" t="s">
        <v>56</v>
      </c>
      <c r="E2184" s="2" t="s">
        <v>404</v>
      </c>
      <c r="F2184" s="1"/>
      <c r="G2184" s="2">
        <v>10</v>
      </c>
      <c r="H2184" s="1"/>
      <c r="I2184" t="s">
        <v>1</v>
      </c>
      <c r="J2184" t="s">
        <v>64</v>
      </c>
      <c r="K2184" t="s">
        <v>370</v>
      </c>
      <c r="L2184" t="s">
        <v>72</v>
      </c>
      <c r="M2184" s="3" t="s">
        <v>548</v>
      </c>
    </row>
    <row r="2185" spans="1:13" hidden="1" x14ac:dyDescent="0.25">
      <c r="A2185" s="1" t="str">
        <f>VLOOKUP(Table2[[#This Row],[Prod Line ]],Lists!A:E,5,0)</f>
        <v>a</v>
      </c>
      <c r="B2185" s="1">
        <v>44516</v>
      </c>
      <c r="C2185" s="1">
        <v>44515</v>
      </c>
      <c r="D2185" s="1" t="s">
        <v>56</v>
      </c>
      <c r="E2185" s="2" t="s">
        <v>404</v>
      </c>
      <c r="F2185" s="1"/>
      <c r="G2185" s="2">
        <v>5</v>
      </c>
      <c r="H2185" s="1"/>
      <c r="I2185" t="s">
        <v>1</v>
      </c>
      <c r="J2185" t="s">
        <v>64</v>
      </c>
      <c r="K2185" t="s">
        <v>371</v>
      </c>
      <c r="L2185" t="s">
        <v>441</v>
      </c>
      <c r="M2185" s="3" t="s">
        <v>1860</v>
      </c>
    </row>
    <row r="2186" spans="1:13" hidden="1" x14ac:dyDescent="0.25">
      <c r="A2186" s="1" t="str">
        <f>VLOOKUP(Table2[[#This Row],[Prod Line ]],Lists!A:E,5,0)</f>
        <v>a</v>
      </c>
      <c r="B2186" s="1">
        <v>44516</v>
      </c>
      <c r="C2186" s="1">
        <v>44515</v>
      </c>
      <c r="D2186" s="1" t="s">
        <v>56</v>
      </c>
      <c r="E2186" s="2" t="s">
        <v>404</v>
      </c>
      <c r="F2186" s="1"/>
      <c r="G2186" s="2">
        <v>12</v>
      </c>
      <c r="H2186" s="1"/>
      <c r="I2186" t="s">
        <v>1</v>
      </c>
      <c r="J2186" t="s">
        <v>64</v>
      </c>
      <c r="K2186" t="s">
        <v>367</v>
      </c>
      <c r="L2186" t="s">
        <v>72</v>
      </c>
      <c r="M2186" s="3" t="s">
        <v>1861</v>
      </c>
    </row>
    <row r="2187" spans="1:13" hidden="1" x14ac:dyDescent="0.25">
      <c r="A2187" s="1" t="str">
        <f>VLOOKUP(Table2[[#This Row],[Prod Line ]],Lists!A:E,5,0)</f>
        <v>b</v>
      </c>
      <c r="B2187" s="1">
        <v>44518</v>
      </c>
      <c r="C2187" s="1">
        <v>44516</v>
      </c>
      <c r="D2187" s="1" t="s">
        <v>58</v>
      </c>
      <c r="E2187" s="2" t="s">
        <v>404</v>
      </c>
      <c r="F2187" s="1"/>
      <c r="G2187" s="2">
        <v>6</v>
      </c>
      <c r="H2187" s="1"/>
      <c r="I2187" t="s">
        <v>1</v>
      </c>
      <c r="J2187" t="s">
        <v>26</v>
      </c>
      <c r="K2187" t="s">
        <v>25</v>
      </c>
      <c r="L2187" t="s">
        <v>441</v>
      </c>
      <c r="M2187" s="3" t="s">
        <v>896</v>
      </c>
    </row>
    <row r="2188" spans="1:13" hidden="1" x14ac:dyDescent="0.25">
      <c r="A2188" s="1" t="str">
        <f>VLOOKUP(Table2[[#This Row],[Prod Line ]],Lists!A:E,5,0)</f>
        <v>b</v>
      </c>
      <c r="B2188" s="1">
        <v>44518</v>
      </c>
      <c r="C2188" s="1">
        <v>44516</v>
      </c>
      <c r="D2188" s="1" t="s">
        <v>58</v>
      </c>
      <c r="E2188" s="2" t="s">
        <v>406</v>
      </c>
      <c r="F2188" s="1"/>
      <c r="G2188" s="2">
        <v>35</v>
      </c>
      <c r="H2188" s="1"/>
      <c r="I2188" t="s">
        <v>1</v>
      </c>
      <c r="J2188" t="s">
        <v>26</v>
      </c>
      <c r="K2188" t="s">
        <v>25</v>
      </c>
      <c r="L2188" t="s">
        <v>441</v>
      </c>
      <c r="M2188" s="3" t="s">
        <v>1862</v>
      </c>
    </row>
    <row r="2189" spans="1:13" hidden="1" x14ac:dyDescent="0.25">
      <c r="A2189" s="1" t="str">
        <f>VLOOKUP(Table2[[#This Row],[Prod Line ]],Lists!A:E,5,0)</f>
        <v>c</v>
      </c>
      <c r="B2189" s="1">
        <v>44518</v>
      </c>
      <c r="C2189" s="1">
        <v>44516</v>
      </c>
      <c r="D2189" s="1" t="s">
        <v>60</v>
      </c>
      <c r="E2189" s="2" t="s">
        <v>404</v>
      </c>
      <c r="F2189" s="1"/>
      <c r="G2189" s="2">
        <v>27</v>
      </c>
      <c r="H2189" s="1"/>
      <c r="I2189" t="s">
        <v>1</v>
      </c>
      <c r="J2189" t="s">
        <v>2</v>
      </c>
      <c r="K2189" t="s">
        <v>378</v>
      </c>
      <c r="L2189" t="s">
        <v>349</v>
      </c>
      <c r="M2189" s="3" t="s">
        <v>575</v>
      </c>
    </row>
    <row r="2190" spans="1:13" hidden="1" x14ac:dyDescent="0.25">
      <c r="A2190" s="1" t="str">
        <f>VLOOKUP(Table2[[#This Row],[Prod Line ]],Lists!A:E,5,0)</f>
        <v>b</v>
      </c>
      <c r="B2190" s="1">
        <v>44519</v>
      </c>
      <c r="C2190" s="1">
        <v>44517</v>
      </c>
      <c r="D2190" s="1" t="s">
        <v>58</v>
      </c>
      <c r="E2190" s="2" t="s">
        <v>405</v>
      </c>
      <c r="F2190" s="1"/>
      <c r="G2190" s="2">
        <v>13</v>
      </c>
      <c r="H2190" s="1"/>
      <c r="I2190" t="s">
        <v>1</v>
      </c>
      <c r="J2190" t="s">
        <v>64</v>
      </c>
      <c r="K2190" t="s">
        <v>21</v>
      </c>
      <c r="L2190" t="s">
        <v>407</v>
      </c>
      <c r="M2190" s="3" t="s">
        <v>1863</v>
      </c>
    </row>
    <row r="2191" spans="1:13" hidden="1" x14ac:dyDescent="0.25">
      <c r="A2191" s="1" t="str">
        <f>VLOOKUP(Table2[[#This Row],[Prod Line ]],Lists!A:E,5,0)</f>
        <v>d</v>
      </c>
      <c r="B2191" s="1">
        <v>44519</v>
      </c>
      <c r="C2191" s="1">
        <v>44517</v>
      </c>
      <c r="D2191" s="1" t="s">
        <v>62</v>
      </c>
      <c r="E2191" s="2" t="s">
        <v>405</v>
      </c>
      <c r="F2191" s="1"/>
      <c r="G2191" s="2">
        <v>28</v>
      </c>
      <c r="H2191" s="1"/>
      <c r="I2191" t="s">
        <v>1</v>
      </c>
      <c r="J2191" t="s">
        <v>2</v>
      </c>
      <c r="K2191" t="s">
        <v>19</v>
      </c>
      <c r="L2191" t="s">
        <v>349</v>
      </c>
      <c r="M2191" s="3" t="s">
        <v>1864</v>
      </c>
    </row>
    <row r="2192" spans="1:13" hidden="1" x14ac:dyDescent="0.25">
      <c r="A2192" s="1" t="str">
        <f>VLOOKUP(Table2[[#This Row],[Prod Line ]],Lists!A:E,5,0)</f>
        <v>d</v>
      </c>
      <c r="B2192" s="1">
        <v>44519</v>
      </c>
      <c r="C2192" s="1">
        <v>44517</v>
      </c>
      <c r="D2192" s="1" t="s">
        <v>62</v>
      </c>
      <c r="E2192" s="2" t="s">
        <v>405</v>
      </c>
      <c r="F2192" s="1"/>
      <c r="G2192" s="2">
        <v>45</v>
      </c>
      <c r="H2192" s="1"/>
      <c r="I2192" t="s">
        <v>0</v>
      </c>
      <c r="J2192" t="s">
        <v>5</v>
      </c>
      <c r="K2192" t="s">
        <v>397</v>
      </c>
      <c r="L2192" t="s">
        <v>70</v>
      </c>
      <c r="M2192" s="3" t="s">
        <v>1865</v>
      </c>
    </row>
    <row r="2193" spans="1:13" hidden="1" x14ac:dyDescent="0.25">
      <c r="A2193" s="1" t="str">
        <f>VLOOKUP(Table2[[#This Row],[Prod Line ]],Lists!A:E,5,0)</f>
        <v>d</v>
      </c>
      <c r="B2193" s="1">
        <v>44519</v>
      </c>
      <c r="C2193" s="1">
        <v>44517</v>
      </c>
      <c r="D2193" s="1" t="s">
        <v>62</v>
      </c>
      <c r="E2193" s="2" t="s">
        <v>405</v>
      </c>
      <c r="F2193" s="1"/>
      <c r="G2193" s="2">
        <v>40</v>
      </c>
      <c r="H2193" s="1"/>
      <c r="I2193" t="s">
        <v>1</v>
      </c>
      <c r="J2193" t="s">
        <v>64</v>
      </c>
      <c r="K2193" t="s">
        <v>379</v>
      </c>
      <c r="L2193" t="s">
        <v>407</v>
      </c>
      <c r="M2193" s="3" t="s">
        <v>1866</v>
      </c>
    </row>
    <row r="2194" spans="1:13" hidden="1" x14ac:dyDescent="0.25">
      <c r="A2194" s="1" t="str">
        <f>VLOOKUP(Table2[[#This Row],[Prod Line ]],Lists!A:E,5,0)</f>
        <v>a</v>
      </c>
      <c r="B2194" s="1">
        <v>44520</v>
      </c>
      <c r="C2194" s="1">
        <v>44518</v>
      </c>
      <c r="D2194" s="1" t="s">
        <v>56</v>
      </c>
      <c r="E2194" s="2" t="s">
        <v>404</v>
      </c>
      <c r="F2194" s="1"/>
      <c r="G2194" s="2">
        <v>8</v>
      </c>
      <c r="H2194" s="1"/>
      <c r="I2194" t="s">
        <v>1</v>
      </c>
      <c r="J2194" t="s">
        <v>67</v>
      </c>
      <c r="K2194" t="s">
        <v>67</v>
      </c>
      <c r="L2194" t="s">
        <v>407</v>
      </c>
      <c r="M2194" s="3" t="s">
        <v>750</v>
      </c>
    </row>
    <row r="2195" spans="1:13" hidden="1" x14ac:dyDescent="0.25">
      <c r="A2195" s="1" t="str">
        <f>VLOOKUP(Table2[[#This Row],[Prod Line ]],Lists!A:E,5,0)</f>
        <v>b</v>
      </c>
      <c r="B2195" s="1">
        <v>44520</v>
      </c>
      <c r="C2195" s="1">
        <v>44518</v>
      </c>
      <c r="D2195" s="1" t="s">
        <v>58</v>
      </c>
      <c r="E2195" s="2" t="s">
        <v>404</v>
      </c>
      <c r="F2195" s="1"/>
      <c r="G2195" s="2">
        <v>60</v>
      </c>
      <c r="H2195" s="1"/>
      <c r="I2195" t="s">
        <v>1</v>
      </c>
      <c r="J2195" t="s">
        <v>67</v>
      </c>
      <c r="K2195" t="s">
        <v>67</v>
      </c>
      <c r="L2195" t="s">
        <v>72</v>
      </c>
      <c r="M2195" s="3" t="s">
        <v>1867</v>
      </c>
    </row>
    <row r="2196" spans="1:13" hidden="1" x14ac:dyDescent="0.25">
      <c r="A2196" s="1" t="str">
        <f>VLOOKUP(Table2[[#This Row],[Prod Line ]],Lists!A:E,5,0)</f>
        <v>c</v>
      </c>
      <c r="B2196" s="1">
        <v>44520</v>
      </c>
      <c r="C2196" s="1">
        <v>44518</v>
      </c>
      <c r="D2196" s="1" t="s">
        <v>60</v>
      </c>
      <c r="E2196" s="2" t="s">
        <v>404</v>
      </c>
      <c r="F2196" s="1"/>
      <c r="G2196" s="2">
        <v>19</v>
      </c>
      <c r="H2196" s="1"/>
      <c r="I2196" t="s">
        <v>1</v>
      </c>
      <c r="J2196" t="s">
        <v>64</v>
      </c>
      <c r="K2196" t="s">
        <v>380</v>
      </c>
      <c r="L2196" t="s">
        <v>407</v>
      </c>
      <c r="M2196" s="3" t="s">
        <v>1779</v>
      </c>
    </row>
    <row r="2197" spans="1:13" hidden="1" x14ac:dyDescent="0.25">
      <c r="A2197" s="1" t="str">
        <f>VLOOKUP(Table2[[#This Row],[Prod Line ]],Lists!A:E,5,0)</f>
        <v>d</v>
      </c>
      <c r="B2197" s="1">
        <v>44520</v>
      </c>
      <c r="C2197" s="1">
        <v>44518</v>
      </c>
      <c r="D2197" s="1" t="s">
        <v>62</v>
      </c>
      <c r="E2197" s="2" t="s">
        <v>405</v>
      </c>
      <c r="F2197" s="1"/>
      <c r="G2197" s="2">
        <v>10</v>
      </c>
      <c r="H2197" s="1"/>
      <c r="I2197" t="s">
        <v>1</v>
      </c>
      <c r="J2197" t="s">
        <v>64</v>
      </c>
      <c r="K2197" t="s">
        <v>379</v>
      </c>
      <c r="L2197" t="s">
        <v>407</v>
      </c>
      <c r="M2197" s="3" t="s">
        <v>1779</v>
      </c>
    </row>
    <row r="2198" spans="1:13" hidden="1" x14ac:dyDescent="0.25">
      <c r="A2198" s="1" t="str">
        <f>VLOOKUP(Table2[[#This Row],[Prod Line ]],Lists!A:E,5,0)</f>
        <v>b</v>
      </c>
      <c r="B2198" s="1">
        <v>44520</v>
      </c>
      <c r="C2198" s="1">
        <v>44518</v>
      </c>
      <c r="D2198" s="1" t="s">
        <v>58</v>
      </c>
      <c r="E2198" s="2" t="s">
        <v>406</v>
      </c>
      <c r="F2198" s="1"/>
      <c r="G2198" s="2">
        <v>69</v>
      </c>
      <c r="H2198" s="1"/>
      <c r="I2198" t="s">
        <v>1</v>
      </c>
      <c r="J2198" t="s">
        <v>5</v>
      </c>
      <c r="K2198" t="s">
        <v>38</v>
      </c>
      <c r="L2198" t="s">
        <v>407</v>
      </c>
      <c r="M2198" s="3" t="s">
        <v>1868</v>
      </c>
    </row>
    <row r="2199" spans="1:13" hidden="1" x14ac:dyDescent="0.25">
      <c r="A2199" s="1" t="str">
        <f>VLOOKUP(Table2[[#This Row],[Prod Line ]],Lists!A:E,5,0)</f>
        <v>b</v>
      </c>
      <c r="B2199" s="1">
        <v>44520</v>
      </c>
      <c r="C2199" s="1">
        <v>44518</v>
      </c>
      <c r="D2199" s="1" t="s">
        <v>58</v>
      </c>
      <c r="E2199" s="2" t="s">
        <v>406</v>
      </c>
      <c r="F2199" s="1"/>
      <c r="G2199" s="2">
        <v>20</v>
      </c>
      <c r="H2199" s="1"/>
      <c r="I2199" t="s">
        <v>1</v>
      </c>
      <c r="J2199" t="s">
        <v>5</v>
      </c>
      <c r="K2199" t="s">
        <v>36</v>
      </c>
      <c r="L2199" t="s">
        <v>407</v>
      </c>
      <c r="M2199" s="3" t="s">
        <v>1869</v>
      </c>
    </row>
    <row r="2200" spans="1:13" hidden="1" x14ac:dyDescent="0.25">
      <c r="A2200" s="1" t="str">
        <f>VLOOKUP(Table2[[#This Row],[Prod Line ]],Lists!A:E,5,0)</f>
        <v>b</v>
      </c>
      <c r="B2200" s="1">
        <v>44522</v>
      </c>
      <c r="C2200" s="1">
        <v>44520</v>
      </c>
      <c r="D2200" s="1" t="s">
        <v>58</v>
      </c>
      <c r="E2200" s="2" t="s">
        <v>406</v>
      </c>
      <c r="F2200" s="1"/>
      <c r="G2200" s="2">
        <v>7</v>
      </c>
      <c r="H2200" s="1"/>
      <c r="I2200" t="s">
        <v>0</v>
      </c>
      <c r="J2200" t="s">
        <v>26</v>
      </c>
      <c r="K2200" t="s">
        <v>25</v>
      </c>
      <c r="L2200" t="s">
        <v>70</v>
      </c>
      <c r="M2200" s="3" t="s">
        <v>1871</v>
      </c>
    </row>
    <row r="2201" spans="1:13" hidden="1" x14ac:dyDescent="0.25">
      <c r="A2201" s="1" t="str">
        <f>VLOOKUP(Table2[[#This Row],[Prod Line ]],Lists!A:E,5,0)</f>
        <v>b</v>
      </c>
      <c r="B2201" s="1">
        <v>44522</v>
      </c>
      <c r="C2201" s="1">
        <v>44520</v>
      </c>
      <c r="D2201" s="1" t="s">
        <v>58</v>
      </c>
      <c r="E2201" s="2" t="s">
        <v>406</v>
      </c>
      <c r="F2201" s="1"/>
      <c r="G2201" s="2">
        <v>6</v>
      </c>
      <c r="H2201" s="1"/>
      <c r="I2201" t="s">
        <v>0</v>
      </c>
      <c r="J2201" t="s">
        <v>64</v>
      </c>
      <c r="K2201" t="s">
        <v>20</v>
      </c>
      <c r="L2201" t="s">
        <v>70</v>
      </c>
      <c r="M2201" s="3" t="s">
        <v>1870</v>
      </c>
    </row>
    <row r="2202" spans="1:13" hidden="1" x14ac:dyDescent="0.25">
      <c r="A2202" s="1" t="str">
        <f>VLOOKUP(Table2[[#This Row],[Prod Line ]],Lists!A:E,5,0)</f>
        <v>d</v>
      </c>
      <c r="B2202" s="1">
        <v>44522</v>
      </c>
      <c r="C2202" s="1">
        <v>44520</v>
      </c>
      <c r="D2202" s="1" t="s">
        <v>62</v>
      </c>
      <c r="E2202" s="2" t="s">
        <v>406</v>
      </c>
      <c r="F2202" s="1"/>
      <c r="G2202" s="2">
        <v>24</v>
      </c>
      <c r="H2202" s="1"/>
      <c r="I2202" t="s">
        <v>1</v>
      </c>
      <c r="J2202" t="s">
        <v>2</v>
      </c>
      <c r="K2202" t="s">
        <v>15</v>
      </c>
      <c r="L2202" t="s">
        <v>407</v>
      </c>
      <c r="M2202" s="3" t="s">
        <v>1872</v>
      </c>
    </row>
    <row r="2203" spans="1:13" hidden="1" x14ac:dyDescent="0.25">
      <c r="A2203" s="1" t="str">
        <f>VLOOKUP(Table2[[#This Row],[Prod Line ]],Lists!A:E,5,0)</f>
        <v>a</v>
      </c>
      <c r="B2203" s="1">
        <v>44522</v>
      </c>
      <c r="C2203" s="1">
        <v>44520</v>
      </c>
      <c r="D2203" s="1" t="s">
        <v>56</v>
      </c>
      <c r="E2203" s="2" t="s">
        <v>404</v>
      </c>
      <c r="F2203" s="1"/>
      <c r="G2203" s="2">
        <v>4</v>
      </c>
      <c r="H2203" s="1"/>
      <c r="I2203" t="s">
        <v>1</v>
      </c>
      <c r="J2203" t="s">
        <v>64</v>
      </c>
      <c r="K2203" t="s">
        <v>363</v>
      </c>
      <c r="L2203" t="s">
        <v>407</v>
      </c>
      <c r="M2203" s="3" t="s">
        <v>655</v>
      </c>
    </row>
    <row r="2204" spans="1:13" hidden="1" x14ac:dyDescent="0.25">
      <c r="A2204" s="1" t="str">
        <f>VLOOKUP(Table2[[#This Row],[Prod Line ]],Lists!A:E,5,0)</f>
        <v>a</v>
      </c>
      <c r="B2204" s="1">
        <v>44522</v>
      </c>
      <c r="C2204" s="1">
        <v>44520</v>
      </c>
      <c r="D2204" s="1" t="s">
        <v>56</v>
      </c>
      <c r="E2204" s="2" t="s">
        <v>404</v>
      </c>
      <c r="F2204" s="1"/>
      <c r="G2204" s="2">
        <v>6</v>
      </c>
      <c r="H2204" s="1"/>
      <c r="I2204" t="s">
        <v>1</v>
      </c>
      <c r="J2204" t="s">
        <v>64</v>
      </c>
      <c r="K2204" t="s">
        <v>370</v>
      </c>
      <c r="L2204" t="s">
        <v>407</v>
      </c>
      <c r="M2204" s="3" t="s">
        <v>750</v>
      </c>
    </row>
    <row r="2205" spans="1:13" hidden="1" x14ac:dyDescent="0.25">
      <c r="A2205" s="1" t="str">
        <f>VLOOKUP(Table2[[#This Row],[Prod Line ]],Lists!A:E,5,0)</f>
        <v>b</v>
      </c>
      <c r="B2205" s="1">
        <v>44522</v>
      </c>
      <c r="C2205" s="1">
        <v>44520</v>
      </c>
      <c r="D2205" s="1" t="s">
        <v>58</v>
      </c>
      <c r="E2205" s="2" t="s">
        <v>405</v>
      </c>
      <c r="F2205" s="1"/>
      <c r="G2205" s="2">
        <v>4</v>
      </c>
      <c r="H2205" s="1"/>
      <c r="I2205" t="s">
        <v>1</v>
      </c>
      <c r="J2205" t="s">
        <v>26</v>
      </c>
      <c r="K2205" t="s">
        <v>25</v>
      </c>
      <c r="L2205" t="s">
        <v>441</v>
      </c>
      <c r="M2205" s="3" t="s">
        <v>1603</v>
      </c>
    </row>
    <row r="2206" spans="1:13" hidden="1" x14ac:dyDescent="0.25">
      <c r="A2206" s="1" t="str">
        <f>VLOOKUP(Table2[[#This Row],[Prod Line ]],Lists!A:E,5,0)</f>
        <v>b</v>
      </c>
      <c r="B2206" s="1">
        <v>44522</v>
      </c>
      <c r="C2206" s="1">
        <v>44520</v>
      </c>
      <c r="D2206" s="1" t="s">
        <v>58</v>
      </c>
      <c r="E2206" s="2" t="s">
        <v>405</v>
      </c>
      <c r="F2206" s="1"/>
      <c r="G2206" s="2">
        <v>6</v>
      </c>
      <c r="H2206" s="1"/>
      <c r="I2206" t="s">
        <v>1</v>
      </c>
      <c r="J2206" t="s">
        <v>2</v>
      </c>
      <c r="K2206" t="s">
        <v>19</v>
      </c>
      <c r="L2206" t="s">
        <v>349</v>
      </c>
      <c r="M2206" s="3" t="s">
        <v>1851</v>
      </c>
    </row>
    <row r="2207" spans="1:13" hidden="1" x14ac:dyDescent="0.25">
      <c r="A2207" s="1" t="str">
        <f>VLOOKUP(Table2[[#This Row],[Prod Line ]],Lists!A:E,5,0)</f>
        <v>c</v>
      </c>
      <c r="B2207" s="1">
        <v>44522</v>
      </c>
      <c r="C2207" s="1">
        <v>44520</v>
      </c>
      <c r="D2207" s="1" t="s">
        <v>60</v>
      </c>
      <c r="E2207" s="2" t="s">
        <v>405</v>
      </c>
      <c r="F2207" s="1"/>
      <c r="G2207" s="2">
        <v>1</v>
      </c>
      <c r="H2207" s="1"/>
      <c r="I2207" t="s">
        <v>1</v>
      </c>
      <c r="J2207" t="s">
        <v>64</v>
      </c>
      <c r="K2207" t="s">
        <v>381</v>
      </c>
      <c r="L2207" t="s">
        <v>407</v>
      </c>
      <c r="M2207" s="3" t="s">
        <v>1873</v>
      </c>
    </row>
    <row r="2208" spans="1:13" hidden="1" x14ac:dyDescent="0.25">
      <c r="A2208" s="1" t="str">
        <f>VLOOKUP(Table2[[#This Row],[Prod Line ]],Lists!A:E,5,0)</f>
        <v>d</v>
      </c>
      <c r="B2208" s="1">
        <v>44522</v>
      </c>
      <c r="C2208" s="1">
        <v>44520</v>
      </c>
      <c r="D2208" s="1" t="s">
        <v>62</v>
      </c>
      <c r="E2208" s="2" t="s">
        <v>404</v>
      </c>
      <c r="F2208" s="1"/>
      <c r="G2208" s="2">
        <v>48</v>
      </c>
      <c r="H2208" s="1"/>
      <c r="I2208" t="s">
        <v>1</v>
      </c>
      <c r="J2208" t="s">
        <v>5</v>
      </c>
      <c r="K2208" t="s">
        <v>397</v>
      </c>
      <c r="L2208" t="s">
        <v>407</v>
      </c>
      <c r="M2208" s="3" t="s">
        <v>1874</v>
      </c>
    </row>
    <row r="2209" spans="1:13" hidden="1" x14ac:dyDescent="0.25">
      <c r="A2209" s="1" t="str">
        <f>VLOOKUP(Table2[[#This Row],[Prod Line ]],Lists!A:E,5,0)</f>
        <v>d</v>
      </c>
      <c r="B2209" s="1">
        <v>44522</v>
      </c>
      <c r="C2209" s="1">
        <v>44520</v>
      </c>
      <c r="D2209" s="1" t="s">
        <v>62</v>
      </c>
      <c r="E2209" s="2" t="s">
        <v>404</v>
      </c>
      <c r="F2209" s="1"/>
      <c r="G2209" s="2">
        <v>20</v>
      </c>
      <c r="H2209" s="1"/>
      <c r="I2209" t="s">
        <v>1</v>
      </c>
      <c r="J2209" t="s">
        <v>2</v>
      </c>
      <c r="K2209" t="s">
        <v>19</v>
      </c>
      <c r="L2209" t="s">
        <v>349</v>
      </c>
      <c r="M2209" s="3" t="s">
        <v>575</v>
      </c>
    </row>
    <row r="2210" spans="1:13" hidden="1" x14ac:dyDescent="0.25">
      <c r="A2210" s="1" t="str">
        <f>VLOOKUP(Table2[[#This Row],[Prod Line ]],Lists!A:E,5,0)</f>
        <v>d</v>
      </c>
      <c r="B2210" s="1">
        <v>44522</v>
      </c>
      <c r="C2210" s="1">
        <v>44520</v>
      </c>
      <c r="D2210" s="1" t="s">
        <v>62</v>
      </c>
      <c r="E2210" s="2" t="s">
        <v>404</v>
      </c>
      <c r="F2210" s="1"/>
      <c r="G2210" s="2">
        <v>5</v>
      </c>
      <c r="H2210" s="1"/>
      <c r="I2210" t="s">
        <v>1</v>
      </c>
      <c r="J2210" t="s">
        <v>5</v>
      </c>
      <c r="K2210" t="s">
        <v>397</v>
      </c>
      <c r="L2210" t="s">
        <v>407</v>
      </c>
      <c r="M2210" s="3" t="s">
        <v>1875</v>
      </c>
    </row>
    <row r="2211" spans="1:13" hidden="1" x14ac:dyDescent="0.25">
      <c r="A2211" s="1" t="str">
        <f>VLOOKUP(Table2[[#This Row],[Prod Line ]],Lists!A:E,5,0)</f>
        <v>d</v>
      </c>
      <c r="B2211" s="1">
        <v>44522</v>
      </c>
      <c r="C2211" s="1">
        <v>44521</v>
      </c>
      <c r="D2211" s="1" t="s">
        <v>62</v>
      </c>
      <c r="E2211" s="2" t="s">
        <v>406</v>
      </c>
      <c r="F2211" s="1"/>
      <c r="G2211" s="2">
        <v>20</v>
      </c>
      <c r="H2211" s="1"/>
      <c r="I2211" t="s">
        <v>0</v>
      </c>
      <c r="J2211" t="s">
        <v>2</v>
      </c>
      <c r="K2211" t="s">
        <v>19</v>
      </c>
      <c r="L2211" t="s">
        <v>70</v>
      </c>
      <c r="M2211" s="3" t="s">
        <v>1876</v>
      </c>
    </row>
    <row r="2212" spans="1:13" hidden="1" x14ac:dyDescent="0.25">
      <c r="A2212" s="1" t="str">
        <f>VLOOKUP(Table2[[#This Row],[Prod Line ]],Lists!A:E,5,0)</f>
        <v>c</v>
      </c>
      <c r="B2212" s="1">
        <v>44523</v>
      </c>
      <c r="C2212" s="1">
        <v>44521</v>
      </c>
      <c r="D2212" s="1" t="s">
        <v>60</v>
      </c>
      <c r="E2212" s="2" t="s">
        <v>404</v>
      </c>
      <c r="F2212" s="1"/>
      <c r="G2212" s="2">
        <v>15</v>
      </c>
      <c r="H2212" s="1"/>
      <c r="I2212" t="s">
        <v>1</v>
      </c>
      <c r="J2212" t="s">
        <v>2</v>
      </c>
      <c r="K2212" t="s">
        <v>378</v>
      </c>
      <c r="L2212" t="s">
        <v>349</v>
      </c>
      <c r="M2212" s="3" t="s">
        <v>1877</v>
      </c>
    </row>
    <row r="2213" spans="1:13" hidden="1" x14ac:dyDescent="0.25">
      <c r="A2213" s="1" t="str">
        <f>VLOOKUP(Table2[[#This Row],[Prod Line ]],Lists!A:E,5,0)</f>
        <v>c</v>
      </c>
      <c r="B2213" s="1">
        <v>44523</v>
      </c>
      <c r="C2213" s="1">
        <v>44521</v>
      </c>
      <c r="D2213" s="1" t="s">
        <v>60</v>
      </c>
      <c r="E2213" s="2" t="s">
        <v>404</v>
      </c>
      <c r="F2213" s="1"/>
      <c r="G2213" s="2">
        <v>5</v>
      </c>
      <c r="H2213" s="1"/>
      <c r="I2213" t="s">
        <v>0</v>
      </c>
      <c r="J2213" t="s">
        <v>64</v>
      </c>
      <c r="K2213" t="s">
        <v>381</v>
      </c>
      <c r="L2213" t="s">
        <v>70</v>
      </c>
      <c r="M2213" s="3" t="s">
        <v>1878</v>
      </c>
    </row>
    <row r="2214" spans="1:13" hidden="1" x14ac:dyDescent="0.25">
      <c r="A2214" s="1" t="str">
        <f>VLOOKUP(Table2[[#This Row],[Prod Line ]],Lists!A:E,5,0)</f>
        <v>d</v>
      </c>
      <c r="B2214" s="1">
        <v>44523</v>
      </c>
      <c r="C2214" s="1">
        <v>44521</v>
      </c>
      <c r="D2214" s="1" t="s">
        <v>62</v>
      </c>
      <c r="E2214" s="2" t="s">
        <v>404</v>
      </c>
      <c r="F2214" s="1"/>
      <c r="G2214" s="2">
        <v>10</v>
      </c>
      <c r="H2214" s="1"/>
      <c r="I2214" t="s">
        <v>1</v>
      </c>
      <c r="J2214" t="s">
        <v>2</v>
      </c>
      <c r="K2214" t="s">
        <v>19</v>
      </c>
      <c r="L2214" t="s">
        <v>349</v>
      </c>
      <c r="M2214" s="3" t="s">
        <v>575</v>
      </c>
    </row>
    <row r="2215" spans="1:13" hidden="1" x14ac:dyDescent="0.25">
      <c r="A2215" s="1" t="str">
        <f>VLOOKUP(Table2[[#This Row],[Prod Line ]],Lists!A:E,5,0)</f>
        <v>d</v>
      </c>
      <c r="B2215" s="1">
        <v>44523</v>
      </c>
      <c r="C2215" s="1">
        <v>44521</v>
      </c>
      <c r="D2215" s="1" t="s">
        <v>62</v>
      </c>
      <c r="E2215" s="2" t="s">
        <v>405</v>
      </c>
      <c r="F2215" s="1"/>
      <c r="G2215" s="2">
        <v>20</v>
      </c>
      <c r="H2215" s="1"/>
      <c r="I2215" t="s">
        <v>1</v>
      </c>
      <c r="J2215" t="s">
        <v>5</v>
      </c>
      <c r="K2215" t="s">
        <v>397</v>
      </c>
      <c r="L2215" t="s">
        <v>407</v>
      </c>
      <c r="M2215" s="3" t="s">
        <v>1879</v>
      </c>
    </row>
    <row r="2216" spans="1:13" hidden="1" x14ac:dyDescent="0.25">
      <c r="A2216" s="1" t="str">
        <f>VLOOKUP(Table2[[#This Row],[Prod Line ]],Lists!A:E,5,0)</f>
        <v>d</v>
      </c>
      <c r="B2216" s="1">
        <v>44523</v>
      </c>
      <c r="C2216" s="1">
        <v>44521</v>
      </c>
      <c r="D2216" s="1" t="s">
        <v>62</v>
      </c>
      <c r="E2216" s="2" t="s">
        <v>405</v>
      </c>
      <c r="F2216" s="1"/>
      <c r="G2216" s="2">
        <v>10</v>
      </c>
      <c r="H2216" s="1"/>
      <c r="I2216" t="s">
        <v>1</v>
      </c>
      <c r="J2216" t="s">
        <v>2</v>
      </c>
      <c r="K2216" t="s">
        <v>19</v>
      </c>
      <c r="L2216" t="s">
        <v>407</v>
      </c>
      <c r="M2216" s="3" t="s">
        <v>1797</v>
      </c>
    </row>
    <row r="2217" spans="1:13" hidden="1" x14ac:dyDescent="0.25">
      <c r="A2217" s="1" t="str">
        <f>VLOOKUP(Table2[[#This Row],[Prod Line ]],Lists!A:E,5,0)</f>
        <v>b</v>
      </c>
      <c r="B2217" s="1">
        <v>44524</v>
      </c>
      <c r="C2217" s="1">
        <v>44522</v>
      </c>
      <c r="D2217" s="1" t="s">
        <v>58</v>
      </c>
      <c r="E2217" s="2" t="s">
        <v>406</v>
      </c>
      <c r="F2217" s="1"/>
      <c r="G2217" s="2">
        <v>8</v>
      </c>
      <c r="H2217" s="1"/>
      <c r="I2217" t="s">
        <v>0</v>
      </c>
      <c r="J2217" t="s">
        <v>26</v>
      </c>
      <c r="K2217" t="s">
        <v>26</v>
      </c>
      <c r="L2217" t="s">
        <v>70</v>
      </c>
      <c r="M2217" s="3" t="s">
        <v>1880</v>
      </c>
    </row>
    <row r="2218" spans="1:13" hidden="1" x14ac:dyDescent="0.25">
      <c r="A2218" s="1" t="str">
        <f>VLOOKUP(Table2[[#This Row],[Prod Line ]],Lists!A:E,5,0)</f>
        <v>b</v>
      </c>
      <c r="B2218" s="1">
        <v>44524</v>
      </c>
      <c r="C2218" s="1">
        <v>44522</v>
      </c>
      <c r="D2218" s="1" t="s">
        <v>58</v>
      </c>
      <c r="E2218" s="2" t="s">
        <v>406</v>
      </c>
      <c r="F2218" s="1"/>
      <c r="G2218" s="2">
        <v>25</v>
      </c>
      <c r="H2218" s="1"/>
      <c r="I2218" t="s">
        <v>1</v>
      </c>
      <c r="J2218" t="s">
        <v>26</v>
      </c>
      <c r="K2218" t="s">
        <v>26</v>
      </c>
      <c r="L2218" t="s">
        <v>441</v>
      </c>
      <c r="M2218" s="3" t="s">
        <v>1881</v>
      </c>
    </row>
    <row r="2219" spans="1:13" hidden="1" x14ac:dyDescent="0.25">
      <c r="A2219" s="1" t="str">
        <f>VLOOKUP(Table2[[#This Row],[Prod Line ]],Lists!A:E,5,0)</f>
        <v>b</v>
      </c>
      <c r="B2219" s="1">
        <v>44524</v>
      </c>
      <c r="C2219" s="1">
        <v>44522</v>
      </c>
      <c r="D2219" s="1" t="s">
        <v>58</v>
      </c>
      <c r="E2219" s="2" t="s">
        <v>406</v>
      </c>
      <c r="F2219" s="1"/>
      <c r="G2219" s="2">
        <v>17</v>
      </c>
      <c r="H2219" s="1"/>
      <c r="I2219" t="s">
        <v>0</v>
      </c>
      <c r="J2219" t="s">
        <v>26</v>
      </c>
      <c r="K2219" t="s">
        <v>26</v>
      </c>
      <c r="L2219" t="s">
        <v>69</v>
      </c>
      <c r="M2219" s="3" t="s">
        <v>1882</v>
      </c>
    </row>
    <row r="2220" spans="1:13" hidden="1" x14ac:dyDescent="0.25">
      <c r="A2220" s="1" t="str">
        <f>VLOOKUP(Table2[[#This Row],[Prod Line ]],Lists!A:E,5,0)</f>
        <v>a</v>
      </c>
      <c r="B2220" s="1">
        <v>44524</v>
      </c>
      <c r="C2220" s="1">
        <v>44522</v>
      </c>
      <c r="D2220" s="1" t="s">
        <v>56</v>
      </c>
      <c r="E2220" s="2" t="s">
        <v>404</v>
      </c>
      <c r="F2220" s="1"/>
      <c r="G2220" s="2">
        <v>29</v>
      </c>
      <c r="H2220" s="1"/>
      <c r="I2220" t="s">
        <v>0</v>
      </c>
      <c r="J2220" t="s">
        <v>2</v>
      </c>
      <c r="K2220" t="s">
        <v>19</v>
      </c>
      <c r="L2220" t="s">
        <v>70</v>
      </c>
      <c r="M2220" s="3" t="s">
        <v>1529</v>
      </c>
    </row>
    <row r="2221" spans="1:13" hidden="1" x14ac:dyDescent="0.25">
      <c r="A2221" s="1" t="str">
        <f>VLOOKUP(Table2[[#This Row],[Prod Line ]],Lists!A:E,5,0)</f>
        <v>a</v>
      </c>
      <c r="B2221" s="1">
        <v>44524</v>
      </c>
      <c r="C2221" s="1">
        <v>44522</v>
      </c>
      <c r="D2221" s="1" t="s">
        <v>56</v>
      </c>
      <c r="E2221" s="2" t="s">
        <v>404</v>
      </c>
      <c r="F2221" s="1"/>
      <c r="G2221" s="2">
        <v>6</v>
      </c>
      <c r="H2221" s="1"/>
      <c r="I2221" t="s">
        <v>0</v>
      </c>
      <c r="J2221" t="s">
        <v>64</v>
      </c>
      <c r="K2221" t="s">
        <v>371</v>
      </c>
      <c r="L2221" t="s">
        <v>70</v>
      </c>
      <c r="M2221" s="3" t="s">
        <v>540</v>
      </c>
    </row>
    <row r="2222" spans="1:13" hidden="1" x14ac:dyDescent="0.25">
      <c r="A2222" s="1" t="str">
        <f>VLOOKUP(Table2[[#This Row],[Prod Line ]],Lists!A:E,5,0)</f>
        <v>a</v>
      </c>
      <c r="B2222" s="1">
        <v>44524</v>
      </c>
      <c r="C2222" s="1">
        <v>44522</v>
      </c>
      <c r="D2222" s="1" t="s">
        <v>56</v>
      </c>
      <c r="E2222" s="2" t="s">
        <v>405</v>
      </c>
      <c r="F2222" s="1"/>
      <c r="G2222" s="2">
        <v>50</v>
      </c>
      <c r="H2222" s="1"/>
      <c r="I2222" t="s">
        <v>0</v>
      </c>
      <c r="J2222" t="s">
        <v>65</v>
      </c>
      <c r="K2222" t="s">
        <v>3</v>
      </c>
      <c r="L2222" t="s">
        <v>70</v>
      </c>
      <c r="M2222" s="3" t="s">
        <v>959</v>
      </c>
    </row>
    <row r="2223" spans="1:13" hidden="1" x14ac:dyDescent="0.25">
      <c r="A2223" s="1" t="str">
        <f>VLOOKUP(Table2[[#This Row],[Prod Line ]],Lists!A:E,5,0)</f>
        <v>a</v>
      </c>
      <c r="B2223" s="1">
        <v>44524</v>
      </c>
      <c r="C2223" s="1">
        <v>44522</v>
      </c>
      <c r="D2223" s="1" t="s">
        <v>56</v>
      </c>
      <c r="E2223" s="2" t="s">
        <v>405</v>
      </c>
      <c r="F2223" s="1"/>
      <c r="G2223" s="2">
        <v>18</v>
      </c>
      <c r="H2223" s="1"/>
      <c r="I2223" t="s">
        <v>1</v>
      </c>
      <c r="J2223" t="s">
        <v>64</v>
      </c>
      <c r="K2223" t="s">
        <v>370</v>
      </c>
      <c r="L2223" t="s">
        <v>72</v>
      </c>
      <c r="M2223" s="3" t="s">
        <v>1573</v>
      </c>
    </row>
    <row r="2224" spans="1:13" hidden="1" x14ac:dyDescent="0.25">
      <c r="A2224" s="1" t="str">
        <f>VLOOKUP(Table2[[#This Row],[Prod Line ]],Lists!A:E,5,0)</f>
        <v>c</v>
      </c>
      <c r="B2224" s="1">
        <v>44524</v>
      </c>
      <c r="C2224" s="1">
        <v>44522</v>
      </c>
      <c r="D2224" s="1" t="s">
        <v>60</v>
      </c>
      <c r="E2224" s="2" t="s">
        <v>404</v>
      </c>
      <c r="F2224" s="1"/>
      <c r="G2224" s="2">
        <v>15</v>
      </c>
      <c r="H2224" s="1"/>
      <c r="I2224" t="s">
        <v>0</v>
      </c>
      <c r="J2224" t="s">
        <v>64</v>
      </c>
      <c r="K2224" t="s">
        <v>381</v>
      </c>
      <c r="L2224" t="s">
        <v>70</v>
      </c>
      <c r="M2224" s="3" t="s">
        <v>1883</v>
      </c>
    </row>
    <row r="2225" spans="1:13" hidden="1" x14ac:dyDescent="0.25">
      <c r="A2225" s="1" t="str">
        <f>VLOOKUP(Table2[[#This Row],[Prod Line ]],Lists!A:E,5,0)</f>
        <v>d</v>
      </c>
      <c r="B2225" s="1">
        <v>44527</v>
      </c>
      <c r="C2225" s="1">
        <v>44524</v>
      </c>
      <c r="D2225" s="1" t="s">
        <v>62</v>
      </c>
      <c r="E2225" s="2" t="s">
        <v>406</v>
      </c>
      <c r="F2225" s="1"/>
      <c r="G2225" s="2">
        <v>11</v>
      </c>
      <c r="H2225" s="1"/>
      <c r="I2225" t="s">
        <v>1</v>
      </c>
      <c r="J2225" t="s">
        <v>64</v>
      </c>
      <c r="K2225" t="s">
        <v>379</v>
      </c>
      <c r="L2225" t="s">
        <v>407</v>
      </c>
      <c r="M2225" s="3" t="s">
        <v>1884</v>
      </c>
    </row>
    <row r="2226" spans="1:13" hidden="1" x14ac:dyDescent="0.25">
      <c r="A2226" s="1" t="str">
        <f>VLOOKUP(Table2[[#This Row],[Prod Line ]],Lists!A:E,5,0)</f>
        <v>b</v>
      </c>
      <c r="B2226" s="1">
        <v>44529</v>
      </c>
      <c r="C2226" s="1">
        <v>44527</v>
      </c>
      <c r="D2226" s="1" t="s">
        <v>58</v>
      </c>
      <c r="E2226" s="2" t="s">
        <v>404</v>
      </c>
      <c r="F2226" s="1"/>
      <c r="G2226" s="2">
        <v>5</v>
      </c>
      <c r="H2226" s="1"/>
      <c r="I2226" t="s">
        <v>1</v>
      </c>
      <c r="J2226" t="s">
        <v>26</v>
      </c>
      <c r="K2226" t="s">
        <v>25</v>
      </c>
      <c r="L2226" t="s">
        <v>441</v>
      </c>
      <c r="M2226" s="3" t="s">
        <v>1885</v>
      </c>
    </row>
    <row r="2227" spans="1:13" hidden="1" x14ac:dyDescent="0.25">
      <c r="A2227" s="1" t="str">
        <f>VLOOKUP(Table2[[#This Row],[Prod Line ]],Lists!A:E,5,0)</f>
        <v>a</v>
      </c>
      <c r="B2227" s="1">
        <v>44529</v>
      </c>
      <c r="C2227" s="1">
        <v>44527</v>
      </c>
      <c r="D2227" s="1" t="s">
        <v>56</v>
      </c>
      <c r="E2227" s="2" t="s">
        <v>404</v>
      </c>
      <c r="F2227" s="1"/>
      <c r="G2227" s="2">
        <v>7</v>
      </c>
      <c r="H2227" s="1"/>
      <c r="I2227" t="s">
        <v>1</v>
      </c>
      <c r="J2227" t="s">
        <v>64</v>
      </c>
      <c r="K2227" t="s">
        <v>369</v>
      </c>
      <c r="L2227" t="s">
        <v>407</v>
      </c>
      <c r="M2227" s="3" t="s">
        <v>750</v>
      </c>
    </row>
    <row r="2228" spans="1:13" hidden="1" x14ac:dyDescent="0.25">
      <c r="A2228" s="1" t="str">
        <f>VLOOKUP(Table2[[#This Row],[Prod Line ]],Lists!A:E,5,0)</f>
        <v>a</v>
      </c>
      <c r="B2228" s="1">
        <v>44529</v>
      </c>
      <c r="C2228" s="1">
        <v>44527</v>
      </c>
      <c r="D2228" s="1" t="s">
        <v>56</v>
      </c>
      <c r="E2228" s="2" t="s">
        <v>405</v>
      </c>
      <c r="F2228" s="1"/>
      <c r="G2228" s="2">
        <v>15</v>
      </c>
      <c r="H2228" s="1"/>
      <c r="I2228" t="s">
        <v>1</v>
      </c>
      <c r="J2228" t="s">
        <v>64</v>
      </c>
      <c r="K2228" t="s">
        <v>371</v>
      </c>
      <c r="L2228" t="s">
        <v>441</v>
      </c>
      <c r="M2228" s="3" t="s">
        <v>1886</v>
      </c>
    </row>
    <row r="2229" spans="1:13" hidden="1" x14ac:dyDescent="0.25">
      <c r="A2229" s="1" t="str">
        <f>VLOOKUP(Table2[[#This Row],[Prod Line ]],Lists!A:E,5,0)</f>
        <v>a</v>
      </c>
      <c r="B2229" s="1">
        <v>44529</v>
      </c>
      <c r="C2229" s="1">
        <v>44527</v>
      </c>
      <c r="D2229" s="1" t="s">
        <v>56</v>
      </c>
      <c r="E2229" s="2" t="s">
        <v>405</v>
      </c>
      <c r="F2229" s="1"/>
      <c r="G2229" s="2">
        <v>35</v>
      </c>
      <c r="H2229" s="1"/>
      <c r="I2229" t="s">
        <v>1</v>
      </c>
      <c r="J2229" t="s">
        <v>64</v>
      </c>
      <c r="K2229" t="s">
        <v>370</v>
      </c>
      <c r="L2229" t="s">
        <v>407</v>
      </c>
      <c r="M2229" s="3" t="s">
        <v>1615</v>
      </c>
    </row>
    <row r="2230" spans="1:13" hidden="1" x14ac:dyDescent="0.25">
      <c r="A2230" s="1" t="str">
        <f>VLOOKUP(Table2[[#This Row],[Prod Line ]],Lists!A:E,5,0)</f>
        <v>a</v>
      </c>
      <c r="B2230" s="1">
        <v>44529</v>
      </c>
      <c r="C2230" s="1">
        <v>44527</v>
      </c>
      <c r="D2230" s="1" t="s">
        <v>56</v>
      </c>
      <c r="E2230" s="2" t="s">
        <v>405</v>
      </c>
      <c r="F2230" s="1"/>
      <c r="G2230" s="2">
        <v>5</v>
      </c>
      <c r="H2230" s="1"/>
      <c r="I2230" t="s">
        <v>1</v>
      </c>
      <c r="J2230" t="s">
        <v>64</v>
      </c>
      <c r="K2230" t="s">
        <v>371</v>
      </c>
      <c r="L2230" t="s">
        <v>350</v>
      </c>
      <c r="M2230" s="3" t="s">
        <v>540</v>
      </c>
    </row>
    <row r="2231" spans="1:13" hidden="1" x14ac:dyDescent="0.25">
      <c r="A2231" s="1" t="str">
        <f>VLOOKUP(Table2[[#This Row],[Prod Line ]],Lists!A:E,5,0)</f>
        <v>a</v>
      </c>
      <c r="B2231" s="1">
        <v>44529</v>
      </c>
      <c r="C2231" s="1">
        <v>44527</v>
      </c>
      <c r="D2231" s="1" t="s">
        <v>56</v>
      </c>
      <c r="E2231" s="2" t="s">
        <v>405</v>
      </c>
      <c r="F2231" s="1"/>
      <c r="G2231" s="2">
        <v>5</v>
      </c>
      <c r="H2231" s="1"/>
      <c r="I2231" t="s">
        <v>0</v>
      </c>
      <c r="J2231" t="s">
        <v>65</v>
      </c>
      <c r="K2231" t="s">
        <v>27</v>
      </c>
      <c r="L2231" t="s">
        <v>70</v>
      </c>
      <c r="M2231" s="3" t="s">
        <v>1887</v>
      </c>
    </row>
    <row r="2232" spans="1:13" hidden="1" x14ac:dyDescent="0.25">
      <c r="A2232" s="1" t="str">
        <f>VLOOKUP(Table2[[#This Row],[Prod Line ]],Lists!A:E,5,0)</f>
        <v>a</v>
      </c>
      <c r="B2232" s="1">
        <v>44529</v>
      </c>
      <c r="C2232" s="1">
        <v>44528</v>
      </c>
      <c r="D2232" s="1" t="s">
        <v>56</v>
      </c>
      <c r="E2232" s="2" t="s">
        <v>404</v>
      </c>
      <c r="F2232" s="1"/>
      <c r="G2232" s="2">
        <v>8</v>
      </c>
      <c r="H2232" s="1"/>
      <c r="I2232" t="s">
        <v>0</v>
      </c>
      <c r="J2232" t="s">
        <v>65</v>
      </c>
      <c r="K2232" t="s">
        <v>372</v>
      </c>
      <c r="L2232" t="s">
        <v>70</v>
      </c>
      <c r="M2232" s="3" t="s">
        <v>1080</v>
      </c>
    </row>
    <row r="2233" spans="1:13" hidden="1" x14ac:dyDescent="0.25">
      <c r="A2233" s="1" t="str">
        <f>VLOOKUP(Table2[[#This Row],[Prod Line ]],Lists!A:E,5,0)</f>
        <v>a</v>
      </c>
      <c r="B2233" s="1">
        <v>44529</v>
      </c>
      <c r="C2233" s="1">
        <v>44528</v>
      </c>
      <c r="D2233" s="1" t="s">
        <v>56</v>
      </c>
      <c r="E2233" s="2" t="s">
        <v>404</v>
      </c>
      <c r="F2233" s="1"/>
      <c r="G2233" s="2">
        <v>4</v>
      </c>
      <c r="H2233" s="1"/>
      <c r="I2233" t="s">
        <v>1</v>
      </c>
      <c r="J2233" t="s">
        <v>64</v>
      </c>
      <c r="K2233" t="s">
        <v>370</v>
      </c>
      <c r="L2233" t="s">
        <v>407</v>
      </c>
      <c r="M2233" s="3" t="s">
        <v>1888</v>
      </c>
    </row>
    <row r="2234" spans="1:13" hidden="1" x14ac:dyDescent="0.25">
      <c r="A2234" s="1" t="str">
        <f>VLOOKUP(Table2[[#This Row],[Prod Line ]],Lists!A:E,5,0)</f>
        <v>c</v>
      </c>
      <c r="B2234" s="1">
        <v>44530</v>
      </c>
      <c r="C2234" s="1">
        <v>44528</v>
      </c>
      <c r="D2234" s="1" t="s">
        <v>60</v>
      </c>
      <c r="E2234" s="2" t="s">
        <v>404</v>
      </c>
      <c r="F2234" s="1"/>
      <c r="G2234" s="2">
        <v>20</v>
      </c>
      <c r="H2234" s="1"/>
      <c r="I2234" t="s">
        <v>1</v>
      </c>
      <c r="J2234" t="s">
        <v>2</v>
      </c>
      <c r="K2234" t="s">
        <v>378</v>
      </c>
      <c r="L2234" t="s">
        <v>349</v>
      </c>
      <c r="M2234" s="3" t="s">
        <v>575</v>
      </c>
    </row>
    <row r="2235" spans="1:13" hidden="1" x14ac:dyDescent="0.25">
      <c r="A2235" s="1" t="str">
        <f>VLOOKUP(Table2[[#This Row],[Prod Line ]],Lists!A:E,5,0)</f>
        <v>c</v>
      </c>
      <c r="B2235" s="1">
        <v>44530</v>
      </c>
      <c r="C2235" s="1">
        <v>44528</v>
      </c>
      <c r="D2235" s="1" t="s">
        <v>60</v>
      </c>
      <c r="E2235" s="2" t="s">
        <v>404</v>
      </c>
      <c r="F2235" s="1"/>
      <c r="G2235" s="2">
        <v>18</v>
      </c>
      <c r="H2235" s="1"/>
      <c r="I2235" t="s">
        <v>1</v>
      </c>
      <c r="J2235" t="s">
        <v>64</v>
      </c>
      <c r="K2235" t="s">
        <v>381</v>
      </c>
      <c r="L2235" t="s">
        <v>407</v>
      </c>
      <c r="M2235" s="3" t="s">
        <v>1889</v>
      </c>
    </row>
    <row r="2236" spans="1:13" hidden="1" x14ac:dyDescent="0.25">
      <c r="A2236" s="1" t="str">
        <f>VLOOKUP(Table2[[#This Row],[Prod Line ]],Lists!A:E,5,0)</f>
        <v>b</v>
      </c>
      <c r="B2236" s="1">
        <v>44530</v>
      </c>
      <c r="C2236" s="1">
        <v>44528</v>
      </c>
      <c r="D2236" s="1" t="s">
        <v>58</v>
      </c>
      <c r="E2236" s="2" t="s">
        <v>405</v>
      </c>
      <c r="F2236" s="1"/>
      <c r="G2236" s="2">
        <v>10</v>
      </c>
      <c r="H2236" s="1"/>
      <c r="I2236" t="s">
        <v>0</v>
      </c>
      <c r="J2236" t="s">
        <v>5</v>
      </c>
      <c r="K2236" t="s">
        <v>36</v>
      </c>
      <c r="L2236" t="s">
        <v>70</v>
      </c>
      <c r="M2236" s="3" t="s">
        <v>1890</v>
      </c>
    </row>
    <row r="2237" spans="1:13" hidden="1" x14ac:dyDescent="0.25">
      <c r="A2237" s="1" t="str">
        <f>VLOOKUP(Table2[[#This Row],[Prod Line ]],Lists!A:E,5,0)</f>
        <v>d</v>
      </c>
      <c r="B2237" s="1">
        <v>44530</v>
      </c>
      <c r="C2237" s="1">
        <v>44529</v>
      </c>
      <c r="D2237" s="1" t="s">
        <v>62</v>
      </c>
      <c r="E2237" s="2" t="s">
        <v>406</v>
      </c>
      <c r="F2237" s="1"/>
      <c r="G2237" s="2">
        <v>20</v>
      </c>
      <c r="H2237" s="1"/>
      <c r="I2237" t="s">
        <v>0</v>
      </c>
      <c r="J2237" t="s">
        <v>5</v>
      </c>
      <c r="K2237" t="s">
        <v>397</v>
      </c>
      <c r="L2237" t="s">
        <v>70</v>
      </c>
      <c r="M2237" s="3" t="s">
        <v>1891</v>
      </c>
    </row>
    <row r="2238" spans="1:13" hidden="1" x14ac:dyDescent="0.25">
      <c r="A2238" s="1" t="str">
        <f>VLOOKUP(Table2[[#This Row],[Prod Line ]],Lists!A:E,5,0)</f>
        <v>c</v>
      </c>
      <c r="B2238" s="1">
        <v>44530</v>
      </c>
      <c r="C2238" s="1">
        <v>44529</v>
      </c>
      <c r="D2238" s="1" t="s">
        <v>60</v>
      </c>
      <c r="E2238" s="2" t="s">
        <v>404</v>
      </c>
      <c r="F2238" s="1"/>
      <c r="G2238" s="2">
        <v>26</v>
      </c>
      <c r="H2238" s="1"/>
      <c r="I2238" t="s">
        <v>0</v>
      </c>
      <c r="J2238" t="s">
        <v>2</v>
      </c>
      <c r="K2238" t="s">
        <v>14</v>
      </c>
      <c r="L2238" t="s">
        <v>70</v>
      </c>
      <c r="M2238" s="3" t="s">
        <v>1461</v>
      </c>
    </row>
    <row r="2239" spans="1:13" hidden="1" x14ac:dyDescent="0.25">
      <c r="A2239" s="1" t="str">
        <f>VLOOKUP(Table2[[#This Row],[Prod Line ]],Lists!A:E,5,0)</f>
        <v>a</v>
      </c>
      <c r="B2239" s="1">
        <v>44530</v>
      </c>
      <c r="C2239" s="1">
        <v>44529</v>
      </c>
      <c r="D2239" s="1" t="s">
        <v>56</v>
      </c>
      <c r="E2239" s="2" t="s">
        <v>404</v>
      </c>
      <c r="F2239" s="1"/>
      <c r="G2239" s="2">
        <v>10</v>
      </c>
      <c r="H2239" s="1"/>
      <c r="I2239" t="s">
        <v>0</v>
      </c>
      <c r="J2239" t="s">
        <v>2</v>
      </c>
      <c r="K2239" t="s">
        <v>14</v>
      </c>
      <c r="L2239" t="s">
        <v>70</v>
      </c>
      <c r="M2239" s="3" t="s">
        <v>1461</v>
      </c>
    </row>
    <row r="2240" spans="1:13" hidden="1" x14ac:dyDescent="0.25">
      <c r="A2240" s="1" t="str">
        <f>VLOOKUP(Table2[[#This Row],[Prod Line ]],Lists!A:E,5,0)</f>
        <v>a</v>
      </c>
      <c r="B2240" s="1">
        <v>44530</v>
      </c>
      <c r="C2240" s="1">
        <v>44529</v>
      </c>
      <c r="D2240" s="1" t="s">
        <v>56</v>
      </c>
      <c r="E2240" s="2" t="s">
        <v>404</v>
      </c>
      <c r="F2240" s="1"/>
      <c r="G2240" s="2">
        <v>8</v>
      </c>
      <c r="H2240" s="1"/>
      <c r="I2240" t="s">
        <v>0</v>
      </c>
      <c r="J2240" t="s">
        <v>65</v>
      </c>
      <c r="K2240" t="s">
        <v>372</v>
      </c>
      <c r="L2240" t="s">
        <v>70</v>
      </c>
      <c r="M2240" s="3" t="s">
        <v>1080</v>
      </c>
    </row>
    <row r="2241" spans="1:13" hidden="1" x14ac:dyDescent="0.25">
      <c r="A2241" s="1" t="str">
        <f>VLOOKUP(Table2[[#This Row],[Prod Line ]],Lists!A:E,5,0)</f>
        <v>a</v>
      </c>
      <c r="B2241" s="1">
        <v>44532</v>
      </c>
      <c r="C2241" s="1">
        <v>44530</v>
      </c>
      <c r="D2241" s="1" t="s">
        <v>56</v>
      </c>
      <c r="E2241" s="2" t="s">
        <v>404</v>
      </c>
      <c r="F2241" s="1"/>
      <c r="G2241" s="2">
        <v>8</v>
      </c>
      <c r="H2241" s="1"/>
      <c r="I2241" t="s">
        <v>0</v>
      </c>
      <c r="J2241" t="s">
        <v>64</v>
      </c>
      <c r="K2241" t="s">
        <v>367</v>
      </c>
      <c r="L2241" t="s">
        <v>70</v>
      </c>
      <c r="M2241" s="3" t="s">
        <v>1892</v>
      </c>
    </row>
    <row r="2242" spans="1:13" hidden="1" x14ac:dyDescent="0.25">
      <c r="A2242" s="1" t="str">
        <f>VLOOKUP(Table2[[#This Row],[Prod Line ]],Lists!A:E,5,0)</f>
        <v>b</v>
      </c>
      <c r="B2242" s="1">
        <v>44532</v>
      </c>
      <c r="C2242" s="1">
        <v>44530</v>
      </c>
      <c r="D2242" s="1" t="s">
        <v>58</v>
      </c>
      <c r="E2242" s="2" t="s">
        <v>406</v>
      </c>
      <c r="F2242" s="1"/>
      <c r="G2242" s="2">
        <v>64</v>
      </c>
      <c r="H2242" s="1"/>
      <c r="I2242" t="s">
        <v>0</v>
      </c>
      <c r="J2242" t="s">
        <v>2</v>
      </c>
      <c r="K2242" t="s">
        <v>16</v>
      </c>
      <c r="L2242" t="s">
        <v>70</v>
      </c>
      <c r="M2242" s="3" t="s">
        <v>1893</v>
      </c>
    </row>
    <row r="2243" spans="1:13" hidden="1" x14ac:dyDescent="0.25">
      <c r="A2243" s="1" t="str">
        <f>VLOOKUP(Table2[[#This Row],[Prod Line ]],Lists!A:E,5,0)</f>
        <v>b</v>
      </c>
      <c r="B2243" s="1">
        <v>44532</v>
      </c>
      <c r="C2243" s="1">
        <v>44530</v>
      </c>
      <c r="D2243" s="1" t="s">
        <v>58</v>
      </c>
      <c r="E2243" s="2" t="s">
        <v>404</v>
      </c>
      <c r="F2243" s="1"/>
      <c r="G2243" s="2">
        <v>5</v>
      </c>
      <c r="H2243" s="1"/>
      <c r="I2243" t="s">
        <v>1</v>
      </c>
      <c r="J2243" t="s">
        <v>26</v>
      </c>
      <c r="K2243" t="s">
        <v>25</v>
      </c>
      <c r="L2243" t="s">
        <v>441</v>
      </c>
      <c r="M2243" s="3" t="s">
        <v>441</v>
      </c>
    </row>
    <row r="2244" spans="1:13" hidden="1" x14ac:dyDescent="0.25">
      <c r="A2244" s="1" t="str">
        <f>VLOOKUP(Table2[[#This Row],[Prod Line ]],Lists!A:E,5,0)</f>
        <v>b</v>
      </c>
      <c r="B2244" s="1">
        <v>44532</v>
      </c>
      <c r="C2244" s="1">
        <v>44530</v>
      </c>
      <c r="D2244" s="1" t="s">
        <v>58</v>
      </c>
      <c r="E2244" s="2" t="s">
        <v>406</v>
      </c>
      <c r="F2244" s="1"/>
      <c r="G2244" s="2">
        <v>17</v>
      </c>
      <c r="H2244" s="1"/>
      <c r="I2244" t="s">
        <v>1</v>
      </c>
      <c r="J2244" t="s">
        <v>26</v>
      </c>
      <c r="K2244" t="s">
        <v>25</v>
      </c>
      <c r="L2244" t="s">
        <v>441</v>
      </c>
      <c r="M2244" s="3" t="s">
        <v>1894</v>
      </c>
    </row>
    <row r="2245" spans="1:13" hidden="1" x14ac:dyDescent="0.25">
      <c r="A2245" s="1" t="str">
        <f>VLOOKUP(Table2[[#This Row],[Prod Line ]],Lists!A:E,5,0)</f>
        <v>b</v>
      </c>
      <c r="B2245" s="1">
        <v>44532</v>
      </c>
      <c r="C2245" s="1">
        <v>44530</v>
      </c>
      <c r="D2245" s="1" t="s">
        <v>58</v>
      </c>
      <c r="E2245" s="2" t="s">
        <v>406</v>
      </c>
      <c r="F2245" s="1"/>
      <c r="G2245" s="2">
        <v>10</v>
      </c>
      <c r="H2245" s="1"/>
      <c r="I2245" t="s">
        <v>0</v>
      </c>
      <c r="J2245" t="s">
        <v>65</v>
      </c>
      <c r="K2245" t="s">
        <v>27</v>
      </c>
      <c r="L2245" t="s">
        <v>70</v>
      </c>
      <c r="M2245" s="3" t="s">
        <v>1895</v>
      </c>
    </row>
    <row r="2246" spans="1:13" hidden="1" x14ac:dyDescent="0.25">
      <c r="A2246" s="1" t="str">
        <f>VLOOKUP(Table2[[#This Row],[Prod Line ]],Lists!A:E,5,0)</f>
        <v>d</v>
      </c>
      <c r="B2246" s="1">
        <v>44532</v>
      </c>
      <c r="C2246" s="1">
        <v>44530</v>
      </c>
      <c r="D2246" s="1" t="s">
        <v>62</v>
      </c>
      <c r="E2246" s="2" t="s">
        <v>404</v>
      </c>
      <c r="F2246" s="1"/>
      <c r="G2246" s="2">
        <v>10</v>
      </c>
      <c r="H2246" s="1"/>
      <c r="I2246" t="s">
        <v>0</v>
      </c>
      <c r="J2246" t="s">
        <v>5</v>
      </c>
      <c r="K2246" t="s">
        <v>396</v>
      </c>
      <c r="L2246" t="s">
        <v>70</v>
      </c>
      <c r="M2246" s="3" t="s">
        <v>1896</v>
      </c>
    </row>
    <row r="2247" spans="1:13" hidden="1" x14ac:dyDescent="0.25">
      <c r="A2247" s="1" t="str">
        <f>VLOOKUP(Table2[[#This Row],[Prod Line ]],Lists!A:E,5,0)</f>
        <v>d</v>
      </c>
      <c r="B2247" s="1">
        <v>44533</v>
      </c>
      <c r="C2247" s="1">
        <v>44531</v>
      </c>
      <c r="D2247" s="1" t="s">
        <v>62</v>
      </c>
      <c r="E2247" s="2" t="s">
        <v>404</v>
      </c>
      <c r="F2247" s="1"/>
      <c r="G2247" s="2">
        <v>55</v>
      </c>
      <c r="H2247" s="1"/>
      <c r="I2247" t="s">
        <v>1</v>
      </c>
      <c r="J2247" t="s">
        <v>2</v>
      </c>
      <c r="K2247" t="s">
        <v>19</v>
      </c>
      <c r="M2247" s="3" t="s">
        <v>1897</v>
      </c>
    </row>
    <row r="2248" spans="1:13" hidden="1" x14ac:dyDescent="0.25">
      <c r="A2248" s="1" t="str">
        <f>VLOOKUP(Table2[[#This Row],[Prod Line ]],Lists!A:E,5,0)</f>
        <v>b</v>
      </c>
      <c r="B2248" s="1">
        <v>44533</v>
      </c>
      <c r="C2248" s="1">
        <v>44532</v>
      </c>
      <c r="D2248" s="1" t="s">
        <v>58</v>
      </c>
      <c r="E2248" s="2" t="s">
        <v>406</v>
      </c>
      <c r="F2248" s="1"/>
      <c r="G2248" s="2">
        <v>15</v>
      </c>
      <c r="H2248" s="1"/>
      <c r="I2248" t="s">
        <v>0</v>
      </c>
      <c r="J2248" t="s">
        <v>64</v>
      </c>
      <c r="K2248" t="s">
        <v>24</v>
      </c>
      <c r="L2248" t="s">
        <v>70</v>
      </c>
      <c r="M2248" s="3" t="s">
        <v>1898</v>
      </c>
    </row>
    <row r="2249" spans="1:13" hidden="1" x14ac:dyDescent="0.25">
      <c r="A2249" s="1" t="str">
        <f>VLOOKUP(Table2[[#This Row],[Prod Line ]],Lists!A:E,5,0)</f>
        <v>a</v>
      </c>
      <c r="B2249" s="1">
        <v>44534</v>
      </c>
      <c r="C2249" s="1">
        <v>44532</v>
      </c>
      <c r="D2249" s="1" t="s">
        <v>56</v>
      </c>
      <c r="E2249" s="2" t="s">
        <v>404</v>
      </c>
      <c r="F2249" s="1"/>
      <c r="G2249" s="2">
        <v>4</v>
      </c>
      <c r="H2249" s="1"/>
      <c r="I2249" t="s">
        <v>0</v>
      </c>
      <c r="J2249" t="s">
        <v>65</v>
      </c>
      <c r="K2249" t="s">
        <v>372</v>
      </c>
      <c r="L2249" t="s">
        <v>70</v>
      </c>
      <c r="M2249" s="3" t="s">
        <v>432</v>
      </c>
    </row>
    <row r="2250" spans="1:13" hidden="1" x14ac:dyDescent="0.25">
      <c r="A2250" s="1" t="str">
        <f>VLOOKUP(Table2[[#This Row],[Prod Line ]],Lists!A:E,5,0)</f>
        <v>d</v>
      </c>
      <c r="B2250" s="1">
        <v>44534</v>
      </c>
      <c r="C2250" s="1">
        <v>44532</v>
      </c>
      <c r="D2250" s="1" t="s">
        <v>62</v>
      </c>
      <c r="E2250" s="2" t="s">
        <v>404</v>
      </c>
      <c r="F2250" s="1"/>
      <c r="G2250" s="2">
        <v>25</v>
      </c>
      <c r="H2250" s="1"/>
      <c r="I2250" t="s">
        <v>0</v>
      </c>
      <c r="J2250" t="s">
        <v>5</v>
      </c>
      <c r="K2250" t="s">
        <v>395</v>
      </c>
      <c r="L2250" t="s">
        <v>70</v>
      </c>
      <c r="M2250" s="3" t="s">
        <v>1899</v>
      </c>
    </row>
    <row r="2251" spans="1:13" hidden="1" x14ac:dyDescent="0.25">
      <c r="A2251" s="1" t="str">
        <f>VLOOKUP(Table2[[#This Row],[Prod Line ]],Lists!A:E,5,0)</f>
        <v>d</v>
      </c>
      <c r="B2251" s="1">
        <v>44534</v>
      </c>
      <c r="C2251" s="1">
        <v>44532</v>
      </c>
      <c r="D2251" s="1" t="s">
        <v>62</v>
      </c>
      <c r="E2251" s="2" t="s">
        <v>404</v>
      </c>
      <c r="F2251" s="1"/>
      <c r="G2251" s="2">
        <v>6</v>
      </c>
      <c r="H2251" s="1"/>
      <c r="I2251" t="s">
        <v>1</v>
      </c>
      <c r="J2251" t="s">
        <v>2</v>
      </c>
      <c r="K2251" t="s">
        <v>19</v>
      </c>
      <c r="L2251" t="s">
        <v>349</v>
      </c>
      <c r="M2251" s="3" t="s">
        <v>575</v>
      </c>
    </row>
    <row r="2252" spans="1:13" hidden="1" x14ac:dyDescent="0.25">
      <c r="A2252" s="1" t="str">
        <f>VLOOKUP(Table2[[#This Row],[Prod Line ]],Lists!A:E,5,0)</f>
        <v>a</v>
      </c>
      <c r="B2252" s="1">
        <v>44536</v>
      </c>
      <c r="C2252" s="1">
        <v>44534</v>
      </c>
      <c r="D2252" s="1" t="s">
        <v>56</v>
      </c>
      <c r="E2252" s="2" t="s">
        <v>405</v>
      </c>
      <c r="F2252" s="1"/>
      <c r="G2252" s="2">
        <v>10</v>
      </c>
      <c r="H2252" s="1"/>
      <c r="I2252" t="s">
        <v>1</v>
      </c>
      <c r="J2252" t="s">
        <v>65</v>
      </c>
      <c r="K2252" t="s">
        <v>372</v>
      </c>
      <c r="M2252" s="3" t="s">
        <v>1900</v>
      </c>
    </row>
    <row r="2253" spans="1:13" hidden="1" x14ac:dyDescent="0.25">
      <c r="A2253" s="1" t="str">
        <f>VLOOKUP(Table2[[#This Row],[Prod Line ]],Lists!A:E,5,0)</f>
        <v>a</v>
      </c>
      <c r="B2253" s="1">
        <v>44536</v>
      </c>
      <c r="C2253" s="1">
        <v>44534</v>
      </c>
      <c r="D2253" s="1" t="s">
        <v>56</v>
      </c>
      <c r="E2253" s="2" t="s">
        <v>405</v>
      </c>
      <c r="F2253" s="1"/>
      <c r="G2253" s="2">
        <v>13</v>
      </c>
      <c r="H2253" s="1"/>
      <c r="I2253" t="s">
        <v>1</v>
      </c>
      <c r="J2253" t="s">
        <v>2</v>
      </c>
      <c r="K2253" t="s">
        <v>19</v>
      </c>
      <c r="L2253" t="s">
        <v>407</v>
      </c>
      <c r="M2253" s="3" t="s">
        <v>1901</v>
      </c>
    </row>
    <row r="2254" spans="1:13" hidden="1" x14ac:dyDescent="0.25">
      <c r="A2254" s="1" t="str">
        <f>VLOOKUP(Table2[[#This Row],[Prod Line ]],Lists!A:E,5,0)</f>
        <v>a</v>
      </c>
      <c r="B2254" s="1">
        <v>44536</v>
      </c>
      <c r="C2254" s="1">
        <v>44534</v>
      </c>
      <c r="D2254" s="1" t="s">
        <v>56</v>
      </c>
      <c r="E2254" s="2" t="s">
        <v>405</v>
      </c>
      <c r="F2254" s="1"/>
      <c r="G2254" s="2">
        <v>10</v>
      </c>
      <c r="H2254" s="1"/>
      <c r="I2254" t="s">
        <v>1</v>
      </c>
      <c r="J2254" t="s">
        <v>64</v>
      </c>
      <c r="K2254" t="s">
        <v>369</v>
      </c>
      <c r="L2254" t="s">
        <v>407</v>
      </c>
      <c r="M2254" s="3" t="s">
        <v>1902</v>
      </c>
    </row>
    <row r="2255" spans="1:13" hidden="1" x14ac:dyDescent="0.25">
      <c r="A2255" s="1" t="str">
        <f>VLOOKUP(Table2[[#This Row],[Prod Line ]],Lists!A:E,5,0)</f>
        <v>b</v>
      </c>
      <c r="B2255" s="1">
        <v>44536</v>
      </c>
      <c r="C2255" s="1">
        <v>44534</v>
      </c>
      <c r="D2255" s="1" t="s">
        <v>58</v>
      </c>
      <c r="E2255" s="2" t="s">
        <v>406</v>
      </c>
      <c r="F2255" s="1"/>
      <c r="G2255" s="2">
        <v>10</v>
      </c>
      <c r="H2255" s="1"/>
      <c r="I2255" t="s">
        <v>1</v>
      </c>
      <c r="J2255" t="s">
        <v>2</v>
      </c>
      <c r="K2255" t="s">
        <v>14</v>
      </c>
      <c r="M2255" s="3" t="s">
        <v>1903</v>
      </c>
    </row>
    <row r="2256" spans="1:13" hidden="1" x14ac:dyDescent="0.25">
      <c r="A2256" s="1" t="str">
        <f>VLOOKUP(Table2[[#This Row],[Prod Line ]],Lists!A:E,5,0)</f>
        <v>b</v>
      </c>
      <c r="B2256" s="1">
        <v>44536</v>
      </c>
      <c r="C2256" s="1">
        <v>44534</v>
      </c>
      <c r="D2256" s="1" t="s">
        <v>58</v>
      </c>
      <c r="E2256" s="2" t="s">
        <v>406</v>
      </c>
      <c r="F2256" s="1"/>
      <c r="G2256" s="2">
        <v>20</v>
      </c>
      <c r="H2256" s="1"/>
      <c r="I2256" t="s">
        <v>0</v>
      </c>
      <c r="J2256" t="s">
        <v>26</v>
      </c>
      <c r="K2256" t="s">
        <v>26</v>
      </c>
      <c r="L2256" t="s">
        <v>70</v>
      </c>
      <c r="M2256" s="3" t="s">
        <v>1904</v>
      </c>
    </row>
    <row r="2257" spans="1:13" hidden="1" x14ac:dyDescent="0.25">
      <c r="A2257" s="1" t="str">
        <f>VLOOKUP(Table2[[#This Row],[Prod Line ]],Lists!A:E,5,0)</f>
        <v>b</v>
      </c>
      <c r="B2257" s="1">
        <v>44536</v>
      </c>
      <c r="C2257" s="1">
        <v>44534</v>
      </c>
      <c r="D2257" s="1" t="s">
        <v>58</v>
      </c>
      <c r="E2257" s="2" t="s">
        <v>406</v>
      </c>
      <c r="F2257" s="1"/>
      <c r="G2257" s="2">
        <v>4</v>
      </c>
      <c r="H2257" s="1"/>
      <c r="I2257" t="s">
        <v>1</v>
      </c>
      <c r="J2257" t="s">
        <v>64</v>
      </c>
      <c r="K2257" t="s">
        <v>21</v>
      </c>
      <c r="L2257" t="s">
        <v>441</v>
      </c>
      <c r="M2257" s="3" t="s">
        <v>612</v>
      </c>
    </row>
    <row r="2258" spans="1:13" hidden="1" x14ac:dyDescent="0.25">
      <c r="A2258" s="1" t="str">
        <f>VLOOKUP(Table2[[#This Row],[Prod Line ]],Lists!A:E,5,0)</f>
        <v>b</v>
      </c>
      <c r="B2258" s="1">
        <v>44536</v>
      </c>
      <c r="C2258" s="1">
        <v>44534</v>
      </c>
      <c r="D2258" s="1" t="s">
        <v>58</v>
      </c>
      <c r="E2258" s="2" t="s">
        <v>404</v>
      </c>
      <c r="F2258" s="1"/>
      <c r="G2258" s="2">
        <v>11</v>
      </c>
      <c r="H2258" s="1"/>
      <c r="I2258" t="s">
        <v>0</v>
      </c>
      <c r="J2258" t="s">
        <v>65</v>
      </c>
      <c r="K2258" t="s">
        <v>3</v>
      </c>
      <c r="L2258" t="s">
        <v>70</v>
      </c>
      <c r="M2258" s="3" t="s">
        <v>1905</v>
      </c>
    </row>
    <row r="2259" spans="1:13" hidden="1" x14ac:dyDescent="0.25">
      <c r="A2259" s="1" t="str">
        <f>VLOOKUP(Table2[[#This Row],[Prod Line ]],Lists!A:E,5,0)</f>
        <v>b</v>
      </c>
      <c r="B2259" s="1">
        <v>44536</v>
      </c>
      <c r="C2259" s="1">
        <v>44534</v>
      </c>
      <c r="D2259" s="1" t="s">
        <v>58</v>
      </c>
      <c r="E2259" s="2" t="s">
        <v>404</v>
      </c>
      <c r="F2259" s="1"/>
      <c r="G2259" s="2">
        <v>4</v>
      </c>
      <c r="H2259" s="1"/>
      <c r="I2259" t="s">
        <v>1</v>
      </c>
      <c r="J2259" t="s">
        <v>65</v>
      </c>
      <c r="K2259" t="s">
        <v>3</v>
      </c>
      <c r="L2259" t="s">
        <v>441</v>
      </c>
      <c r="M2259" s="3" t="s">
        <v>1906</v>
      </c>
    </row>
    <row r="2260" spans="1:13" hidden="1" x14ac:dyDescent="0.25">
      <c r="A2260" s="1" t="str">
        <f>VLOOKUP(Table2[[#This Row],[Prod Line ]],Lists!A:E,5,0)</f>
        <v>b</v>
      </c>
      <c r="B2260" s="1">
        <v>44536</v>
      </c>
      <c r="C2260" s="1">
        <v>44534</v>
      </c>
      <c r="D2260" s="1" t="s">
        <v>58</v>
      </c>
      <c r="E2260" s="2" t="s">
        <v>404</v>
      </c>
      <c r="F2260" s="1"/>
      <c r="G2260" s="2">
        <v>6</v>
      </c>
      <c r="H2260" s="1"/>
      <c r="I2260" t="s">
        <v>1</v>
      </c>
      <c r="J2260" t="s">
        <v>26</v>
      </c>
      <c r="K2260" t="s">
        <v>25</v>
      </c>
      <c r="L2260" t="s">
        <v>441</v>
      </c>
      <c r="M2260" s="3" t="s">
        <v>1907</v>
      </c>
    </row>
    <row r="2261" spans="1:13" hidden="1" x14ac:dyDescent="0.25">
      <c r="A2261" s="1" t="str">
        <f>VLOOKUP(Table2[[#This Row],[Prod Line ]],Lists!A:E,5,0)</f>
        <v>d</v>
      </c>
      <c r="B2261" s="1">
        <v>44536</v>
      </c>
      <c r="C2261" s="1">
        <v>44534</v>
      </c>
      <c r="D2261" s="1" t="s">
        <v>62</v>
      </c>
      <c r="E2261" s="2" t="s">
        <v>404</v>
      </c>
      <c r="F2261" s="1"/>
      <c r="G2261" s="2">
        <v>25</v>
      </c>
      <c r="H2261" s="1"/>
      <c r="I2261" t="s">
        <v>1</v>
      </c>
      <c r="J2261" t="s">
        <v>64</v>
      </c>
      <c r="K2261" t="s">
        <v>379</v>
      </c>
      <c r="L2261" t="s">
        <v>407</v>
      </c>
      <c r="M2261" s="3" t="s">
        <v>1908</v>
      </c>
    </row>
    <row r="2262" spans="1:13" hidden="1" x14ac:dyDescent="0.25">
      <c r="A2262" s="1" t="str">
        <f>VLOOKUP(Table2[[#This Row],[Prod Line ]],Lists!A:E,5,0)</f>
        <v>d</v>
      </c>
      <c r="B2262" s="1">
        <v>44536</v>
      </c>
      <c r="C2262" s="1">
        <v>44534</v>
      </c>
      <c r="D2262" s="1" t="s">
        <v>62</v>
      </c>
      <c r="E2262" s="2" t="s">
        <v>405</v>
      </c>
      <c r="F2262" s="1"/>
      <c r="G2262" s="2">
        <v>10</v>
      </c>
      <c r="H2262" s="1"/>
      <c r="I2262" t="s">
        <v>1</v>
      </c>
      <c r="J2262" t="s">
        <v>2</v>
      </c>
      <c r="K2262" t="s">
        <v>19</v>
      </c>
      <c r="L2262" t="s">
        <v>407</v>
      </c>
      <c r="M2262" s="3" t="s">
        <v>1797</v>
      </c>
    </row>
    <row r="2263" spans="1:13" hidden="1" x14ac:dyDescent="0.25">
      <c r="A2263" s="1" t="str">
        <f>VLOOKUP(Table2[[#This Row],[Prod Line ]],Lists!A:E,5,0)</f>
        <v>c</v>
      </c>
      <c r="B2263" s="1">
        <v>44537</v>
      </c>
      <c r="C2263" s="1">
        <v>44535</v>
      </c>
      <c r="D2263" s="1" t="s">
        <v>60</v>
      </c>
      <c r="E2263" s="2" t="s">
        <v>404</v>
      </c>
      <c r="F2263" s="1"/>
      <c r="G2263" s="2">
        <v>14</v>
      </c>
      <c r="H2263" s="1"/>
      <c r="I2263" t="s">
        <v>0</v>
      </c>
      <c r="J2263" t="s">
        <v>64</v>
      </c>
      <c r="K2263" t="s">
        <v>381</v>
      </c>
      <c r="L2263" t="s">
        <v>70</v>
      </c>
      <c r="M2263" s="3" t="s">
        <v>1878</v>
      </c>
    </row>
    <row r="2264" spans="1:13" hidden="1" x14ac:dyDescent="0.25">
      <c r="A2264" s="1" t="str">
        <f>VLOOKUP(Table2[[#This Row],[Prod Line ]],Lists!A:E,5,0)</f>
        <v>c</v>
      </c>
      <c r="B2264" s="1">
        <v>44537</v>
      </c>
      <c r="C2264" s="1">
        <v>44535</v>
      </c>
      <c r="D2264" s="1" t="s">
        <v>60</v>
      </c>
      <c r="E2264" s="2" t="s">
        <v>404</v>
      </c>
      <c r="F2264" s="1"/>
      <c r="G2264" s="2">
        <v>5</v>
      </c>
      <c r="H2264" s="1"/>
      <c r="I2264" t="s">
        <v>1</v>
      </c>
      <c r="J2264" t="s">
        <v>2</v>
      </c>
      <c r="K2264" t="s">
        <v>378</v>
      </c>
      <c r="L2264" t="s">
        <v>349</v>
      </c>
      <c r="M2264" s="3" t="s">
        <v>575</v>
      </c>
    </row>
    <row r="2265" spans="1:13" hidden="1" x14ac:dyDescent="0.25">
      <c r="A2265" s="1" t="str">
        <f>VLOOKUP(Table2[[#This Row],[Prod Line ]],Lists!A:E,5,0)</f>
        <v>c</v>
      </c>
      <c r="B2265" s="1">
        <v>44537</v>
      </c>
      <c r="C2265" s="1">
        <v>44535</v>
      </c>
      <c r="D2265" s="1" t="s">
        <v>60</v>
      </c>
      <c r="E2265" s="2" t="s">
        <v>404</v>
      </c>
      <c r="F2265" s="1"/>
      <c r="G2265" s="2">
        <v>3</v>
      </c>
      <c r="H2265" s="1"/>
      <c r="I2265" t="s">
        <v>1</v>
      </c>
      <c r="J2265" t="s">
        <v>64</v>
      </c>
      <c r="K2265" t="s">
        <v>380</v>
      </c>
      <c r="L2265" t="s">
        <v>407</v>
      </c>
      <c r="M2265" s="3" t="s">
        <v>1909</v>
      </c>
    </row>
    <row r="2266" spans="1:13" hidden="1" x14ac:dyDescent="0.25">
      <c r="A2266" s="1" t="str">
        <f>VLOOKUP(Table2[[#This Row],[Prod Line ]],Lists!A:E,5,0)</f>
        <v>a</v>
      </c>
      <c r="B2266" s="1">
        <v>44537</v>
      </c>
      <c r="C2266" s="1">
        <v>44535</v>
      </c>
      <c r="D2266" s="1" t="s">
        <v>56</v>
      </c>
      <c r="E2266" s="2" t="s">
        <v>404</v>
      </c>
      <c r="F2266" s="1"/>
      <c r="G2266" s="2">
        <v>9</v>
      </c>
      <c r="H2266" s="1"/>
      <c r="I2266" t="s">
        <v>0</v>
      </c>
      <c r="J2266" t="s">
        <v>65</v>
      </c>
      <c r="K2266" t="s">
        <v>372</v>
      </c>
      <c r="L2266" t="s">
        <v>70</v>
      </c>
      <c r="M2266" s="3" t="s">
        <v>1080</v>
      </c>
    </row>
    <row r="2267" spans="1:13" hidden="1" x14ac:dyDescent="0.25">
      <c r="A2267" s="1" t="str">
        <f>VLOOKUP(Table2[[#This Row],[Prod Line ]],Lists!A:E,5,0)</f>
        <v>a</v>
      </c>
      <c r="B2267" s="1">
        <v>44537</v>
      </c>
      <c r="C2267" s="1">
        <v>44535</v>
      </c>
      <c r="D2267" s="1" t="s">
        <v>56</v>
      </c>
      <c r="E2267" s="2" t="s">
        <v>404</v>
      </c>
      <c r="F2267" s="1"/>
      <c r="G2267" s="2">
        <v>29</v>
      </c>
      <c r="H2267" s="1"/>
      <c r="I2267" t="s">
        <v>0</v>
      </c>
      <c r="J2267" t="s">
        <v>5</v>
      </c>
      <c r="K2267" t="s">
        <v>376</v>
      </c>
      <c r="L2267" t="s">
        <v>70</v>
      </c>
      <c r="M2267" s="3" t="s">
        <v>1910</v>
      </c>
    </row>
    <row r="2268" spans="1:13" hidden="1" x14ac:dyDescent="0.25">
      <c r="A2268" s="1" t="str">
        <f>VLOOKUP(Table2[[#This Row],[Prod Line ]],Lists!A:E,5,0)</f>
        <v>a</v>
      </c>
      <c r="B2268" s="1">
        <v>44537</v>
      </c>
      <c r="C2268" s="1">
        <v>44535</v>
      </c>
      <c r="D2268" s="1" t="s">
        <v>56</v>
      </c>
      <c r="E2268" s="2" t="s">
        <v>404</v>
      </c>
      <c r="F2268" s="1"/>
      <c r="G2268" s="2">
        <v>6</v>
      </c>
      <c r="H2268" s="1"/>
      <c r="I2268" t="s">
        <v>1</v>
      </c>
      <c r="J2268" t="s">
        <v>65</v>
      </c>
      <c r="K2268" t="s">
        <v>372</v>
      </c>
      <c r="L2268" t="s">
        <v>441</v>
      </c>
      <c r="M2268" s="3" t="s">
        <v>1911</v>
      </c>
    </row>
    <row r="2269" spans="1:13" hidden="1" x14ac:dyDescent="0.25">
      <c r="A2269" s="1" t="str">
        <f>VLOOKUP(Table2[[#This Row],[Prod Line ]],Lists!A:E,5,0)</f>
        <v>a</v>
      </c>
      <c r="B2269" s="1">
        <v>44537</v>
      </c>
      <c r="C2269" s="1">
        <v>44535</v>
      </c>
      <c r="D2269" s="1" t="s">
        <v>56</v>
      </c>
      <c r="E2269" s="2" t="s">
        <v>404</v>
      </c>
      <c r="F2269" s="1"/>
      <c r="G2269" s="2">
        <v>6</v>
      </c>
      <c r="H2269" s="1"/>
      <c r="I2269" t="s">
        <v>1</v>
      </c>
      <c r="J2269" t="s">
        <v>64</v>
      </c>
      <c r="K2269" t="s">
        <v>367</v>
      </c>
      <c r="L2269" t="s">
        <v>407</v>
      </c>
      <c r="M2269" s="3" t="s">
        <v>750</v>
      </c>
    </row>
    <row r="2270" spans="1:13" hidden="1" x14ac:dyDescent="0.25">
      <c r="A2270" s="1" t="str">
        <f>VLOOKUP(Table2[[#This Row],[Prod Line ]],Lists!A:E,5,0)</f>
        <v>b</v>
      </c>
      <c r="B2270" s="1">
        <v>44537</v>
      </c>
      <c r="C2270" s="1">
        <v>44535</v>
      </c>
      <c r="D2270" s="1" t="s">
        <v>58</v>
      </c>
      <c r="E2270" s="2" t="s">
        <v>406</v>
      </c>
      <c r="F2270" s="1"/>
      <c r="G2270" s="2">
        <v>4</v>
      </c>
      <c r="H2270" s="1"/>
      <c r="I2270" t="s">
        <v>1</v>
      </c>
      <c r="J2270" t="s">
        <v>64</v>
      </c>
      <c r="K2270" t="s">
        <v>24</v>
      </c>
      <c r="L2270" t="s">
        <v>407</v>
      </c>
      <c r="M2270" s="3" t="s">
        <v>1912</v>
      </c>
    </row>
    <row r="2271" spans="1:13" hidden="1" x14ac:dyDescent="0.25">
      <c r="A2271" s="1" t="str">
        <f>VLOOKUP(Table2[[#This Row],[Prod Line ]],Lists!A:E,5,0)</f>
        <v>b</v>
      </c>
      <c r="B2271" s="1">
        <v>44537</v>
      </c>
      <c r="C2271" s="1">
        <v>44535</v>
      </c>
      <c r="D2271" s="1" t="s">
        <v>58</v>
      </c>
      <c r="E2271" s="2" t="s">
        <v>404</v>
      </c>
      <c r="F2271" s="1"/>
      <c r="G2271" s="2">
        <v>10</v>
      </c>
      <c r="H2271" s="1"/>
      <c r="I2271" t="s">
        <v>1</v>
      </c>
      <c r="J2271" t="s">
        <v>65</v>
      </c>
      <c r="K2271" t="s">
        <v>27</v>
      </c>
      <c r="L2271" t="s">
        <v>441</v>
      </c>
      <c r="M2271" s="3" t="s">
        <v>1011</v>
      </c>
    </row>
    <row r="2272" spans="1:13" hidden="1" x14ac:dyDescent="0.25">
      <c r="A2272" s="1" t="str">
        <f>VLOOKUP(Table2[[#This Row],[Prod Line ]],Lists!A:E,5,0)</f>
        <v>b</v>
      </c>
      <c r="B2272" s="1">
        <v>44537</v>
      </c>
      <c r="C2272" s="1">
        <v>44535</v>
      </c>
      <c r="D2272" s="1" t="s">
        <v>58</v>
      </c>
      <c r="E2272" s="2" t="s">
        <v>405</v>
      </c>
      <c r="F2272" s="1"/>
      <c r="G2272" s="2">
        <v>20</v>
      </c>
      <c r="H2272" s="1"/>
      <c r="I2272" t="s">
        <v>1</v>
      </c>
      <c r="J2272" t="s">
        <v>5</v>
      </c>
      <c r="K2272" t="s">
        <v>37</v>
      </c>
      <c r="L2272" t="s">
        <v>407</v>
      </c>
      <c r="M2272" s="3" t="s">
        <v>48</v>
      </c>
    </row>
    <row r="2273" spans="1:13" hidden="1" x14ac:dyDescent="0.25">
      <c r="A2273" s="1" t="str">
        <f>VLOOKUP(Table2[[#This Row],[Prod Line ]],Lists!A:E,5,0)</f>
        <v>c</v>
      </c>
      <c r="B2273" s="1">
        <v>44537</v>
      </c>
      <c r="C2273" s="1">
        <v>44535</v>
      </c>
      <c r="D2273" s="1" t="s">
        <v>60</v>
      </c>
      <c r="E2273" s="2" t="s">
        <v>404</v>
      </c>
      <c r="F2273" s="1"/>
      <c r="G2273" s="2">
        <v>14</v>
      </c>
      <c r="H2273" s="1"/>
      <c r="I2273" t="s">
        <v>0</v>
      </c>
      <c r="J2273" t="s">
        <v>64</v>
      </c>
      <c r="K2273" t="s">
        <v>381</v>
      </c>
      <c r="L2273" t="s">
        <v>70</v>
      </c>
      <c r="M2273" s="3" t="s">
        <v>1331</v>
      </c>
    </row>
    <row r="2274" spans="1:13" hidden="1" x14ac:dyDescent="0.25">
      <c r="A2274" s="1" t="str">
        <f>VLOOKUP(Table2[[#This Row],[Prod Line ]],Lists!A:E,5,0)</f>
        <v>c</v>
      </c>
      <c r="B2274" s="1">
        <v>44537</v>
      </c>
      <c r="C2274" s="1">
        <v>44535</v>
      </c>
      <c r="D2274" s="1" t="s">
        <v>60</v>
      </c>
      <c r="E2274" s="2" t="s">
        <v>404</v>
      </c>
      <c r="F2274" s="1"/>
      <c r="G2274" s="2">
        <v>5</v>
      </c>
      <c r="H2274" s="1"/>
      <c r="I2274" t="s">
        <v>1</v>
      </c>
      <c r="J2274" t="s">
        <v>2</v>
      </c>
      <c r="K2274" t="s">
        <v>378</v>
      </c>
      <c r="L2274" t="s">
        <v>349</v>
      </c>
      <c r="M2274" s="3" t="s">
        <v>575</v>
      </c>
    </row>
    <row r="2275" spans="1:13" hidden="1" x14ac:dyDescent="0.25">
      <c r="A2275" s="1" t="str">
        <f>VLOOKUP(Table2[[#This Row],[Prod Line ]],Lists!A:E,5,0)</f>
        <v>c</v>
      </c>
      <c r="B2275" s="1">
        <v>44537</v>
      </c>
      <c r="C2275" s="1">
        <v>44535</v>
      </c>
      <c r="D2275" s="1" t="s">
        <v>60</v>
      </c>
      <c r="E2275" s="2" t="s">
        <v>404</v>
      </c>
      <c r="F2275" s="1"/>
      <c r="G2275" s="2">
        <v>3</v>
      </c>
      <c r="H2275" s="1"/>
      <c r="I2275" t="s">
        <v>1</v>
      </c>
      <c r="J2275" t="s">
        <v>64</v>
      </c>
      <c r="K2275" t="s">
        <v>381</v>
      </c>
      <c r="L2275" t="s">
        <v>407</v>
      </c>
      <c r="M2275" s="3" t="s">
        <v>833</v>
      </c>
    </row>
    <row r="2276" spans="1:13" hidden="1" x14ac:dyDescent="0.25">
      <c r="A2276" s="1" t="str">
        <f>VLOOKUP(Table2[[#This Row],[Prod Line ]],Lists!A:E,5,0)</f>
        <v>c</v>
      </c>
      <c r="B2276" s="1">
        <v>44537</v>
      </c>
      <c r="C2276" s="1">
        <v>44535</v>
      </c>
      <c r="D2276" s="1" t="s">
        <v>60</v>
      </c>
      <c r="E2276" s="2" t="s">
        <v>405</v>
      </c>
      <c r="F2276" s="1"/>
      <c r="G2276" s="2">
        <v>22</v>
      </c>
      <c r="H2276" s="1"/>
      <c r="I2276" t="s">
        <v>1</v>
      </c>
      <c r="J2276" t="s">
        <v>64</v>
      </c>
      <c r="K2276" t="s">
        <v>381</v>
      </c>
      <c r="L2276" t="s">
        <v>407</v>
      </c>
      <c r="M2276" s="3" t="s">
        <v>833</v>
      </c>
    </row>
    <row r="2277" spans="1:13" hidden="1" x14ac:dyDescent="0.25">
      <c r="A2277" s="1" t="str">
        <f>VLOOKUP(Table2[[#This Row],[Prod Line ]],Lists!A:E,5,0)</f>
        <v>d</v>
      </c>
      <c r="B2277" s="1">
        <v>44537</v>
      </c>
      <c r="C2277" s="1">
        <v>44535</v>
      </c>
      <c r="D2277" s="1" t="s">
        <v>62</v>
      </c>
      <c r="E2277" s="2" t="s">
        <v>405</v>
      </c>
      <c r="F2277" s="1"/>
      <c r="G2277" s="2">
        <v>10</v>
      </c>
      <c r="H2277" s="1"/>
      <c r="I2277" t="s">
        <v>0</v>
      </c>
      <c r="J2277" t="s">
        <v>2</v>
      </c>
      <c r="K2277" t="s">
        <v>392</v>
      </c>
      <c r="L2277" t="s">
        <v>69</v>
      </c>
      <c r="M2277" s="3" t="s">
        <v>1913</v>
      </c>
    </row>
    <row r="2278" spans="1:13" hidden="1" x14ac:dyDescent="0.25">
      <c r="A2278" s="1" t="str">
        <f>VLOOKUP(Table2[[#This Row],[Prod Line ]],Lists!A:E,5,0)</f>
        <v>d</v>
      </c>
      <c r="B2278" s="1">
        <v>44537</v>
      </c>
      <c r="C2278" s="1">
        <v>44535</v>
      </c>
      <c r="D2278" s="1" t="s">
        <v>62</v>
      </c>
      <c r="E2278" s="2" t="s">
        <v>405</v>
      </c>
      <c r="F2278" s="1"/>
      <c r="G2278" s="2">
        <v>5</v>
      </c>
      <c r="H2278" s="1"/>
      <c r="I2278" t="s">
        <v>1</v>
      </c>
      <c r="J2278" t="s">
        <v>2</v>
      </c>
      <c r="K2278" t="s">
        <v>19</v>
      </c>
      <c r="L2278" t="s">
        <v>349</v>
      </c>
      <c r="M2278" s="3" t="s">
        <v>575</v>
      </c>
    </row>
    <row r="2279" spans="1:13" hidden="1" x14ac:dyDescent="0.25">
      <c r="A2279" s="1" t="str">
        <f>VLOOKUP(Table2[[#This Row],[Prod Line ]],Lists!A:E,5,0)</f>
        <v>d</v>
      </c>
      <c r="B2279" s="1">
        <v>44539</v>
      </c>
      <c r="C2279" s="1">
        <v>44537</v>
      </c>
      <c r="D2279" s="1" t="s">
        <v>62</v>
      </c>
      <c r="E2279" s="2" t="s">
        <v>405</v>
      </c>
      <c r="F2279" s="1"/>
      <c r="G2279" s="2">
        <v>32</v>
      </c>
      <c r="H2279" s="1"/>
      <c r="I2279" t="s">
        <v>1</v>
      </c>
      <c r="J2279" t="s">
        <v>2</v>
      </c>
      <c r="K2279" t="s">
        <v>19</v>
      </c>
      <c r="L2279" t="s">
        <v>407</v>
      </c>
      <c r="M2279" s="3" t="s">
        <v>1914</v>
      </c>
    </row>
    <row r="2280" spans="1:13" hidden="1" x14ac:dyDescent="0.25">
      <c r="A2280" s="1" t="str">
        <f>VLOOKUP(Table2[[#This Row],[Prod Line ]],Lists!A:E,5,0)</f>
        <v>d</v>
      </c>
      <c r="B2280" s="1">
        <v>44539</v>
      </c>
      <c r="C2280" s="1">
        <v>44537</v>
      </c>
      <c r="D2280" s="1" t="s">
        <v>62</v>
      </c>
      <c r="E2280" s="2" t="s">
        <v>405</v>
      </c>
      <c r="F2280" s="1"/>
      <c r="G2280" s="2">
        <v>15</v>
      </c>
      <c r="H2280" s="1"/>
      <c r="I2280" t="s">
        <v>1</v>
      </c>
      <c r="J2280" t="s">
        <v>2</v>
      </c>
      <c r="K2280" t="s">
        <v>19</v>
      </c>
      <c r="L2280" t="s">
        <v>407</v>
      </c>
      <c r="M2280" s="3" t="s">
        <v>1915</v>
      </c>
    </row>
    <row r="2281" spans="1:13" hidden="1" x14ac:dyDescent="0.25">
      <c r="A2281" s="1" t="str">
        <f>VLOOKUP(Table2[[#This Row],[Prod Line ]],Lists!A:E,5,0)</f>
        <v>d</v>
      </c>
      <c r="B2281" s="1">
        <v>44539</v>
      </c>
      <c r="C2281" s="1">
        <v>44537</v>
      </c>
      <c r="D2281" s="1" t="s">
        <v>62</v>
      </c>
      <c r="E2281" s="2" t="s">
        <v>405</v>
      </c>
      <c r="F2281" s="1"/>
      <c r="G2281" s="2">
        <v>17</v>
      </c>
      <c r="H2281" s="1"/>
      <c r="I2281" t="s">
        <v>1</v>
      </c>
      <c r="J2281" t="s">
        <v>2</v>
      </c>
      <c r="K2281" t="s">
        <v>19</v>
      </c>
      <c r="L2281" t="s">
        <v>407</v>
      </c>
      <c r="M2281" s="3" t="s">
        <v>1797</v>
      </c>
    </row>
    <row r="2282" spans="1:13" hidden="1" x14ac:dyDescent="0.25">
      <c r="A2282" s="1" t="str">
        <f>VLOOKUP(Table2[[#This Row],[Prod Line ]],Lists!A:E,5,0)</f>
        <v>d</v>
      </c>
      <c r="B2282" s="1">
        <v>44539</v>
      </c>
      <c r="C2282" s="1">
        <v>44538</v>
      </c>
      <c r="D2282" s="1" t="s">
        <v>62</v>
      </c>
      <c r="E2282" s="2" t="s">
        <v>406</v>
      </c>
      <c r="F2282" s="1"/>
      <c r="G2282" s="2">
        <v>9</v>
      </c>
      <c r="H2282" s="1"/>
      <c r="I2282" t="s">
        <v>1</v>
      </c>
      <c r="J2282" t="s">
        <v>2</v>
      </c>
      <c r="K2282" t="s">
        <v>19</v>
      </c>
      <c r="L2282" t="s">
        <v>344</v>
      </c>
      <c r="M2282" s="3" t="s">
        <v>1916</v>
      </c>
    </row>
    <row r="2283" spans="1:13" hidden="1" x14ac:dyDescent="0.25">
      <c r="A2283" s="1" t="str">
        <f>VLOOKUP(Table2[[#This Row],[Prod Line ]],Lists!A:E,5,0)</f>
        <v>b</v>
      </c>
      <c r="B2283" s="1">
        <v>44539</v>
      </c>
      <c r="C2283" s="1">
        <v>44538</v>
      </c>
      <c r="D2283" s="1" t="s">
        <v>58</v>
      </c>
      <c r="E2283" s="2" t="s">
        <v>404</v>
      </c>
      <c r="F2283" s="1"/>
      <c r="G2283" s="2">
        <v>20</v>
      </c>
      <c r="H2283" s="1"/>
      <c r="I2283" t="s">
        <v>1</v>
      </c>
      <c r="J2283" t="s">
        <v>26</v>
      </c>
      <c r="K2283" t="s">
        <v>25</v>
      </c>
      <c r="L2283" t="s">
        <v>441</v>
      </c>
      <c r="M2283" s="3" t="s">
        <v>1917</v>
      </c>
    </row>
    <row r="2284" spans="1:13" hidden="1" x14ac:dyDescent="0.25">
      <c r="A2284" s="1" t="str">
        <f>VLOOKUP(Table2[[#This Row],[Prod Line ]],Lists!A:E,5,0)</f>
        <v>b</v>
      </c>
      <c r="B2284" s="1">
        <v>44539</v>
      </c>
      <c r="C2284" s="1">
        <v>44538</v>
      </c>
      <c r="D2284" s="1" t="s">
        <v>58</v>
      </c>
      <c r="E2284" s="2" t="s">
        <v>404</v>
      </c>
      <c r="F2284" s="1"/>
      <c r="G2284" s="2">
        <v>30</v>
      </c>
      <c r="H2284" s="1"/>
      <c r="I2284" t="s">
        <v>1</v>
      </c>
      <c r="J2284" t="s">
        <v>26</v>
      </c>
      <c r="K2284" t="s">
        <v>25</v>
      </c>
      <c r="L2284" t="s">
        <v>441</v>
      </c>
      <c r="M2284" s="3" t="s">
        <v>1918</v>
      </c>
    </row>
    <row r="2285" spans="1:13" hidden="1" x14ac:dyDescent="0.25">
      <c r="A2285" s="1" t="str">
        <f>VLOOKUP(Table2[[#This Row],[Prod Line ]],Lists!A:E,5,0)</f>
        <v>b</v>
      </c>
      <c r="B2285" s="1">
        <v>44539</v>
      </c>
      <c r="C2285" s="1">
        <v>44537</v>
      </c>
      <c r="D2285" s="1" t="s">
        <v>58</v>
      </c>
      <c r="E2285" s="2" t="s">
        <v>404</v>
      </c>
      <c r="F2285" s="1"/>
      <c r="G2285" s="2">
        <v>4</v>
      </c>
      <c r="H2285" s="1"/>
      <c r="I2285" t="s">
        <v>0</v>
      </c>
      <c r="J2285" t="s">
        <v>26</v>
      </c>
      <c r="K2285" t="s">
        <v>25</v>
      </c>
      <c r="L2285" t="s">
        <v>70</v>
      </c>
      <c r="M2285" s="3" t="s">
        <v>1919</v>
      </c>
    </row>
    <row r="2286" spans="1:13" hidden="1" x14ac:dyDescent="0.25">
      <c r="A2286" s="1" t="str">
        <f>VLOOKUP(Table2[[#This Row],[Prod Line ]],Lists!A:E,5,0)</f>
        <v>b</v>
      </c>
      <c r="B2286" s="1">
        <v>44539</v>
      </c>
      <c r="C2286" s="1">
        <v>44537</v>
      </c>
      <c r="D2286" s="1" t="s">
        <v>58</v>
      </c>
      <c r="E2286" s="2" t="s">
        <v>406</v>
      </c>
      <c r="F2286" s="1"/>
      <c r="G2286" s="2">
        <v>50</v>
      </c>
      <c r="H2286" s="1"/>
      <c r="I2286" t="s">
        <v>1</v>
      </c>
      <c r="J2286" t="s">
        <v>26</v>
      </c>
      <c r="K2286" t="s">
        <v>25</v>
      </c>
      <c r="L2286" t="s">
        <v>441</v>
      </c>
      <c r="M2286" s="3" t="s">
        <v>1920</v>
      </c>
    </row>
    <row r="2287" spans="1:13" hidden="1" x14ac:dyDescent="0.25">
      <c r="A2287" s="1" t="str">
        <f>VLOOKUP(Table2[[#This Row],[Prod Line ]],Lists!A:E,5,0)</f>
        <v>d</v>
      </c>
      <c r="B2287" s="1">
        <v>44539</v>
      </c>
      <c r="C2287" s="1">
        <v>44537</v>
      </c>
      <c r="D2287" s="1" t="s">
        <v>62</v>
      </c>
      <c r="E2287" s="2" t="s">
        <v>405</v>
      </c>
      <c r="F2287" s="1"/>
      <c r="G2287" s="2">
        <v>64</v>
      </c>
      <c r="H2287" s="1"/>
      <c r="I2287" t="s">
        <v>1</v>
      </c>
      <c r="J2287" t="s">
        <v>2</v>
      </c>
      <c r="K2287" t="s">
        <v>19</v>
      </c>
      <c r="L2287" t="s">
        <v>407</v>
      </c>
      <c r="M2287" s="3" t="s">
        <v>1921</v>
      </c>
    </row>
    <row r="2288" spans="1:13" hidden="1" x14ac:dyDescent="0.25">
      <c r="A2288" s="1" t="str">
        <f>VLOOKUP(Table2[[#This Row],[Prod Line ]],Lists!A:E,5,0)</f>
        <v>d</v>
      </c>
      <c r="B2288" s="1">
        <v>44539</v>
      </c>
      <c r="C2288" s="1">
        <v>44537</v>
      </c>
      <c r="D2288" s="1" t="s">
        <v>62</v>
      </c>
      <c r="E2288" s="2" t="s">
        <v>406</v>
      </c>
      <c r="F2288" s="1"/>
      <c r="G2288" s="2">
        <v>9</v>
      </c>
      <c r="H2288" s="1"/>
      <c r="I2288" t="s">
        <v>1</v>
      </c>
      <c r="J2288" t="s">
        <v>2</v>
      </c>
      <c r="K2288" t="s">
        <v>19</v>
      </c>
      <c r="L2288" t="s">
        <v>344</v>
      </c>
      <c r="M2288" s="3" t="s">
        <v>1922</v>
      </c>
    </row>
    <row r="2289" spans="1:14" hidden="1" x14ac:dyDescent="0.25">
      <c r="A2289" s="1" t="str">
        <f>VLOOKUP(Table2[[#This Row],[Prod Line ]],Lists!A:E,5,0)</f>
        <v>a</v>
      </c>
      <c r="B2289" s="1">
        <v>44540</v>
      </c>
      <c r="C2289" s="1">
        <v>44538</v>
      </c>
      <c r="D2289" s="1" t="s">
        <v>56</v>
      </c>
      <c r="E2289" s="2" t="s">
        <v>404</v>
      </c>
      <c r="F2289" s="1"/>
      <c r="G2289" s="2">
        <v>9</v>
      </c>
      <c r="H2289" s="1"/>
      <c r="I2289" t="s">
        <v>1</v>
      </c>
      <c r="J2289" t="s">
        <v>64</v>
      </c>
      <c r="K2289" t="s">
        <v>363</v>
      </c>
      <c r="L2289" t="s">
        <v>407</v>
      </c>
      <c r="M2289" s="3" t="s">
        <v>1923</v>
      </c>
    </row>
    <row r="2290" spans="1:14" hidden="1" x14ac:dyDescent="0.25">
      <c r="A2290" s="1" t="str">
        <f>VLOOKUP(Table2[[#This Row],[Prod Line ]],Lists!A:E,5,0)</f>
        <v>b</v>
      </c>
      <c r="B2290" s="1">
        <v>44540</v>
      </c>
      <c r="C2290" s="1">
        <v>44538</v>
      </c>
      <c r="D2290" s="1" t="s">
        <v>58</v>
      </c>
      <c r="E2290" s="2" t="s">
        <v>404</v>
      </c>
      <c r="F2290" s="1"/>
      <c r="G2290" s="2">
        <v>6</v>
      </c>
      <c r="H2290" s="1"/>
      <c r="I2290" t="s">
        <v>1</v>
      </c>
      <c r="J2290" t="s">
        <v>26</v>
      </c>
      <c r="K2290" t="s">
        <v>26</v>
      </c>
      <c r="L2290" t="s">
        <v>441</v>
      </c>
      <c r="M2290" s="3" t="s">
        <v>1925</v>
      </c>
    </row>
    <row r="2291" spans="1:14" hidden="1" x14ac:dyDescent="0.25">
      <c r="A2291" s="1" t="str">
        <f>VLOOKUP(Table2[[#This Row],[Prod Line ]],Lists!A:E,5,0)</f>
        <v>b</v>
      </c>
      <c r="B2291" s="1">
        <v>44540</v>
      </c>
      <c r="C2291" s="1">
        <v>44538</v>
      </c>
      <c r="D2291" s="1" t="s">
        <v>58</v>
      </c>
      <c r="E2291" s="2" t="s">
        <v>404</v>
      </c>
      <c r="F2291" s="1"/>
      <c r="G2291" s="2">
        <v>7</v>
      </c>
      <c r="H2291" s="1"/>
      <c r="I2291" t="s">
        <v>1</v>
      </c>
      <c r="J2291" t="s">
        <v>2</v>
      </c>
      <c r="K2291" t="s">
        <v>19</v>
      </c>
      <c r="L2291" t="s">
        <v>349</v>
      </c>
      <c r="M2291" s="3" t="s">
        <v>575</v>
      </c>
    </row>
    <row r="2292" spans="1:14" hidden="1" x14ac:dyDescent="0.25">
      <c r="A2292" s="1" t="str">
        <f>VLOOKUP(Table2[[#This Row],[Prod Line ]],Lists!A:E,5,0)</f>
        <v>b</v>
      </c>
      <c r="B2292" s="1">
        <v>44540</v>
      </c>
      <c r="C2292" s="1">
        <v>44538</v>
      </c>
      <c r="D2292" s="1" t="s">
        <v>58</v>
      </c>
      <c r="E2292" s="2" t="s">
        <v>405</v>
      </c>
      <c r="F2292" s="1"/>
      <c r="G2292" s="2">
        <v>85</v>
      </c>
      <c r="H2292" s="1"/>
      <c r="I2292" t="s">
        <v>0</v>
      </c>
      <c r="J2292" t="s">
        <v>65</v>
      </c>
      <c r="K2292" t="s">
        <v>3</v>
      </c>
      <c r="L2292" t="s">
        <v>70</v>
      </c>
      <c r="M2292" s="3" t="s">
        <v>1926</v>
      </c>
      <c r="N2292" s="20" t="s">
        <v>1975</v>
      </c>
    </row>
    <row r="2293" spans="1:14" hidden="1" x14ac:dyDescent="0.25">
      <c r="A2293" s="1" t="str">
        <f>VLOOKUP(Table2[[#This Row],[Prod Line ]],Lists!A:E,5,0)</f>
        <v>c</v>
      </c>
      <c r="B2293" s="1">
        <v>44540</v>
      </c>
      <c r="C2293" s="1">
        <v>44538</v>
      </c>
      <c r="D2293" s="1" t="s">
        <v>60</v>
      </c>
      <c r="E2293" s="2" t="s">
        <v>404</v>
      </c>
      <c r="F2293" s="1"/>
      <c r="G2293" s="2">
        <v>11</v>
      </c>
      <c r="H2293" s="1"/>
      <c r="I2293" t="s">
        <v>0</v>
      </c>
      <c r="J2293" t="s">
        <v>64</v>
      </c>
      <c r="K2293" t="s">
        <v>381</v>
      </c>
      <c r="L2293" t="s">
        <v>70</v>
      </c>
      <c r="M2293" s="3" t="s">
        <v>1849</v>
      </c>
    </row>
    <row r="2294" spans="1:14" hidden="1" x14ac:dyDescent="0.25">
      <c r="A2294" s="1" t="str">
        <f>VLOOKUP(Table2[[#This Row],[Prod Line ]],Lists!A:E,5,0)</f>
        <v>d</v>
      </c>
      <c r="B2294" s="1">
        <v>44540</v>
      </c>
      <c r="C2294" s="1">
        <v>44538</v>
      </c>
      <c r="D2294" s="1" t="s">
        <v>62</v>
      </c>
      <c r="E2294" s="2" t="s">
        <v>405</v>
      </c>
      <c r="F2294" s="1"/>
      <c r="G2294" s="2">
        <v>10</v>
      </c>
      <c r="H2294" s="1"/>
      <c r="I2294" t="s">
        <v>1</v>
      </c>
      <c r="J2294" t="s">
        <v>64</v>
      </c>
      <c r="K2294" t="s">
        <v>379</v>
      </c>
      <c r="L2294" t="s">
        <v>407</v>
      </c>
      <c r="M2294" s="3" t="s">
        <v>1927</v>
      </c>
    </row>
    <row r="2295" spans="1:14" hidden="1" x14ac:dyDescent="0.25">
      <c r="A2295" s="1" t="str">
        <f>VLOOKUP(Table2[[#This Row],[Prod Line ]],Lists!A:E,5,0)</f>
        <v>d</v>
      </c>
      <c r="B2295" s="1">
        <v>44540</v>
      </c>
      <c r="C2295" s="1">
        <v>44538</v>
      </c>
      <c r="D2295" s="1" t="s">
        <v>62</v>
      </c>
      <c r="E2295" s="2" t="s">
        <v>405</v>
      </c>
      <c r="F2295" s="1"/>
      <c r="G2295" s="2">
        <v>5</v>
      </c>
      <c r="H2295" s="1"/>
      <c r="I2295" t="s">
        <v>1</v>
      </c>
      <c r="J2295" t="s">
        <v>64</v>
      </c>
      <c r="K2295" t="s">
        <v>379</v>
      </c>
      <c r="L2295" t="s">
        <v>407</v>
      </c>
      <c r="M2295" s="3" t="s">
        <v>1928</v>
      </c>
    </row>
    <row r="2296" spans="1:14" hidden="1" x14ac:dyDescent="0.25">
      <c r="A2296" s="1" t="str">
        <f>VLOOKUP(Table2[[#This Row],[Prod Line ]],Lists!A:E,5,0)</f>
        <v>d</v>
      </c>
      <c r="B2296" s="1">
        <v>44540</v>
      </c>
      <c r="C2296" s="1">
        <v>44538</v>
      </c>
      <c r="D2296" s="1" t="s">
        <v>62</v>
      </c>
      <c r="E2296" s="2" t="s">
        <v>405</v>
      </c>
      <c r="F2296" s="1"/>
      <c r="G2296" s="2">
        <v>10</v>
      </c>
      <c r="H2296" s="1"/>
      <c r="I2296" t="s">
        <v>1</v>
      </c>
      <c r="J2296" t="s">
        <v>64</v>
      </c>
      <c r="K2296" t="s">
        <v>379</v>
      </c>
      <c r="L2296" t="s">
        <v>344</v>
      </c>
      <c r="M2296" s="3" t="s">
        <v>1929</v>
      </c>
    </row>
    <row r="2297" spans="1:14" hidden="1" x14ac:dyDescent="0.25">
      <c r="A2297" s="1" t="str">
        <f>VLOOKUP(Table2[[#This Row],[Prod Line ]],Lists!A:E,5,0)</f>
        <v>d</v>
      </c>
      <c r="B2297" s="1">
        <v>44540</v>
      </c>
      <c r="C2297" s="1">
        <v>44538</v>
      </c>
      <c r="D2297" s="1" t="s">
        <v>62</v>
      </c>
      <c r="E2297" s="2" t="s">
        <v>404</v>
      </c>
      <c r="F2297" s="1"/>
      <c r="G2297" s="2">
        <v>6</v>
      </c>
      <c r="H2297" s="1"/>
      <c r="I2297" t="s">
        <v>1</v>
      </c>
      <c r="J2297" t="s">
        <v>2</v>
      </c>
      <c r="K2297" t="s">
        <v>19</v>
      </c>
      <c r="L2297" t="s">
        <v>349</v>
      </c>
      <c r="M2297" s="3" t="s">
        <v>575</v>
      </c>
    </row>
    <row r="2298" spans="1:14" hidden="1" x14ac:dyDescent="0.25">
      <c r="A2298" s="1" t="str">
        <f>VLOOKUP(Table2[[#This Row],[Prod Line ]],Lists!A:E,5,0)</f>
        <v>b</v>
      </c>
      <c r="B2298" s="1">
        <v>44541</v>
      </c>
      <c r="C2298" s="1">
        <v>44539</v>
      </c>
      <c r="D2298" s="1" t="s">
        <v>58</v>
      </c>
      <c r="E2298" s="2" t="s">
        <v>406</v>
      </c>
      <c r="F2298" s="1"/>
      <c r="G2298" s="2">
        <v>90</v>
      </c>
      <c r="H2298" s="1"/>
      <c r="I2298" t="s">
        <v>0</v>
      </c>
      <c r="J2298" t="s">
        <v>65</v>
      </c>
      <c r="K2298" t="s">
        <v>3</v>
      </c>
      <c r="L2298" t="s">
        <v>70</v>
      </c>
      <c r="M2298" s="3" t="s">
        <v>1924</v>
      </c>
    </row>
    <row r="2299" spans="1:14" hidden="1" x14ac:dyDescent="0.25">
      <c r="A2299" s="1" t="str">
        <f>VLOOKUP(Table2[[#This Row],[Prod Line ]],Lists!A:E,5,0)</f>
        <v>c</v>
      </c>
      <c r="B2299" s="1">
        <v>44541</v>
      </c>
      <c r="C2299" s="1">
        <v>44539</v>
      </c>
      <c r="D2299" s="1" t="s">
        <v>60</v>
      </c>
      <c r="E2299" s="2" t="s">
        <v>405</v>
      </c>
      <c r="F2299" s="1"/>
      <c r="G2299" s="2">
        <v>10</v>
      </c>
      <c r="H2299" s="1"/>
      <c r="I2299" t="s">
        <v>1</v>
      </c>
      <c r="J2299" t="s">
        <v>2</v>
      </c>
      <c r="K2299" t="s">
        <v>13</v>
      </c>
      <c r="L2299" t="s">
        <v>407</v>
      </c>
      <c r="M2299" s="3" t="s">
        <v>1866</v>
      </c>
    </row>
    <row r="2300" spans="1:14" hidden="1" x14ac:dyDescent="0.25">
      <c r="A2300" s="1" t="str">
        <f>VLOOKUP(Table2[[#This Row],[Prod Line ]],Lists!A:E,5,0)</f>
        <v>c</v>
      </c>
      <c r="B2300" s="1">
        <v>44541</v>
      </c>
      <c r="C2300" s="1">
        <v>44539</v>
      </c>
      <c r="D2300" s="1" t="s">
        <v>60</v>
      </c>
      <c r="E2300" s="2" t="s">
        <v>405</v>
      </c>
      <c r="F2300" s="1"/>
      <c r="G2300" s="2">
        <v>9</v>
      </c>
      <c r="H2300" s="1"/>
      <c r="I2300" t="s">
        <v>1</v>
      </c>
      <c r="J2300" t="s">
        <v>2</v>
      </c>
      <c r="K2300" t="s">
        <v>13</v>
      </c>
      <c r="L2300" t="s">
        <v>349</v>
      </c>
      <c r="M2300" s="3" t="s">
        <v>575</v>
      </c>
    </row>
    <row r="2301" spans="1:14" hidden="1" x14ac:dyDescent="0.25">
      <c r="A2301" s="1" t="str">
        <f>VLOOKUP(Table2[[#This Row],[Prod Line ]],Lists!A:E,5,0)</f>
        <v>d</v>
      </c>
      <c r="B2301" s="1">
        <v>44541</v>
      </c>
      <c r="C2301" s="1">
        <v>44539</v>
      </c>
      <c r="D2301" s="1" t="s">
        <v>62</v>
      </c>
      <c r="E2301" s="2" t="s">
        <v>404</v>
      </c>
      <c r="F2301" s="1"/>
      <c r="G2301" s="2">
        <v>15</v>
      </c>
      <c r="H2301" s="1"/>
      <c r="I2301" t="s">
        <v>1</v>
      </c>
      <c r="J2301" t="s">
        <v>2</v>
      </c>
      <c r="K2301" t="s">
        <v>13</v>
      </c>
      <c r="L2301" t="s">
        <v>349</v>
      </c>
      <c r="M2301" s="3" t="s">
        <v>575</v>
      </c>
    </row>
    <row r="2302" spans="1:14" hidden="1" x14ac:dyDescent="0.25">
      <c r="A2302" s="1" t="str">
        <f>VLOOKUP(Table2[[#This Row],[Prod Line ]],Lists!A:E,5,0)</f>
        <v>d</v>
      </c>
      <c r="B2302" s="1">
        <v>44541</v>
      </c>
      <c r="C2302" s="1">
        <v>44539</v>
      </c>
      <c r="D2302" s="1" t="s">
        <v>62</v>
      </c>
      <c r="E2302" s="2" t="s">
        <v>404</v>
      </c>
      <c r="F2302" s="1"/>
      <c r="G2302" s="2">
        <v>7</v>
      </c>
      <c r="H2302" s="1"/>
      <c r="I2302" t="s">
        <v>0</v>
      </c>
      <c r="J2302" t="s">
        <v>2</v>
      </c>
      <c r="K2302" t="s">
        <v>19</v>
      </c>
      <c r="L2302" t="s">
        <v>70</v>
      </c>
      <c r="M2302" s="3" t="s">
        <v>1930</v>
      </c>
    </row>
    <row r="2303" spans="1:14" hidden="1" x14ac:dyDescent="0.25">
      <c r="A2303" s="1" t="str">
        <f>VLOOKUP(Table2[[#This Row],[Prod Line ]],Lists!A:E,5,0)</f>
        <v>d</v>
      </c>
      <c r="B2303" s="1">
        <v>44541</v>
      </c>
      <c r="C2303" s="1">
        <v>44539</v>
      </c>
      <c r="D2303" s="1" t="s">
        <v>62</v>
      </c>
      <c r="E2303" s="2" t="s">
        <v>404</v>
      </c>
      <c r="F2303" s="1"/>
      <c r="G2303" s="2">
        <v>20</v>
      </c>
      <c r="H2303" s="1"/>
      <c r="I2303" t="s">
        <v>0</v>
      </c>
      <c r="J2303" t="s">
        <v>5</v>
      </c>
      <c r="K2303" t="s">
        <v>397</v>
      </c>
      <c r="L2303" t="s">
        <v>70</v>
      </c>
      <c r="M2303" s="3" t="s">
        <v>1541</v>
      </c>
    </row>
    <row r="2304" spans="1:14" hidden="1" x14ac:dyDescent="0.25">
      <c r="A2304" s="1" t="str">
        <f>VLOOKUP(Table2[[#This Row],[Prod Line ]],Lists!A:E,5,0)</f>
        <v>d</v>
      </c>
      <c r="B2304" s="1">
        <v>44541</v>
      </c>
      <c r="C2304" s="1">
        <v>44539</v>
      </c>
      <c r="D2304" s="1" t="s">
        <v>62</v>
      </c>
      <c r="E2304" s="2" t="s">
        <v>405</v>
      </c>
      <c r="F2304" s="1"/>
      <c r="G2304" s="2">
        <v>108</v>
      </c>
      <c r="H2304" s="1"/>
      <c r="I2304" t="s">
        <v>1</v>
      </c>
      <c r="J2304" t="s">
        <v>2</v>
      </c>
      <c r="K2304" t="s">
        <v>19</v>
      </c>
      <c r="L2304" t="s">
        <v>407</v>
      </c>
      <c r="M2304" s="3" t="s">
        <v>1931</v>
      </c>
    </row>
    <row r="2305" spans="1:13" hidden="1" x14ac:dyDescent="0.25">
      <c r="A2305" s="1" t="str">
        <f>VLOOKUP(Table2[[#This Row],[Prod Line ]],Lists!A:E,5,0)</f>
        <v>c</v>
      </c>
      <c r="B2305" s="1">
        <v>44541</v>
      </c>
      <c r="C2305" s="1">
        <v>44540</v>
      </c>
      <c r="D2305" s="1" t="s">
        <v>60</v>
      </c>
      <c r="E2305" s="2" t="s">
        <v>404</v>
      </c>
      <c r="F2305" s="1"/>
      <c r="G2305" s="2">
        <v>28</v>
      </c>
      <c r="H2305" s="1"/>
      <c r="I2305" t="s">
        <v>1</v>
      </c>
      <c r="J2305" t="s">
        <v>64</v>
      </c>
      <c r="K2305" t="s">
        <v>381</v>
      </c>
      <c r="L2305" t="s">
        <v>407</v>
      </c>
      <c r="M2305" s="3" t="s">
        <v>1932</v>
      </c>
    </row>
    <row r="2306" spans="1:13" hidden="1" x14ac:dyDescent="0.25">
      <c r="A2306" s="1" t="str">
        <f>VLOOKUP(Table2[[#This Row],[Prod Line ]],Lists!A:E,5,0)</f>
        <v>a</v>
      </c>
      <c r="B2306" s="1">
        <v>44543</v>
      </c>
      <c r="C2306" s="1">
        <v>44541</v>
      </c>
      <c r="D2306" s="1" t="s">
        <v>56</v>
      </c>
      <c r="E2306" s="2" t="s">
        <v>404</v>
      </c>
      <c r="F2306" s="1"/>
      <c r="G2306" s="2">
        <v>10</v>
      </c>
      <c r="H2306" s="1"/>
      <c r="I2306" t="s">
        <v>1</v>
      </c>
      <c r="J2306" t="s">
        <v>2</v>
      </c>
      <c r="K2306" t="s">
        <v>19</v>
      </c>
      <c r="L2306" t="s">
        <v>407</v>
      </c>
      <c r="M2306" s="3" t="s">
        <v>1655</v>
      </c>
    </row>
    <row r="2307" spans="1:13" hidden="1" x14ac:dyDescent="0.25">
      <c r="A2307" s="1" t="str">
        <f>VLOOKUP(Table2[[#This Row],[Prod Line ]],Lists!A:E,5,0)</f>
        <v>b</v>
      </c>
      <c r="B2307" s="1">
        <v>44543</v>
      </c>
      <c r="C2307" s="1">
        <v>44541</v>
      </c>
      <c r="D2307" s="1" t="s">
        <v>58</v>
      </c>
      <c r="E2307" s="2" t="s">
        <v>406</v>
      </c>
      <c r="F2307" s="1"/>
      <c r="G2307" s="2">
        <v>52</v>
      </c>
      <c r="H2307" s="1"/>
      <c r="I2307" t="s">
        <v>1</v>
      </c>
      <c r="J2307" t="s">
        <v>2</v>
      </c>
      <c r="K2307" t="s">
        <v>19</v>
      </c>
      <c r="L2307" t="s">
        <v>407</v>
      </c>
      <c r="M2307" s="3" t="s">
        <v>1933</v>
      </c>
    </row>
    <row r="2308" spans="1:13" hidden="1" x14ac:dyDescent="0.25">
      <c r="A2308" s="1" t="str">
        <f>VLOOKUP(Table2[[#This Row],[Prod Line ]],Lists!A:E,5,0)</f>
        <v>b</v>
      </c>
      <c r="B2308" s="1">
        <v>44543</v>
      </c>
      <c r="C2308" s="1">
        <v>44541</v>
      </c>
      <c r="D2308" s="1" t="s">
        <v>58</v>
      </c>
      <c r="E2308" s="2" t="s">
        <v>406</v>
      </c>
      <c r="F2308" s="1"/>
      <c r="G2308" s="2">
        <v>19</v>
      </c>
      <c r="H2308" s="1"/>
      <c r="I2308" t="s">
        <v>1</v>
      </c>
      <c r="J2308" t="s">
        <v>26</v>
      </c>
      <c r="K2308" t="s">
        <v>25</v>
      </c>
      <c r="L2308" t="s">
        <v>441</v>
      </c>
      <c r="M2308" s="3" t="s">
        <v>1603</v>
      </c>
    </row>
    <row r="2309" spans="1:13" hidden="1" x14ac:dyDescent="0.25">
      <c r="A2309" s="1" t="str">
        <f>VLOOKUP(Table2[[#This Row],[Prod Line ]],Lists!A:E,5,0)</f>
        <v>c</v>
      </c>
      <c r="B2309" s="1">
        <v>44543</v>
      </c>
      <c r="C2309" s="1">
        <v>44541</v>
      </c>
      <c r="D2309" s="1" t="s">
        <v>60</v>
      </c>
      <c r="E2309" s="2" t="s">
        <v>404</v>
      </c>
      <c r="F2309" s="1"/>
      <c r="G2309" s="2">
        <v>23</v>
      </c>
      <c r="H2309" s="1"/>
      <c r="I2309" t="s">
        <v>0</v>
      </c>
      <c r="J2309" t="s">
        <v>64</v>
      </c>
      <c r="K2309" t="s">
        <v>381</v>
      </c>
      <c r="L2309" t="s">
        <v>70</v>
      </c>
      <c r="M2309" s="3" t="s">
        <v>1934</v>
      </c>
    </row>
    <row r="2310" spans="1:13" hidden="1" x14ac:dyDescent="0.25">
      <c r="A2310" s="1" t="str">
        <f>VLOOKUP(Table2[[#This Row],[Prod Line ]],Lists!A:E,5,0)</f>
        <v>d</v>
      </c>
      <c r="B2310" s="1">
        <v>44543</v>
      </c>
      <c r="C2310" s="1">
        <v>44541</v>
      </c>
      <c r="D2310" s="1" t="s">
        <v>62</v>
      </c>
      <c r="E2310" s="2" t="s">
        <v>406</v>
      </c>
      <c r="F2310" s="1"/>
      <c r="G2310" s="2">
        <v>7</v>
      </c>
      <c r="H2310" s="1"/>
      <c r="I2310" t="s">
        <v>0</v>
      </c>
      <c r="J2310" t="s">
        <v>5</v>
      </c>
      <c r="K2310" t="s">
        <v>397</v>
      </c>
      <c r="L2310" t="s">
        <v>70</v>
      </c>
      <c r="M2310" s="3" t="s">
        <v>1935</v>
      </c>
    </row>
    <row r="2311" spans="1:13" hidden="1" x14ac:dyDescent="0.25">
      <c r="A2311" s="1" t="str">
        <f>VLOOKUP(Table2[[#This Row],[Prod Line ]],Lists!A:E,5,0)</f>
        <v>d</v>
      </c>
      <c r="B2311" s="1">
        <v>44543</v>
      </c>
      <c r="C2311" s="1">
        <v>44541</v>
      </c>
      <c r="D2311" s="1" t="s">
        <v>62</v>
      </c>
      <c r="E2311" s="2" t="s">
        <v>404</v>
      </c>
      <c r="F2311" s="1"/>
      <c r="G2311" s="2">
        <v>29</v>
      </c>
      <c r="H2311" s="1"/>
      <c r="I2311" t="s">
        <v>0</v>
      </c>
      <c r="J2311" t="s">
        <v>5</v>
      </c>
      <c r="K2311" t="s">
        <v>397</v>
      </c>
      <c r="L2311" t="s">
        <v>70</v>
      </c>
      <c r="M2311" s="3" t="s">
        <v>1938</v>
      </c>
    </row>
    <row r="2312" spans="1:13" hidden="1" x14ac:dyDescent="0.25">
      <c r="A2312" s="1" t="str">
        <f>VLOOKUP(Table2[[#This Row],[Prod Line ]],Lists!A:E,5,0)</f>
        <v>b</v>
      </c>
      <c r="B2312" s="1">
        <v>44543</v>
      </c>
      <c r="C2312" s="1">
        <v>44541</v>
      </c>
      <c r="D2312" s="1" t="s">
        <v>58</v>
      </c>
      <c r="E2312" s="2" t="s">
        <v>406</v>
      </c>
      <c r="F2312" s="1"/>
      <c r="G2312" s="2">
        <v>100</v>
      </c>
      <c r="H2312" s="1"/>
      <c r="I2312" t="s">
        <v>1</v>
      </c>
      <c r="J2312" t="s">
        <v>2</v>
      </c>
      <c r="K2312" t="s">
        <v>17</v>
      </c>
      <c r="L2312" t="s">
        <v>407</v>
      </c>
      <c r="M2312" s="3" t="s">
        <v>1261</v>
      </c>
    </row>
    <row r="2313" spans="1:13" hidden="1" x14ac:dyDescent="0.25">
      <c r="A2313" s="1" t="str">
        <f>VLOOKUP(Table2[[#This Row],[Prod Line ]],Lists!A:E,5,0)</f>
        <v>d</v>
      </c>
      <c r="B2313" s="1">
        <v>44543</v>
      </c>
      <c r="C2313" s="1">
        <v>44541</v>
      </c>
      <c r="D2313" s="1" t="s">
        <v>62</v>
      </c>
      <c r="E2313" s="2" t="s">
        <v>405</v>
      </c>
      <c r="F2313" s="1"/>
      <c r="G2313" s="2">
        <v>15</v>
      </c>
      <c r="H2313" s="1"/>
      <c r="I2313" t="s">
        <v>0</v>
      </c>
      <c r="J2313" t="s">
        <v>5</v>
      </c>
      <c r="K2313" t="s">
        <v>397</v>
      </c>
      <c r="L2313" t="s">
        <v>70</v>
      </c>
      <c r="M2313" s="3" t="s">
        <v>1936</v>
      </c>
    </row>
    <row r="2314" spans="1:13" hidden="1" x14ac:dyDescent="0.25">
      <c r="A2314" s="1" t="str">
        <f>VLOOKUP(Table2[[#This Row],[Prod Line ]],Lists!A:E,5,0)</f>
        <v>a</v>
      </c>
      <c r="B2314" s="1">
        <v>44544</v>
      </c>
      <c r="C2314" s="1">
        <v>44542</v>
      </c>
      <c r="D2314" s="1" t="s">
        <v>56</v>
      </c>
      <c r="E2314" s="2" t="s">
        <v>404</v>
      </c>
      <c r="F2314" s="1"/>
      <c r="G2314" s="2">
        <v>6</v>
      </c>
      <c r="H2314" s="1"/>
      <c r="I2314" t="s">
        <v>1</v>
      </c>
      <c r="J2314" t="s">
        <v>65</v>
      </c>
      <c r="K2314" t="s">
        <v>27</v>
      </c>
      <c r="L2314" t="s">
        <v>441</v>
      </c>
      <c r="M2314" s="3" t="s">
        <v>1011</v>
      </c>
    </row>
    <row r="2315" spans="1:13" hidden="1" x14ac:dyDescent="0.25">
      <c r="A2315" s="1" t="str">
        <f>VLOOKUP(Table2[[#This Row],[Prod Line ]],Lists!A:E,5,0)</f>
        <v>b</v>
      </c>
      <c r="B2315" s="1">
        <v>44544</v>
      </c>
      <c r="C2315" s="1">
        <v>44542</v>
      </c>
      <c r="D2315" s="1" t="s">
        <v>58</v>
      </c>
      <c r="E2315" s="2" t="s">
        <v>405</v>
      </c>
      <c r="F2315" s="1"/>
      <c r="G2315" s="2">
        <v>20</v>
      </c>
      <c r="H2315" s="1"/>
      <c r="I2315" t="s">
        <v>1</v>
      </c>
      <c r="J2315" t="s">
        <v>65</v>
      </c>
      <c r="K2315" t="s">
        <v>27</v>
      </c>
      <c r="L2315" t="s">
        <v>441</v>
      </c>
      <c r="M2315" s="3" t="s">
        <v>1011</v>
      </c>
    </row>
    <row r="2316" spans="1:13" hidden="1" x14ac:dyDescent="0.25">
      <c r="A2316" s="1" t="str">
        <f>VLOOKUP(Table2[[#This Row],[Prod Line ]],Lists!A:E,5,0)</f>
        <v>d</v>
      </c>
      <c r="B2316" s="1">
        <v>44544</v>
      </c>
      <c r="C2316" s="1">
        <v>44542</v>
      </c>
      <c r="D2316" s="1" t="s">
        <v>62</v>
      </c>
      <c r="E2316" s="2" t="s">
        <v>405</v>
      </c>
      <c r="F2316" s="1"/>
      <c r="G2316" s="2">
        <v>68</v>
      </c>
      <c r="H2316" s="1"/>
      <c r="I2316" t="s">
        <v>1</v>
      </c>
      <c r="J2316" t="s">
        <v>2</v>
      </c>
      <c r="K2316" t="s">
        <v>19</v>
      </c>
      <c r="L2316" t="s">
        <v>407</v>
      </c>
      <c r="M2316" s="3" t="s">
        <v>1937</v>
      </c>
    </row>
    <row r="2317" spans="1:13" hidden="1" x14ac:dyDescent="0.25">
      <c r="A2317" s="1" t="str">
        <f>VLOOKUP(Table2[[#This Row],[Prod Line ]],Lists!A:E,5,0)</f>
        <v>b</v>
      </c>
      <c r="B2317" s="1">
        <v>44544</v>
      </c>
      <c r="C2317" s="1">
        <v>44542</v>
      </c>
      <c r="D2317" s="1" t="s">
        <v>58</v>
      </c>
      <c r="E2317" s="2" t="s">
        <v>404</v>
      </c>
      <c r="F2317" s="1"/>
      <c r="G2317" s="2">
        <v>50</v>
      </c>
      <c r="H2317" s="1"/>
      <c r="I2317" t="s">
        <v>1</v>
      </c>
      <c r="J2317" t="s">
        <v>2</v>
      </c>
      <c r="K2317" t="s">
        <v>17</v>
      </c>
      <c r="L2317" t="s">
        <v>407</v>
      </c>
      <c r="M2317" s="3" t="s">
        <v>1261</v>
      </c>
    </row>
    <row r="2318" spans="1:13" hidden="1" x14ac:dyDescent="0.25">
      <c r="A2318" s="1" t="str">
        <f>VLOOKUP(Table2[[#This Row],[Prod Line ]],Lists!A:E,5,0)</f>
        <v>d</v>
      </c>
      <c r="B2318" s="1">
        <v>44546</v>
      </c>
      <c r="C2318" s="1">
        <v>44544</v>
      </c>
      <c r="D2318" s="1" t="s">
        <v>62</v>
      </c>
      <c r="E2318" s="2" t="s">
        <v>404</v>
      </c>
      <c r="F2318" s="1"/>
      <c r="G2318" s="2">
        <v>13</v>
      </c>
      <c r="H2318" s="1"/>
      <c r="I2318" t="s">
        <v>1</v>
      </c>
      <c r="J2318" t="s">
        <v>64</v>
      </c>
      <c r="K2318" t="s">
        <v>379</v>
      </c>
      <c r="L2318" t="s">
        <v>407</v>
      </c>
      <c r="M2318" s="3" t="s">
        <v>750</v>
      </c>
    </row>
    <row r="2319" spans="1:13" hidden="1" x14ac:dyDescent="0.25">
      <c r="A2319" s="1" t="str">
        <f>VLOOKUP(Table2[[#This Row],[Prod Line ]],Lists!A:E,5,0)</f>
        <v>b</v>
      </c>
      <c r="B2319" s="1">
        <v>44546</v>
      </c>
      <c r="C2319" s="1">
        <v>44544</v>
      </c>
      <c r="D2319" s="1" t="s">
        <v>58</v>
      </c>
      <c r="E2319" s="2" t="s">
        <v>404</v>
      </c>
      <c r="F2319" s="1"/>
      <c r="G2319" s="2">
        <v>17</v>
      </c>
      <c r="H2319" s="1"/>
      <c r="I2319" t="s">
        <v>1</v>
      </c>
      <c r="J2319" t="s">
        <v>65</v>
      </c>
      <c r="K2319" t="s">
        <v>3</v>
      </c>
      <c r="L2319" t="s">
        <v>441</v>
      </c>
      <c r="M2319" s="3" t="s">
        <v>1547</v>
      </c>
    </row>
    <row r="2320" spans="1:13" hidden="1" x14ac:dyDescent="0.25">
      <c r="A2320" s="1" t="str">
        <f>VLOOKUP(Table2[[#This Row],[Prod Line ]],Lists!A:E,5,0)</f>
        <v>a</v>
      </c>
      <c r="B2320" s="1">
        <v>44546</v>
      </c>
      <c r="C2320" s="1">
        <v>44544</v>
      </c>
      <c r="D2320" s="1" t="s">
        <v>56</v>
      </c>
      <c r="E2320" s="2" t="s">
        <v>404</v>
      </c>
      <c r="F2320" s="1"/>
      <c r="G2320" s="2">
        <v>28</v>
      </c>
      <c r="H2320" s="1"/>
      <c r="I2320" t="s">
        <v>0</v>
      </c>
      <c r="J2320" t="s">
        <v>64</v>
      </c>
      <c r="K2320" t="s">
        <v>363</v>
      </c>
      <c r="L2320" t="s">
        <v>70</v>
      </c>
      <c r="M2320" s="3" t="s">
        <v>616</v>
      </c>
    </row>
    <row r="2321" spans="1:13" hidden="1" x14ac:dyDescent="0.25">
      <c r="A2321" s="1" t="str">
        <f>VLOOKUP(Table2[[#This Row],[Prod Line ]],Lists!A:E,5,0)</f>
        <v>a</v>
      </c>
      <c r="B2321" s="1">
        <v>44546</v>
      </c>
      <c r="C2321" s="1">
        <v>44544</v>
      </c>
      <c r="D2321" s="1" t="s">
        <v>56</v>
      </c>
      <c r="E2321" s="2" t="s">
        <v>404</v>
      </c>
      <c r="F2321" s="1"/>
      <c r="G2321" s="2">
        <v>5</v>
      </c>
      <c r="H2321" s="1"/>
      <c r="I2321" t="s">
        <v>1</v>
      </c>
      <c r="J2321" t="s">
        <v>64</v>
      </c>
      <c r="K2321" t="s">
        <v>370</v>
      </c>
      <c r="L2321" t="s">
        <v>407</v>
      </c>
      <c r="M2321" s="3" t="s">
        <v>750</v>
      </c>
    </row>
    <row r="2322" spans="1:13" hidden="1" x14ac:dyDescent="0.25">
      <c r="A2322" s="1" t="str">
        <f>VLOOKUP(Table2[[#This Row],[Prod Line ]],Lists!A:E,5,0)</f>
        <v>a</v>
      </c>
      <c r="B2322" s="1">
        <v>44546</v>
      </c>
      <c r="C2322" s="1">
        <v>44544</v>
      </c>
      <c r="D2322" s="1" t="s">
        <v>56</v>
      </c>
      <c r="E2322" s="2" t="s">
        <v>404</v>
      </c>
      <c r="F2322" s="1"/>
      <c r="G2322" s="2">
        <v>8</v>
      </c>
      <c r="H2322" s="1"/>
      <c r="I2322" t="s">
        <v>0</v>
      </c>
      <c r="J2322" t="s">
        <v>65</v>
      </c>
      <c r="K2322" t="s">
        <v>3</v>
      </c>
      <c r="L2322" t="s">
        <v>70</v>
      </c>
      <c r="M2322" s="3" t="s">
        <v>1264</v>
      </c>
    </row>
    <row r="2323" spans="1:13" hidden="1" x14ac:dyDescent="0.25">
      <c r="A2323" s="1" t="str">
        <f>VLOOKUP(Table2[[#This Row],[Prod Line ]],Lists!A:E,5,0)</f>
        <v>b</v>
      </c>
      <c r="B2323" s="1">
        <v>44546</v>
      </c>
      <c r="C2323" s="1">
        <v>44544</v>
      </c>
      <c r="D2323" s="1" t="s">
        <v>58</v>
      </c>
      <c r="E2323" s="2" t="s">
        <v>406</v>
      </c>
      <c r="F2323" s="1"/>
      <c r="G2323" s="2">
        <v>35</v>
      </c>
      <c r="H2323" s="1"/>
      <c r="I2323" t="s">
        <v>0</v>
      </c>
      <c r="J2323" t="s">
        <v>26</v>
      </c>
      <c r="K2323" t="s">
        <v>26</v>
      </c>
      <c r="L2323" t="s">
        <v>70</v>
      </c>
      <c r="M2323" s="3" t="s">
        <v>1330</v>
      </c>
    </row>
    <row r="2324" spans="1:13" hidden="1" x14ac:dyDescent="0.25">
      <c r="A2324" s="1" t="str">
        <f>VLOOKUP(Table2[[#This Row],[Prod Line ]],Lists!A:E,5,0)</f>
        <v>b</v>
      </c>
      <c r="B2324" s="1">
        <v>44547</v>
      </c>
      <c r="C2324" s="1">
        <v>44545</v>
      </c>
      <c r="D2324" s="1" t="s">
        <v>58</v>
      </c>
      <c r="E2324" s="2" t="s">
        <v>404</v>
      </c>
      <c r="F2324" s="1"/>
      <c r="G2324" s="2">
        <v>6</v>
      </c>
      <c r="H2324" s="1"/>
      <c r="I2324" t="s">
        <v>1</v>
      </c>
      <c r="J2324" t="s">
        <v>65</v>
      </c>
      <c r="K2324" t="s">
        <v>27</v>
      </c>
      <c r="L2324" t="s">
        <v>441</v>
      </c>
      <c r="M2324" s="3" t="s">
        <v>612</v>
      </c>
    </row>
    <row r="2325" spans="1:13" hidden="1" x14ac:dyDescent="0.25">
      <c r="A2325" s="1" t="str">
        <f>VLOOKUP(Table2[[#This Row],[Prod Line ]],Lists!A:E,5,0)</f>
        <v>b</v>
      </c>
      <c r="B2325" s="1">
        <v>44547</v>
      </c>
      <c r="C2325" s="1">
        <v>44545</v>
      </c>
      <c r="D2325" s="1" t="s">
        <v>58</v>
      </c>
      <c r="E2325" s="2" t="s">
        <v>406</v>
      </c>
      <c r="F2325" s="1"/>
      <c r="G2325" s="2">
        <v>7</v>
      </c>
      <c r="H2325" s="1"/>
      <c r="I2325" t="s">
        <v>0</v>
      </c>
      <c r="J2325" t="s">
        <v>64</v>
      </c>
      <c r="K2325" t="s">
        <v>22</v>
      </c>
      <c r="L2325" t="s">
        <v>70</v>
      </c>
      <c r="M2325" s="3" t="s">
        <v>1706</v>
      </c>
    </row>
    <row r="2326" spans="1:13" hidden="1" x14ac:dyDescent="0.25">
      <c r="A2326" s="1" t="str">
        <f>VLOOKUP(Table2[[#This Row],[Prod Line ]],Lists!A:E,5,0)</f>
        <v>b</v>
      </c>
      <c r="B2326" s="1">
        <v>44547</v>
      </c>
      <c r="C2326" s="1">
        <v>44545</v>
      </c>
      <c r="D2326" s="1" t="s">
        <v>58</v>
      </c>
      <c r="E2326" s="2" t="s">
        <v>406</v>
      </c>
      <c r="F2326" s="1"/>
      <c r="G2326" s="2">
        <v>5</v>
      </c>
      <c r="H2326" s="1"/>
      <c r="I2326" t="s">
        <v>1</v>
      </c>
      <c r="J2326" t="s">
        <v>2</v>
      </c>
      <c r="K2326" t="s">
        <v>15</v>
      </c>
      <c r="L2326" t="s">
        <v>407</v>
      </c>
      <c r="M2326" s="3" t="s">
        <v>437</v>
      </c>
    </row>
    <row r="2327" spans="1:13" hidden="1" x14ac:dyDescent="0.25">
      <c r="A2327" s="1" t="str">
        <f>VLOOKUP(Table2[[#This Row],[Prod Line ]],Lists!A:E,5,0)</f>
        <v>d</v>
      </c>
      <c r="B2327" s="1">
        <v>44547</v>
      </c>
      <c r="C2327" s="1">
        <v>44545</v>
      </c>
      <c r="D2327" s="1" t="s">
        <v>62</v>
      </c>
      <c r="E2327" s="2" t="s">
        <v>404</v>
      </c>
      <c r="F2327" s="1"/>
      <c r="G2327" s="2">
        <v>25</v>
      </c>
      <c r="H2327" s="1"/>
      <c r="I2327" t="s">
        <v>1</v>
      </c>
      <c r="J2327" t="s">
        <v>2</v>
      </c>
      <c r="K2327" t="s">
        <v>15</v>
      </c>
      <c r="L2327" t="s">
        <v>407</v>
      </c>
      <c r="M2327" s="3" t="s">
        <v>1939</v>
      </c>
    </row>
    <row r="2328" spans="1:13" hidden="1" x14ac:dyDescent="0.25">
      <c r="A2328" s="1" t="str">
        <f>VLOOKUP(Table2[[#This Row],[Prod Line ]],Lists!A:E,5,0)</f>
        <v>d</v>
      </c>
      <c r="B2328" s="1">
        <v>44547</v>
      </c>
      <c r="C2328" s="1">
        <v>44545</v>
      </c>
      <c r="D2328" s="1" t="s">
        <v>62</v>
      </c>
      <c r="E2328" s="2" t="s">
        <v>405</v>
      </c>
      <c r="F2328" s="1"/>
      <c r="G2328" s="2">
        <v>10</v>
      </c>
      <c r="H2328" s="1"/>
      <c r="I2328" t="s">
        <v>1</v>
      </c>
      <c r="J2328" t="s">
        <v>5</v>
      </c>
      <c r="K2328" t="s">
        <v>396</v>
      </c>
      <c r="L2328" t="s">
        <v>407</v>
      </c>
      <c r="M2328" s="3" t="s">
        <v>1189</v>
      </c>
    </row>
    <row r="2329" spans="1:13" hidden="1" x14ac:dyDescent="0.25">
      <c r="A2329" s="1" t="str">
        <f>VLOOKUP(Table2[[#This Row],[Prod Line ]],Lists!A:E,5,0)</f>
        <v>b</v>
      </c>
      <c r="B2329" s="1">
        <v>44548</v>
      </c>
      <c r="C2329" s="1">
        <v>44546</v>
      </c>
      <c r="D2329" s="1" t="s">
        <v>58</v>
      </c>
      <c r="E2329" s="2" t="s">
        <v>404</v>
      </c>
      <c r="F2329" s="1"/>
      <c r="G2329" s="2">
        <v>3</v>
      </c>
      <c r="H2329" s="1"/>
      <c r="I2329" t="s">
        <v>1</v>
      </c>
      <c r="J2329" t="s">
        <v>65</v>
      </c>
      <c r="K2329" t="s">
        <v>27</v>
      </c>
      <c r="L2329" t="s">
        <v>441</v>
      </c>
      <c r="M2329" s="3" t="s">
        <v>612</v>
      </c>
    </row>
    <row r="2330" spans="1:13" hidden="1" x14ac:dyDescent="0.25">
      <c r="A2330" s="1" t="str">
        <f>VLOOKUP(Table2[[#This Row],[Prod Line ]],Lists!A:E,5,0)</f>
        <v>b</v>
      </c>
      <c r="B2330" s="1">
        <v>44548</v>
      </c>
      <c r="C2330" s="1">
        <v>44546</v>
      </c>
      <c r="D2330" s="1" t="s">
        <v>58</v>
      </c>
      <c r="E2330" s="2" t="s">
        <v>406</v>
      </c>
      <c r="F2330" s="1"/>
      <c r="G2330" s="2">
        <v>6</v>
      </c>
      <c r="H2330" s="1"/>
      <c r="I2330" t="s">
        <v>1</v>
      </c>
      <c r="J2330" t="s">
        <v>64</v>
      </c>
      <c r="K2330" t="s">
        <v>24</v>
      </c>
      <c r="L2330" t="s">
        <v>407</v>
      </c>
      <c r="M2330" s="3" t="s">
        <v>1940</v>
      </c>
    </row>
    <row r="2331" spans="1:13" hidden="1" x14ac:dyDescent="0.25">
      <c r="A2331" s="1" t="str">
        <f>VLOOKUP(Table2[[#This Row],[Prod Line ]],Lists!A:E,5,0)</f>
        <v>c</v>
      </c>
      <c r="B2331" s="1">
        <v>44550</v>
      </c>
      <c r="C2331" s="1">
        <v>44548</v>
      </c>
      <c r="D2331" s="1" t="s">
        <v>60</v>
      </c>
      <c r="E2331" s="2" t="s">
        <v>404</v>
      </c>
      <c r="F2331" s="1"/>
      <c r="G2331" s="2">
        <v>7</v>
      </c>
      <c r="H2331" s="1"/>
      <c r="I2331" t="s">
        <v>1</v>
      </c>
      <c r="J2331" t="s">
        <v>64</v>
      </c>
      <c r="K2331" t="s">
        <v>381</v>
      </c>
      <c r="L2331" t="s">
        <v>407</v>
      </c>
      <c r="M2331" s="3" t="s">
        <v>1941</v>
      </c>
    </row>
    <row r="2332" spans="1:13" hidden="1" x14ac:dyDescent="0.25">
      <c r="A2332" s="1" t="str">
        <f>VLOOKUP(Table2[[#This Row],[Prod Line ]],Lists!A:E,5,0)</f>
        <v>d</v>
      </c>
      <c r="B2332" s="1">
        <v>44550</v>
      </c>
      <c r="C2332" s="1">
        <v>44548</v>
      </c>
      <c r="D2332" s="1" t="s">
        <v>62</v>
      </c>
      <c r="E2332" s="2" t="s">
        <v>405</v>
      </c>
      <c r="F2332" s="1"/>
      <c r="G2332" s="2">
        <v>3</v>
      </c>
      <c r="H2332" s="1"/>
      <c r="I2332" t="s">
        <v>1</v>
      </c>
      <c r="J2332" t="s">
        <v>2</v>
      </c>
      <c r="K2332" t="s">
        <v>19</v>
      </c>
      <c r="L2332" t="s">
        <v>349</v>
      </c>
      <c r="M2332" s="3" t="s">
        <v>846</v>
      </c>
    </row>
    <row r="2333" spans="1:13" hidden="1" x14ac:dyDescent="0.25">
      <c r="A2333" s="1" t="str">
        <f>VLOOKUP(Table2[[#This Row],[Prod Line ]],Lists!A:E,5,0)</f>
        <v>b</v>
      </c>
      <c r="B2333" s="1">
        <v>44550</v>
      </c>
      <c r="C2333" s="1">
        <v>44548</v>
      </c>
      <c r="D2333" s="1" t="s">
        <v>58</v>
      </c>
      <c r="E2333" s="2" t="s">
        <v>406</v>
      </c>
      <c r="F2333" s="1"/>
      <c r="G2333" s="2">
        <v>4</v>
      </c>
      <c r="H2333" s="1"/>
      <c r="I2333" t="s">
        <v>1</v>
      </c>
      <c r="J2333" t="s">
        <v>26</v>
      </c>
      <c r="K2333" t="s">
        <v>25</v>
      </c>
      <c r="L2333" t="s">
        <v>441</v>
      </c>
      <c r="M2333" s="3" t="s">
        <v>1942</v>
      </c>
    </row>
    <row r="2334" spans="1:13" hidden="1" x14ac:dyDescent="0.25">
      <c r="A2334" s="1" t="str">
        <f>VLOOKUP(Table2[[#This Row],[Prod Line ]],Lists!A:E,5,0)</f>
        <v>b</v>
      </c>
      <c r="B2334" s="1">
        <v>44550</v>
      </c>
      <c r="C2334" s="1">
        <v>44548</v>
      </c>
      <c r="D2334" s="1" t="s">
        <v>58</v>
      </c>
      <c r="E2334" s="2" t="s">
        <v>405</v>
      </c>
      <c r="F2334" s="1"/>
      <c r="G2334" s="2">
        <v>10</v>
      </c>
      <c r="H2334" s="1"/>
      <c r="I2334" t="s">
        <v>1</v>
      </c>
      <c r="J2334" t="s">
        <v>64</v>
      </c>
      <c r="K2334" t="s">
        <v>21</v>
      </c>
      <c r="L2334" t="s">
        <v>350</v>
      </c>
      <c r="M2334" s="3" t="s">
        <v>1943</v>
      </c>
    </row>
    <row r="2335" spans="1:13" hidden="1" x14ac:dyDescent="0.25">
      <c r="A2335" s="1" t="str">
        <f>VLOOKUP(Table2[[#This Row],[Prod Line ]],Lists!A:E,5,0)</f>
        <v>b</v>
      </c>
      <c r="B2335" s="1">
        <v>44550</v>
      </c>
      <c r="C2335" s="1">
        <v>44548</v>
      </c>
      <c r="D2335" s="1" t="s">
        <v>58</v>
      </c>
      <c r="E2335" s="2" t="s">
        <v>405</v>
      </c>
      <c r="F2335" s="1"/>
      <c r="G2335" s="2">
        <v>4</v>
      </c>
      <c r="H2335" s="1"/>
      <c r="I2335" t="s">
        <v>1</v>
      </c>
      <c r="J2335" t="s">
        <v>26</v>
      </c>
      <c r="K2335" t="s">
        <v>26</v>
      </c>
      <c r="L2335" t="s">
        <v>441</v>
      </c>
      <c r="M2335" s="3" t="s">
        <v>612</v>
      </c>
    </row>
    <row r="2336" spans="1:13" hidden="1" x14ac:dyDescent="0.25">
      <c r="A2336" s="1" t="str">
        <f>VLOOKUP(Table2[[#This Row],[Prod Line ]],Lists!A:E,5,0)</f>
        <v>b</v>
      </c>
      <c r="B2336" s="1">
        <v>44550</v>
      </c>
      <c r="C2336" s="1">
        <v>44548</v>
      </c>
      <c r="D2336" s="1" t="s">
        <v>58</v>
      </c>
      <c r="E2336" s="2" t="s">
        <v>406</v>
      </c>
      <c r="F2336" s="1"/>
      <c r="G2336" s="2">
        <v>21</v>
      </c>
      <c r="H2336" s="1"/>
      <c r="I2336" t="s">
        <v>0</v>
      </c>
      <c r="J2336" t="s">
        <v>64</v>
      </c>
      <c r="K2336" t="s">
        <v>20</v>
      </c>
      <c r="L2336" t="s">
        <v>70</v>
      </c>
      <c r="M2336" s="3" t="s">
        <v>1369</v>
      </c>
    </row>
    <row r="2337" spans="1:13" hidden="1" x14ac:dyDescent="0.25">
      <c r="A2337" s="1" t="str">
        <f>VLOOKUP(Table2[[#This Row],[Prod Line ]],Lists!A:E,5,0)</f>
        <v>b</v>
      </c>
      <c r="B2337" s="1">
        <v>44550</v>
      </c>
      <c r="C2337" s="1">
        <v>44548</v>
      </c>
      <c r="D2337" s="1" t="s">
        <v>58</v>
      </c>
      <c r="E2337" s="2" t="s">
        <v>406</v>
      </c>
      <c r="F2337" s="1"/>
      <c r="G2337" s="2">
        <v>10</v>
      </c>
      <c r="H2337" s="1"/>
      <c r="I2337" t="s">
        <v>0</v>
      </c>
      <c r="J2337" t="s">
        <v>26</v>
      </c>
      <c r="K2337" t="s">
        <v>26</v>
      </c>
      <c r="L2337" t="s">
        <v>70</v>
      </c>
      <c r="M2337" s="3" t="s">
        <v>1711</v>
      </c>
    </row>
    <row r="2338" spans="1:13" hidden="1" x14ac:dyDescent="0.25">
      <c r="A2338" s="1" t="str">
        <f>VLOOKUP(Table2[[#This Row],[Prod Line ]],Lists!A:E,5,0)</f>
        <v>b</v>
      </c>
      <c r="B2338" s="1">
        <v>44550</v>
      </c>
      <c r="C2338" s="1">
        <v>44548</v>
      </c>
      <c r="D2338" s="1" t="s">
        <v>58</v>
      </c>
      <c r="E2338" s="2" t="s">
        <v>406</v>
      </c>
      <c r="F2338" s="1"/>
      <c r="G2338" s="2">
        <v>13</v>
      </c>
      <c r="H2338" s="1"/>
      <c r="I2338" t="s">
        <v>1</v>
      </c>
      <c r="J2338" t="s">
        <v>64</v>
      </c>
      <c r="K2338" t="s">
        <v>22</v>
      </c>
      <c r="L2338" t="s">
        <v>441</v>
      </c>
      <c r="M2338" s="3" t="s">
        <v>1944</v>
      </c>
    </row>
    <row r="2339" spans="1:13" hidden="1" x14ac:dyDescent="0.25">
      <c r="A2339" s="1" t="str">
        <f>VLOOKUP(Table2[[#This Row],[Prod Line ]],Lists!A:E,5,0)</f>
        <v>b</v>
      </c>
      <c r="B2339" s="1">
        <v>44550</v>
      </c>
      <c r="C2339" s="1">
        <v>44549</v>
      </c>
      <c r="D2339" s="1" t="s">
        <v>58</v>
      </c>
      <c r="E2339" s="2" t="s">
        <v>406</v>
      </c>
      <c r="F2339" s="1"/>
      <c r="G2339" s="2">
        <v>5</v>
      </c>
      <c r="H2339" s="1"/>
      <c r="I2339" t="s">
        <v>1</v>
      </c>
      <c r="J2339" t="s">
        <v>65</v>
      </c>
      <c r="K2339" t="s">
        <v>27</v>
      </c>
      <c r="L2339" t="s">
        <v>441</v>
      </c>
      <c r="M2339" s="3" t="s">
        <v>612</v>
      </c>
    </row>
    <row r="2340" spans="1:13" hidden="1" x14ac:dyDescent="0.25">
      <c r="A2340" s="1" t="str">
        <f>VLOOKUP(Table2[[#This Row],[Prod Line ]],Lists!A:E,5,0)</f>
        <v>a</v>
      </c>
      <c r="B2340" s="1">
        <v>44551</v>
      </c>
      <c r="C2340" s="1">
        <v>44550</v>
      </c>
      <c r="D2340" s="1" t="s">
        <v>56</v>
      </c>
      <c r="E2340" s="2" t="s">
        <v>404</v>
      </c>
      <c r="F2340" s="1"/>
      <c r="G2340" s="2">
        <v>7</v>
      </c>
      <c r="H2340" s="1"/>
      <c r="I2340" t="s">
        <v>0</v>
      </c>
      <c r="J2340" t="s">
        <v>26</v>
      </c>
      <c r="K2340" t="s">
        <v>26</v>
      </c>
      <c r="L2340" t="s">
        <v>70</v>
      </c>
      <c r="M2340" s="3" t="s">
        <v>1945</v>
      </c>
    </row>
    <row r="2341" spans="1:13" hidden="1" x14ac:dyDescent="0.25">
      <c r="A2341" s="1" t="str">
        <f>VLOOKUP(Table2[[#This Row],[Prod Line ]],Lists!A:E,5,0)</f>
        <v>b</v>
      </c>
      <c r="B2341" s="1">
        <v>44551</v>
      </c>
      <c r="C2341" s="1">
        <v>44550</v>
      </c>
      <c r="D2341" s="1" t="s">
        <v>58</v>
      </c>
      <c r="E2341" s="2" t="s">
        <v>405</v>
      </c>
      <c r="F2341" s="1"/>
      <c r="G2341" s="2">
        <v>8</v>
      </c>
      <c r="H2341" s="1"/>
      <c r="I2341" t="s">
        <v>1</v>
      </c>
      <c r="J2341" t="s">
        <v>2</v>
      </c>
      <c r="K2341" t="s">
        <v>19</v>
      </c>
      <c r="L2341" t="s">
        <v>349</v>
      </c>
      <c r="M2341" s="3" t="s">
        <v>575</v>
      </c>
    </row>
    <row r="2342" spans="1:13" hidden="1" x14ac:dyDescent="0.25">
      <c r="A2342" s="1" t="str">
        <f>VLOOKUP(Table2[[#This Row],[Prod Line ]],Lists!A:E,5,0)</f>
        <v>b</v>
      </c>
      <c r="B2342" s="1">
        <v>44551</v>
      </c>
      <c r="C2342" s="1">
        <v>44550</v>
      </c>
      <c r="D2342" s="1" t="s">
        <v>58</v>
      </c>
      <c r="E2342" s="2" t="s">
        <v>405</v>
      </c>
      <c r="F2342" s="1"/>
      <c r="G2342" s="2">
        <v>16</v>
      </c>
      <c r="H2342" s="1"/>
      <c r="I2342" t="s">
        <v>1</v>
      </c>
      <c r="J2342" t="s">
        <v>64</v>
      </c>
      <c r="K2342" t="s">
        <v>21</v>
      </c>
      <c r="L2342" t="s">
        <v>344</v>
      </c>
      <c r="M2342" s="3" t="s">
        <v>1946</v>
      </c>
    </row>
    <row r="2343" spans="1:13" hidden="1" x14ac:dyDescent="0.25">
      <c r="A2343" s="1" t="str">
        <f>VLOOKUP(Table2[[#This Row],[Prod Line ]],Lists!A:E,5,0)</f>
        <v>c</v>
      </c>
      <c r="B2343" s="1">
        <v>44551</v>
      </c>
      <c r="C2343" s="1">
        <v>44550</v>
      </c>
      <c r="D2343" s="1" t="s">
        <v>60</v>
      </c>
      <c r="E2343" s="2" t="s">
        <v>405</v>
      </c>
      <c r="F2343" s="1"/>
      <c r="G2343" s="2">
        <v>15</v>
      </c>
      <c r="H2343" s="1"/>
      <c r="I2343" t="s">
        <v>1</v>
      </c>
      <c r="J2343" t="s">
        <v>2</v>
      </c>
      <c r="K2343" t="s">
        <v>378</v>
      </c>
      <c r="L2343" t="s">
        <v>349</v>
      </c>
      <c r="M2343" s="3" t="s">
        <v>1947</v>
      </c>
    </row>
    <row r="2344" spans="1:13" hidden="1" x14ac:dyDescent="0.25">
      <c r="A2344" s="1" t="str">
        <f>VLOOKUP(Table2[[#This Row],[Prod Line ]],Lists!A:E,5,0)</f>
        <v>d</v>
      </c>
      <c r="B2344" s="1">
        <v>44551</v>
      </c>
      <c r="C2344" s="1">
        <v>44550</v>
      </c>
      <c r="D2344" s="1" t="s">
        <v>62</v>
      </c>
      <c r="E2344" s="2" t="s">
        <v>405</v>
      </c>
      <c r="F2344" s="1"/>
      <c r="G2344" s="2">
        <v>25</v>
      </c>
      <c r="H2344" s="1"/>
      <c r="I2344" t="s">
        <v>0</v>
      </c>
      <c r="J2344" t="s">
        <v>5</v>
      </c>
      <c r="K2344" t="s">
        <v>397</v>
      </c>
      <c r="L2344" t="s">
        <v>70</v>
      </c>
      <c r="M2344" s="3" t="s">
        <v>1948</v>
      </c>
    </row>
    <row r="2345" spans="1:13" hidden="1" x14ac:dyDescent="0.25">
      <c r="A2345" s="1" t="str">
        <f>VLOOKUP(Table2[[#This Row],[Prod Line ]],Lists!A:E,5,0)</f>
        <v>d</v>
      </c>
      <c r="B2345" s="1">
        <v>44551</v>
      </c>
      <c r="C2345" s="1">
        <v>44550</v>
      </c>
      <c r="D2345" s="1" t="s">
        <v>62</v>
      </c>
      <c r="E2345" s="2" t="s">
        <v>405</v>
      </c>
      <c r="F2345" s="1"/>
      <c r="G2345" s="2">
        <v>10</v>
      </c>
      <c r="H2345" s="1"/>
      <c r="I2345" t="s">
        <v>1</v>
      </c>
      <c r="J2345" t="s">
        <v>64</v>
      </c>
      <c r="K2345" t="s">
        <v>379</v>
      </c>
      <c r="L2345" t="s">
        <v>70</v>
      </c>
      <c r="M2345" s="3" t="s">
        <v>1949</v>
      </c>
    </row>
    <row r="2346" spans="1:13" hidden="1" x14ac:dyDescent="0.25">
      <c r="A2346" s="1" t="str">
        <f>VLOOKUP(Table2[[#This Row],[Prod Line ]],Lists!A:E,5,0)</f>
        <v>d</v>
      </c>
      <c r="B2346" s="1">
        <v>44551</v>
      </c>
      <c r="C2346" s="1">
        <v>44550</v>
      </c>
      <c r="D2346" s="1" t="s">
        <v>62</v>
      </c>
      <c r="E2346" s="2" t="s">
        <v>405</v>
      </c>
      <c r="F2346" s="1"/>
      <c r="G2346" s="2">
        <v>19</v>
      </c>
      <c r="H2346" s="1"/>
      <c r="I2346" t="s">
        <v>1</v>
      </c>
      <c r="J2346" t="s">
        <v>2</v>
      </c>
      <c r="K2346" t="s">
        <v>19</v>
      </c>
      <c r="L2346" t="s">
        <v>349</v>
      </c>
      <c r="M2346" s="3" t="s">
        <v>575</v>
      </c>
    </row>
    <row r="2347" spans="1:13" hidden="1" x14ac:dyDescent="0.25">
      <c r="A2347" s="1" t="str">
        <f>VLOOKUP(Table2[[#This Row],[Prod Line ]],Lists!A:E,5,0)</f>
        <v>d</v>
      </c>
      <c r="B2347" s="1">
        <v>44551</v>
      </c>
      <c r="C2347" s="1">
        <v>44550</v>
      </c>
      <c r="D2347" s="1" t="s">
        <v>62</v>
      </c>
      <c r="E2347" s="2" t="s">
        <v>406</v>
      </c>
      <c r="F2347" s="1"/>
      <c r="G2347" s="2">
        <v>25</v>
      </c>
      <c r="H2347" s="1"/>
      <c r="I2347" t="s">
        <v>0</v>
      </c>
      <c r="J2347" t="s">
        <v>2</v>
      </c>
      <c r="K2347" t="s">
        <v>392</v>
      </c>
      <c r="L2347" t="s">
        <v>70</v>
      </c>
      <c r="M2347" s="3" t="s">
        <v>1950</v>
      </c>
    </row>
    <row r="2348" spans="1:13" hidden="1" x14ac:dyDescent="0.25">
      <c r="A2348" s="1" t="str">
        <f>VLOOKUP(Table2[[#This Row],[Prod Line ]],Lists!A:E,5,0)</f>
        <v>b</v>
      </c>
      <c r="B2348" s="1">
        <v>44551</v>
      </c>
      <c r="C2348" s="1">
        <v>44550</v>
      </c>
      <c r="D2348" s="1" t="s">
        <v>58</v>
      </c>
      <c r="E2348" s="2" t="s">
        <v>404</v>
      </c>
      <c r="F2348" s="1"/>
      <c r="G2348" s="2">
        <v>15</v>
      </c>
      <c r="H2348" s="1"/>
      <c r="I2348" t="s">
        <v>1</v>
      </c>
      <c r="J2348" t="s">
        <v>2</v>
      </c>
      <c r="K2348" t="s">
        <v>19</v>
      </c>
      <c r="L2348" t="s">
        <v>72</v>
      </c>
      <c r="M2348" s="3" t="s">
        <v>1951</v>
      </c>
    </row>
    <row r="2349" spans="1:13" hidden="1" x14ac:dyDescent="0.25">
      <c r="A2349" s="1" t="str">
        <f>VLOOKUP(Table2[[#This Row],[Prod Line ]],Lists!A:E,5,0)</f>
        <v>b</v>
      </c>
      <c r="B2349" s="1">
        <v>44551</v>
      </c>
      <c r="C2349" s="1">
        <v>44550</v>
      </c>
      <c r="D2349" s="1" t="s">
        <v>58</v>
      </c>
      <c r="E2349" s="2" t="s">
        <v>404</v>
      </c>
      <c r="F2349" s="1"/>
      <c r="G2349" s="2">
        <v>37</v>
      </c>
      <c r="H2349" s="1"/>
      <c r="I2349" t="s">
        <v>1</v>
      </c>
      <c r="J2349" t="s">
        <v>2</v>
      </c>
      <c r="K2349" t="s">
        <v>19</v>
      </c>
      <c r="L2349" t="s">
        <v>72</v>
      </c>
      <c r="M2349" s="3" t="s">
        <v>1952</v>
      </c>
    </row>
    <row r="2350" spans="1:13" hidden="1" x14ac:dyDescent="0.25">
      <c r="A2350" s="1" t="str">
        <f>VLOOKUP(Table2[[#This Row],[Prod Line ]],Lists!A:E,5,0)</f>
        <v>b</v>
      </c>
      <c r="B2350" s="1">
        <v>44551</v>
      </c>
      <c r="C2350" s="1">
        <v>44550</v>
      </c>
      <c r="D2350" s="1" t="s">
        <v>58</v>
      </c>
      <c r="E2350" s="2" t="s">
        <v>404</v>
      </c>
      <c r="F2350" s="1"/>
      <c r="G2350" s="2">
        <v>4</v>
      </c>
      <c r="H2350" s="1"/>
      <c r="I2350" t="s">
        <v>1</v>
      </c>
      <c r="J2350" t="s">
        <v>2</v>
      </c>
      <c r="K2350" t="s">
        <v>19</v>
      </c>
      <c r="L2350" t="s">
        <v>349</v>
      </c>
      <c r="M2350" s="3" t="s">
        <v>1953</v>
      </c>
    </row>
    <row r="2351" spans="1:13" hidden="1" x14ac:dyDescent="0.25">
      <c r="A2351" s="1" t="str">
        <f>VLOOKUP(Table2[[#This Row],[Prod Line ]],Lists!A:E,5,0)</f>
        <v>b</v>
      </c>
      <c r="B2351" s="1">
        <v>44551</v>
      </c>
      <c r="C2351" s="1">
        <v>44550</v>
      </c>
      <c r="D2351" s="1" t="s">
        <v>58</v>
      </c>
      <c r="E2351" s="2" t="s">
        <v>404</v>
      </c>
      <c r="F2351" s="1"/>
      <c r="G2351" s="2">
        <v>10</v>
      </c>
      <c r="H2351" s="1"/>
      <c r="I2351" t="s">
        <v>1</v>
      </c>
      <c r="J2351" t="s">
        <v>26</v>
      </c>
      <c r="K2351" t="s">
        <v>25</v>
      </c>
      <c r="L2351" t="s">
        <v>441</v>
      </c>
      <c r="M2351" s="3" t="s">
        <v>1954</v>
      </c>
    </row>
    <row r="2352" spans="1:13" hidden="1" x14ac:dyDescent="0.25">
      <c r="A2352" s="1" t="str">
        <f>VLOOKUP(Table2[[#This Row],[Prod Line ]],Lists!A:E,5,0)</f>
        <v>b</v>
      </c>
      <c r="B2352" s="1">
        <v>44551</v>
      </c>
      <c r="C2352" s="1">
        <v>44550</v>
      </c>
      <c r="D2352" s="1" t="s">
        <v>58</v>
      </c>
      <c r="E2352" s="2" t="s">
        <v>404</v>
      </c>
      <c r="F2352" s="1"/>
      <c r="G2352" s="2">
        <v>8</v>
      </c>
      <c r="H2352" s="1"/>
      <c r="I2352" t="s">
        <v>1</v>
      </c>
      <c r="J2352" t="s">
        <v>64</v>
      </c>
      <c r="K2352" t="s">
        <v>22</v>
      </c>
      <c r="L2352" t="s">
        <v>72</v>
      </c>
      <c r="M2352" s="3" t="s">
        <v>1454</v>
      </c>
    </row>
    <row r="2353" spans="1:14" hidden="1" x14ac:dyDescent="0.25">
      <c r="A2353" s="1" t="str">
        <f>VLOOKUP(Table2[[#This Row],[Prod Line ]],Lists!A:E,5,0)</f>
        <v>b</v>
      </c>
      <c r="B2353" s="1">
        <v>44553</v>
      </c>
      <c r="C2353" s="1">
        <v>44551</v>
      </c>
      <c r="D2353" s="1" t="s">
        <v>58</v>
      </c>
      <c r="E2353" s="2" t="s">
        <v>404</v>
      </c>
      <c r="F2353" s="1"/>
      <c r="G2353" s="2">
        <v>4</v>
      </c>
      <c r="H2353" s="1"/>
      <c r="I2353" t="s">
        <v>0</v>
      </c>
      <c r="J2353" t="s">
        <v>64</v>
      </c>
      <c r="K2353" t="s">
        <v>20</v>
      </c>
      <c r="L2353" t="s">
        <v>70</v>
      </c>
      <c r="M2353" s="3" t="s">
        <v>1955</v>
      </c>
    </row>
    <row r="2354" spans="1:14" hidden="1" x14ac:dyDescent="0.25">
      <c r="A2354" s="1" t="str">
        <f>VLOOKUP(Table2[[#This Row],[Prod Line ]],Lists!A:E,5,0)</f>
        <v>d</v>
      </c>
      <c r="B2354" s="1">
        <v>44553</v>
      </c>
      <c r="C2354" s="1">
        <v>44551</v>
      </c>
      <c r="D2354" s="1" t="s">
        <v>62</v>
      </c>
      <c r="E2354" s="2" t="s">
        <v>406</v>
      </c>
      <c r="F2354" s="1"/>
      <c r="G2354" s="2">
        <v>24</v>
      </c>
      <c r="H2354" s="1"/>
      <c r="I2354" t="s">
        <v>0</v>
      </c>
      <c r="J2354" t="s">
        <v>2</v>
      </c>
      <c r="K2354" t="s">
        <v>13</v>
      </c>
      <c r="L2354" t="s">
        <v>70</v>
      </c>
      <c r="M2354" s="3" t="s">
        <v>1956</v>
      </c>
    </row>
    <row r="2355" spans="1:14" hidden="1" x14ac:dyDescent="0.25">
      <c r="A2355" s="1" t="str">
        <f>VLOOKUP(Table2[[#This Row],[Prod Line ]],Lists!A:E,5,0)</f>
        <v>d</v>
      </c>
      <c r="B2355" s="1">
        <v>44554</v>
      </c>
      <c r="C2355" s="1">
        <v>44551</v>
      </c>
      <c r="D2355" s="1" t="s">
        <v>62</v>
      </c>
      <c r="E2355" s="2" t="s">
        <v>405</v>
      </c>
      <c r="F2355" s="1"/>
      <c r="G2355" s="2">
        <v>8</v>
      </c>
      <c r="H2355" s="1"/>
      <c r="I2355" t="s">
        <v>1</v>
      </c>
      <c r="J2355" t="s">
        <v>2</v>
      </c>
      <c r="K2355" t="s">
        <v>19</v>
      </c>
      <c r="L2355" t="s">
        <v>344</v>
      </c>
      <c r="M2355" s="3" t="s">
        <v>1957</v>
      </c>
    </row>
    <row r="2356" spans="1:14" hidden="1" x14ac:dyDescent="0.25">
      <c r="A2356" s="1"/>
      <c r="B2356" s="1">
        <v>44554</v>
      </c>
      <c r="C2356" s="1">
        <v>44552</v>
      </c>
      <c r="D2356" s="1" t="s">
        <v>58</v>
      </c>
      <c r="E2356" s="2" t="s">
        <v>404</v>
      </c>
      <c r="F2356" s="1"/>
      <c r="G2356" s="2">
        <v>5</v>
      </c>
      <c r="H2356" s="1"/>
      <c r="I2356" t="s">
        <v>0</v>
      </c>
      <c r="J2356" t="s">
        <v>64</v>
      </c>
      <c r="L2356" t="s">
        <v>70</v>
      </c>
      <c r="M2356" s="3" t="s">
        <v>1958</v>
      </c>
    </row>
    <row r="2357" spans="1:14" hidden="1" x14ac:dyDescent="0.25">
      <c r="A2357" s="1" t="str">
        <f>VLOOKUP(Table2[[#This Row],[Prod Line ]],Lists!A:E,5,0)</f>
        <v>b</v>
      </c>
      <c r="B2357" s="1">
        <v>44554</v>
      </c>
      <c r="C2357" s="1">
        <v>44552</v>
      </c>
      <c r="D2357" s="1" t="s">
        <v>58</v>
      </c>
      <c r="E2357" s="2" t="s">
        <v>404</v>
      </c>
      <c r="F2357" s="1"/>
      <c r="G2357" s="2">
        <v>8</v>
      </c>
      <c r="H2357" s="1"/>
      <c r="I2357" t="s">
        <v>1</v>
      </c>
      <c r="J2357" t="s">
        <v>64</v>
      </c>
      <c r="K2357" t="s">
        <v>21</v>
      </c>
      <c r="L2357" t="s">
        <v>407</v>
      </c>
      <c r="M2357" s="3" t="s">
        <v>1959</v>
      </c>
    </row>
    <row r="2358" spans="1:14" hidden="1" x14ac:dyDescent="0.25">
      <c r="A2358" s="1" t="str">
        <f>VLOOKUP(Table2[[#This Row],[Prod Line ]],Lists!A:E,5,0)</f>
        <v>b</v>
      </c>
      <c r="B2358" s="1">
        <v>44554</v>
      </c>
      <c r="C2358" s="1">
        <v>44552</v>
      </c>
      <c r="D2358" s="1" t="s">
        <v>58</v>
      </c>
      <c r="E2358" s="2" t="s">
        <v>404</v>
      </c>
      <c r="F2358" s="1"/>
      <c r="G2358" s="2">
        <v>11</v>
      </c>
      <c r="H2358" s="1"/>
      <c r="I2358" t="s">
        <v>1</v>
      </c>
      <c r="J2358" t="s">
        <v>65</v>
      </c>
      <c r="K2358" t="s">
        <v>3</v>
      </c>
      <c r="L2358" t="s">
        <v>350</v>
      </c>
      <c r="M2358" s="3" t="s">
        <v>612</v>
      </c>
    </row>
    <row r="2359" spans="1:14" hidden="1" x14ac:dyDescent="0.25">
      <c r="A2359" s="1" t="str">
        <f>VLOOKUP(Table2[[#This Row],[Prod Line ]],Lists!A:E,5,0)</f>
        <v>b</v>
      </c>
      <c r="B2359" s="1">
        <v>44557</v>
      </c>
      <c r="C2359" s="1">
        <v>44552</v>
      </c>
      <c r="D2359" s="1" t="s">
        <v>58</v>
      </c>
      <c r="E2359" s="2" t="s">
        <v>405</v>
      </c>
      <c r="F2359" s="1"/>
      <c r="G2359" s="2">
        <v>70</v>
      </c>
      <c r="H2359" s="1"/>
      <c r="I2359" t="s">
        <v>1</v>
      </c>
      <c r="J2359" t="s">
        <v>2</v>
      </c>
      <c r="K2359" t="s">
        <v>19</v>
      </c>
      <c r="L2359" t="s">
        <v>407</v>
      </c>
      <c r="M2359" s="3" t="s">
        <v>1960</v>
      </c>
    </row>
    <row r="2360" spans="1:14" hidden="1" x14ac:dyDescent="0.25">
      <c r="A2360" s="1" t="str">
        <f>VLOOKUP(Table2[[#This Row],[Prod Line ]],Lists!A:E,5,0)</f>
        <v>b</v>
      </c>
      <c r="B2360" s="1">
        <v>44557</v>
      </c>
      <c r="C2360" s="1">
        <v>44552</v>
      </c>
      <c r="D2360" s="1" t="s">
        <v>58</v>
      </c>
      <c r="E2360" s="2" t="s">
        <v>404</v>
      </c>
      <c r="F2360" s="1"/>
      <c r="G2360" s="2">
        <v>4</v>
      </c>
      <c r="H2360" s="1"/>
      <c r="I2360" t="s">
        <v>1</v>
      </c>
      <c r="J2360" t="s">
        <v>65</v>
      </c>
      <c r="K2360" t="s">
        <v>27</v>
      </c>
      <c r="L2360" t="s">
        <v>441</v>
      </c>
      <c r="M2360" s="3" t="s">
        <v>514</v>
      </c>
    </row>
    <row r="2361" spans="1:14" hidden="1" x14ac:dyDescent="0.25">
      <c r="A2361" s="1" t="str">
        <f>VLOOKUP(Table2[[#This Row],[Prod Line ]],Lists!A:E,5,0)</f>
        <v>b</v>
      </c>
      <c r="B2361" s="1">
        <v>44557</v>
      </c>
      <c r="C2361" s="1">
        <v>44554</v>
      </c>
      <c r="D2361" s="1" t="s">
        <v>58</v>
      </c>
      <c r="E2361" s="2" t="s">
        <v>404</v>
      </c>
      <c r="F2361" s="1"/>
      <c r="G2361" s="2">
        <v>40</v>
      </c>
      <c r="H2361" s="1"/>
      <c r="I2361" t="s">
        <v>0</v>
      </c>
      <c r="J2361" t="s">
        <v>66</v>
      </c>
      <c r="K2361" t="s">
        <v>4</v>
      </c>
      <c r="L2361" t="s">
        <v>70</v>
      </c>
      <c r="M2361" s="3" t="s">
        <v>922</v>
      </c>
      <c r="N2361" s="20" t="s">
        <v>1974</v>
      </c>
    </row>
    <row r="2362" spans="1:14" hidden="1" x14ac:dyDescent="0.25">
      <c r="A2362" s="1" t="str">
        <f>VLOOKUP(Table2[[#This Row],[Prod Line ]],Lists!A:E,5,0)</f>
        <v>b</v>
      </c>
      <c r="B2362" s="1">
        <v>44557</v>
      </c>
      <c r="C2362" s="1">
        <v>44554</v>
      </c>
      <c r="D2362" s="1" t="s">
        <v>58</v>
      </c>
      <c r="E2362" s="2" t="s">
        <v>404</v>
      </c>
      <c r="F2362" s="1"/>
      <c r="G2362" s="2">
        <v>20</v>
      </c>
      <c r="H2362" s="1"/>
      <c r="I2362" t="s">
        <v>1</v>
      </c>
      <c r="J2362" t="s">
        <v>26</v>
      </c>
      <c r="K2362" t="s">
        <v>25</v>
      </c>
      <c r="L2362" t="s">
        <v>441</v>
      </c>
      <c r="M2362" s="3" t="s">
        <v>1603</v>
      </c>
    </row>
    <row r="2363" spans="1:14" hidden="1" x14ac:dyDescent="0.25">
      <c r="A2363" s="1" t="str">
        <f>VLOOKUP(Table2[[#This Row],[Prod Line ]],Lists!A:E,5,0)</f>
        <v>b</v>
      </c>
      <c r="B2363" s="1">
        <v>44557</v>
      </c>
      <c r="C2363" s="1">
        <v>44554</v>
      </c>
      <c r="D2363" s="1" t="s">
        <v>58</v>
      </c>
      <c r="E2363" s="2" t="s">
        <v>404</v>
      </c>
      <c r="F2363" s="1"/>
      <c r="G2363" s="2">
        <v>34</v>
      </c>
      <c r="H2363" s="1"/>
      <c r="I2363" t="s">
        <v>1</v>
      </c>
      <c r="J2363" t="s">
        <v>2</v>
      </c>
      <c r="K2363" t="s">
        <v>19</v>
      </c>
      <c r="L2363" t="s">
        <v>407</v>
      </c>
      <c r="M2363" s="3" t="s">
        <v>1960</v>
      </c>
    </row>
    <row r="2364" spans="1:14" hidden="1" x14ac:dyDescent="0.25">
      <c r="A2364" s="1" t="str">
        <f>VLOOKUP(Table2[[#This Row],[Prod Line ]],Lists!A:E,5,0)</f>
        <v>b</v>
      </c>
      <c r="B2364" s="1">
        <v>44558</v>
      </c>
      <c r="C2364" s="1">
        <v>44556</v>
      </c>
      <c r="D2364" s="1" t="s">
        <v>58</v>
      </c>
      <c r="E2364" s="2" t="s">
        <v>404</v>
      </c>
      <c r="F2364" s="1"/>
      <c r="G2364" s="2">
        <v>20</v>
      </c>
      <c r="H2364" s="1"/>
      <c r="I2364" t="s">
        <v>1</v>
      </c>
      <c r="J2364" t="s">
        <v>2</v>
      </c>
      <c r="K2364" t="s">
        <v>19</v>
      </c>
      <c r="L2364" t="s">
        <v>407</v>
      </c>
      <c r="M2364" s="3" t="s">
        <v>1961</v>
      </c>
    </row>
    <row r="2365" spans="1:14" hidden="1" x14ac:dyDescent="0.25">
      <c r="A2365" s="1" t="str">
        <f>VLOOKUP(Table2[[#This Row],[Prod Line ]],Lists!A:E,5,0)</f>
        <v>b</v>
      </c>
      <c r="B2365" s="1">
        <v>44558</v>
      </c>
      <c r="C2365" s="1">
        <v>44556</v>
      </c>
      <c r="D2365" s="1" t="s">
        <v>58</v>
      </c>
      <c r="E2365" s="2" t="s">
        <v>404</v>
      </c>
      <c r="F2365" s="1"/>
      <c r="G2365" s="2">
        <v>10</v>
      </c>
      <c r="H2365" s="1"/>
      <c r="I2365" t="s">
        <v>0</v>
      </c>
      <c r="J2365" t="s">
        <v>64</v>
      </c>
      <c r="K2365" t="s">
        <v>20</v>
      </c>
      <c r="L2365" t="s">
        <v>70</v>
      </c>
      <c r="M2365" s="3" t="s">
        <v>1369</v>
      </c>
    </row>
    <row r="2366" spans="1:14" hidden="1" x14ac:dyDescent="0.25">
      <c r="A2366" s="1" t="str">
        <f>VLOOKUP(Table2[[#This Row],[Prod Line ]],Lists!A:E,5,0)</f>
        <v>b</v>
      </c>
      <c r="B2366" s="1">
        <v>44558</v>
      </c>
      <c r="C2366" s="1">
        <v>44556</v>
      </c>
      <c r="D2366" s="1" t="s">
        <v>58</v>
      </c>
      <c r="E2366" s="2" t="s">
        <v>405</v>
      </c>
      <c r="F2366" s="1"/>
      <c r="G2366" s="2">
        <v>5</v>
      </c>
      <c r="H2366" s="1"/>
      <c r="I2366" t="s">
        <v>1</v>
      </c>
      <c r="J2366" t="s">
        <v>2</v>
      </c>
      <c r="K2366" t="s">
        <v>19</v>
      </c>
      <c r="L2366" t="s">
        <v>349</v>
      </c>
      <c r="M2366" s="3" t="s">
        <v>575</v>
      </c>
    </row>
    <row r="2367" spans="1:14" hidden="1" x14ac:dyDescent="0.25">
      <c r="A2367" s="1" t="str">
        <f>VLOOKUP(Table2[[#This Row],[Prod Line ]],Lists!A:E,5,0)</f>
        <v>b</v>
      </c>
      <c r="B2367" s="1">
        <v>44558</v>
      </c>
      <c r="C2367" s="1">
        <v>44556</v>
      </c>
      <c r="D2367" s="1" t="s">
        <v>58</v>
      </c>
      <c r="E2367" s="2" t="s">
        <v>405</v>
      </c>
      <c r="F2367" s="1"/>
      <c r="G2367" s="2">
        <v>4</v>
      </c>
      <c r="H2367" s="1"/>
      <c r="I2367" t="s">
        <v>1</v>
      </c>
      <c r="J2367" t="s">
        <v>64</v>
      </c>
      <c r="K2367" t="s">
        <v>21</v>
      </c>
      <c r="L2367" t="s">
        <v>407</v>
      </c>
      <c r="M2367" s="3" t="s">
        <v>1962</v>
      </c>
    </row>
    <row r="2368" spans="1:14" hidden="1" x14ac:dyDescent="0.25">
      <c r="A2368" s="1" t="str">
        <f>VLOOKUP(Table2[[#This Row],[Prod Line ]],Lists!A:E,5,0)</f>
        <v>b</v>
      </c>
      <c r="B2368" s="1">
        <v>44558</v>
      </c>
      <c r="C2368" s="1">
        <v>44556</v>
      </c>
      <c r="D2368" s="1" t="s">
        <v>58</v>
      </c>
      <c r="E2368" s="2" t="s">
        <v>405</v>
      </c>
      <c r="F2368" s="1"/>
      <c r="G2368" s="2">
        <v>13</v>
      </c>
      <c r="H2368" s="1"/>
      <c r="I2368" t="s">
        <v>1</v>
      </c>
      <c r="J2368" t="s">
        <v>64</v>
      </c>
      <c r="K2368" t="s">
        <v>21</v>
      </c>
      <c r="L2368" t="s">
        <v>441</v>
      </c>
      <c r="M2368" s="3" t="s">
        <v>896</v>
      </c>
    </row>
    <row r="2369" spans="1:13" hidden="1" x14ac:dyDescent="0.25">
      <c r="A2369" s="1" t="str">
        <f>VLOOKUP(Table2[[#This Row],[Prod Line ]],Lists!A:E,5,0)</f>
        <v>b</v>
      </c>
      <c r="B2369" s="1">
        <v>44558</v>
      </c>
      <c r="C2369" s="1">
        <v>44556</v>
      </c>
      <c r="D2369" s="1" t="s">
        <v>58</v>
      </c>
      <c r="E2369" s="2" t="s">
        <v>405</v>
      </c>
      <c r="F2369" s="1"/>
      <c r="G2369" s="2">
        <v>6</v>
      </c>
      <c r="H2369" s="1"/>
      <c r="I2369" t="s">
        <v>1</v>
      </c>
      <c r="J2369" t="s">
        <v>64</v>
      </c>
      <c r="K2369" t="s">
        <v>21</v>
      </c>
      <c r="L2369" t="s">
        <v>344</v>
      </c>
      <c r="M2369" s="3" t="s">
        <v>1963</v>
      </c>
    </row>
    <row r="2370" spans="1:13" hidden="1" x14ac:dyDescent="0.25">
      <c r="A2370" s="1" t="str">
        <f>VLOOKUP(Table2[[#This Row],[Prod Line ]],Lists!A:E,5,0)</f>
        <v>c</v>
      </c>
      <c r="B2370" s="1">
        <v>44558</v>
      </c>
      <c r="C2370" s="1">
        <v>44556</v>
      </c>
      <c r="D2370" s="1" t="s">
        <v>60</v>
      </c>
      <c r="E2370" s="2" t="s">
        <v>404</v>
      </c>
      <c r="F2370" s="1"/>
      <c r="G2370" s="2">
        <v>43</v>
      </c>
      <c r="H2370" s="1"/>
      <c r="I2370" t="s">
        <v>1</v>
      </c>
      <c r="J2370" t="s">
        <v>2</v>
      </c>
      <c r="K2370" t="s">
        <v>378</v>
      </c>
      <c r="L2370" t="s">
        <v>349</v>
      </c>
      <c r="M2370" s="3" t="s">
        <v>1964</v>
      </c>
    </row>
    <row r="2371" spans="1:13" hidden="1" x14ac:dyDescent="0.25">
      <c r="A2371" s="1" t="str">
        <f>VLOOKUP(Table2[[#This Row],[Prod Line ]],Lists!A:E,5,0)</f>
        <v>c</v>
      </c>
      <c r="B2371" s="1">
        <v>44558</v>
      </c>
      <c r="C2371" s="1">
        <v>44556</v>
      </c>
      <c r="D2371" s="1" t="s">
        <v>60</v>
      </c>
      <c r="E2371" s="2" t="s">
        <v>405</v>
      </c>
      <c r="F2371" s="1"/>
      <c r="G2371" s="2">
        <v>15</v>
      </c>
      <c r="H2371" s="1"/>
      <c r="I2371" t="s">
        <v>1</v>
      </c>
      <c r="J2371" t="s">
        <v>26</v>
      </c>
      <c r="K2371" t="s">
        <v>26</v>
      </c>
      <c r="L2371" t="s">
        <v>430</v>
      </c>
      <c r="M2371" s="3" t="s">
        <v>1965</v>
      </c>
    </row>
    <row r="2372" spans="1:13" hidden="1" x14ac:dyDescent="0.25">
      <c r="A2372" s="1" t="str">
        <f>VLOOKUP(Table2[[#This Row],[Prod Line ]],Lists!A:E,5,0)</f>
        <v>d</v>
      </c>
      <c r="B2372" s="1">
        <v>44558</v>
      </c>
      <c r="C2372" s="1">
        <v>44556</v>
      </c>
      <c r="D2372" s="1" t="s">
        <v>62</v>
      </c>
      <c r="E2372" s="2" t="s">
        <v>404</v>
      </c>
      <c r="F2372" s="1"/>
      <c r="G2372" s="2">
        <v>7</v>
      </c>
      <c r="H2372" s="1"/>
      <c r="I2372" t="s">
        <v>1</v>
      </c>
      <c r="J2372" t="s">
        <v>2</v>
      </c>
      <c r="K2372" t="s">
        <v>19</v>
      </c>
      <c r="L2372" t="s">
        <v>407</v>
      </c>
      <c r="M2372" s="3" t="s">
        <v>1961</v>
      </c>
    </row>
    <row r="2373" spans="1:13" hidden="1" x14ac:dyDescent="0.25">
      <c r="A2373" s="1" t="str">
        <f>VLOOKUP(Table2[[#This Row],[Prod Line ]],Lists!A:E,5,0)</f>
        <v>d</v>
      </c>
      <c r="B2373" s="1">
        <v>44558</v>
      </c>
      <c r="C2373" s="1">
        <v>44556</v>
      </c>
      <c r="D2373" s="1" t="s">
        <v>62</v>
      </c>
      <c r="E2373" s="2" t="s">
        <v>404</v>
      </c>
      <c r="F2373" s="1"/>
      <c r="G2373" s="2">
        <v>12</v>
      </c>
      <c r="H2373" s="1"/>
      <c r="I2373" t="s">
        <v>0</v>
      </c>
      <c r="J2373" t="s">
        <v>2</v>
      </c>
      <c r="K2373" t="s">
        <v>13</v>
      </c>
      <c r="L2373" t="s">
        <v>70</v>
      </c>
      <c r="M2373" s="3" t="s">
        <v>1966</v>
      </c>
    </row>
    <row r="2374" spans="1:13" hidden="1" x14ac:dyDescent="0.25">
      <c r="A2374" s="1" t="str">
        <f>VLOOKUP(Table2[[#This Row],[Prod Line ]],Lists!A:E,5,0)</f>
        <v>d</v>
      </c>
      <c r="B2374" s="1">
        <v>44558</v>
      </c>
      <c r="C2374" s="1">
        <v>44556</v>
      </c>
      <c r="D2374" s="1" t="s">
        <v>62</v>
      </c>
      <c r="E2374" s="2" t="s">
        <v>404</v>
      </c>
      <c r="F2374" s="1"/>
      <c r="G2374" s="2">
        <v>10</v>
      </c>
      <c r="H2374" s="1"/>
      <c r="I2374" t="s">
        <v>0</v>
      </c>
      <c r="J2374" t="s">
        <v>5</v>
      </c>
      <c r="K2374" t="s">
        <v>397</v>
      </c>
      <c r="L2374" t="s">
        <v>70</v>
      </c>
      <c r="M2374" s="3" t="s">
        <v>1967</v>
      </c>
    </row>
    <row r="2375" spans="1:13" hidden="1" x14ac:dyDescent="0.25">
      <c r="A2375" s="1" t="str">
        <f>VLOOKUP(Table2[[#This Row],[Prod Line ]],Lists!A:E,5,0)</f>
        <v>d</v>
      </c>
      <c r="B2375" s="1">
        <v>44558</v>
      </c>
      <c r="C2375" s="1">
        <v>44556</v>
      </c>
      <c r="D2375" s="1" t="s">
        <v>62</v>
      </c>
      <c r="E2375" s="2" t="s">
        <v>404</v>
      </c>
      <c r="F2375" s="1"/>
      <c r="G2375" s="2">
        <v>6</v>
      </c>
      <c r="H2375" s="1"/>
      <c r="I2375" t="s">
        <v>1</v>
      </c>
      <c r="J2375" t="s">
        <v>2</v>
      </c>
      <c r="K2375" t="s">
        <v>19</v>
      </c>
      <c r="L2375" t="s">
        <v>349</v>
      </c>
      <c r="M2375" s="3" t="s">
        <v>575</v>
      </c>
    </row>
    <row r="2376" spans="1:13" hidden="1" x14ac:dyDescent="0.25">
      <c r="A2376" s="1" t="str">
        <f>VLOOKUP(Table2[[#This Row],[Prod Line ]],Lists!A:E,5,0)</f>
        <v>d</v>
      </c>
      <c r="B2376" s="1">
        <v>44558</v>
      </c>
      <c r="C2376" s="1">
        <v>44556</v>
      </c>
      <c r="D2376" s="1" t="s">
        <v>62</v>
      </c>
      <c r="E2376" s="2" t="s">
        <v>404</v>
      </c>
      <c r="F2376" s="1"/>
      <c r="G2376" s="2">
        <v>22</v>
      </c>
      <c r="H2376" s="1"/>
      <c r="I2376" t="s">
        <v>0</v>
      </c>
      <c r="J2376" t="s">
        <v>2</v>
      </c>
      <c r="K2376" t="s">
        <v>13</v>
      </c>
      <c r="L2376" t="s">
        <v>70</v>
      </c>
      <c r="M2376" s="3" t="s">
        <v>1968</v>
      </c>
    </row>
    <row r="2377" spans="1:13" hidden="1" x14ac:dyDescent="0.25">
      <c r="A2377" s="1" t="str">
        <f>VLOOKUP(Table2[[#This Row],[Prod Line ]],Lists!A:E,5,0)</f>
        <v>b</v>
      </c>
      <c r="B2377" s="1">
        <v>44560</v>
      </c>
      <c r="C2377" s="1">
        <v>44558</v>
      </c>
      <c r="D2377" s="1" t="s">
        <v>58</v>
      </c>
      <c r="E2377" s="2" t="s">
        <v>406</v>
      </c>
      <c r="F2377" s="1"/>
      <c r="G2377" s="2">
        <v>7</v>
      </c>
      <c r="H2377" s="1"/>
      <c r="I2377" t="s">
        <v>1</v>
      </c>
      <c r="J2377" t="s">
        <v>64</v>
      </c>
      <c r="K2377" t="s">
        <v>22</v>
      </c>
      <c r="L2377" t="s">
        <v>407</v>
      </c>
      <c r="M2377" s="3" t="s">
        <v>939</v>
      </c>
    </row>
    <row r="2378" spans="1:13" hidden="1" x14ac:dyDescent="0.25">
      <c r="A2378" s="1" t="str">
        <f>VLOOKUP(Table2[[#This Row],[Prod Line ]],Lists!A:E,5,0)</f>
        <v>b</v>
      </c>
      <c r="B2378" s="1">
        <v>44560</v>
      </c>
      <c r="C2378" s="1">
        <v>44558</v>
      </c>
      <c r="D2378" s="1" t="s">
        <v>58</v>
      </c>
      <c r="E2378" s="2" t="s">
        <v>406</v>
      </c>
      <c r="F2378" s="1"/>
      <c r="G2378" s="2">
        <v>18</v>
      </c>
      <c r="H2378" s="1"/>
      <c r="I2378" t="s">
        <v>1</v>
      </c>
      <c r="J2378" t="s">
        <v>65</v>
      </c>
      <c r="K2378" t="s">
        <v>3</v>
      </c>
      <c r="L2378" t="s">
        <v>441</v>
      </c>
      <c r="M2378" s="3" t="s">
        <v>514</v>
      </c>
    </row>
    <row r="2379" spans="1:13" hidden="1" x14ac:dyDescent="0.25">
      <c r="A2379" s="1" t="str">
        <f>VLOOKUP(Table2[[#This Row],[Prod Line ]],Lists!A:E,5,0)</f>
        <v>b</v>
      </c>
      <c r="B2379" s="1">
        <v>44560</v>
      </c>
      <c r="C2379" s="1">
        <v>44558</v>
      </c>
      <c r="D2379" s="1" t="s">
        <v>58</v>
      </c>
      <c r="E2379" s="2" t="s">
        <v>404</v>
      </c>
      <c r="F2379" s="1"/>
      <c r="G2379" s="2">
        <v>42</v>
      </c>
      <c r="H2379" s="1"/>
      <c r="I2379" t="s">
        <v>1</v>
      </c>
      <c r="J2379" t="s">
        <v>65</v>
      </c>
      <c r="K2379" t="s">
        <v>3</v>
      </c>
      <c r="L2379" t="s">
        <v>441</v>
      </c>
      <c r="M2379" s="3" t="s">
        <v>1920</v>
      </c>
    </row>
    <row r="2380" spans="1:13" hidden="1" x14ac:dyDescent="0.25">
      <c r="A2380" s="1" t="str">
        <f>VLOOKUP(Table2[[#This Row],[Prod Line ]],Lists!A:E,5,0)</f>
        <v>a</v>
      </c>
      <c r="B2380" s="1">
        <v>44560</v>
      </c>
      <c r="C2380" s="1">
        <v>44558</v>
      </c>
      <c r="D2380" s="1" t="s">
        <v>56</v>
      </c>
      <c r="E2380" s="2" t="s">
        <v>404</v>
      </c>
      <c r="F2380" s="1"/>
      <c r="G2380" s="2">
        <v>7</v>
      </c>
      <c r="H2380" s="1"/>
      <c r="I2380" t="s">
        <v>1</v>
      </c>
      <c r="J2380" t="s">
        <v>64</v>
      </c>
      <c r="K2380" t="s">
        <v>370</v>
      </c>
      <c r="L2380" t="s">
        <v>72</v>
      </c>
      <c r="M2380" s="3" t="s">
        <v>939</v>
      </c>
    </row>
    <row r="2381" spans="1:13" hidden="1" x14ac:dyDescent="0.25">
      <c r="A2381" s="1" t="str">
        <f>VLOOKUP(Table2[[#This Row],[Prod Line ]],Lists!A:E,5,0)</f>
        <v>a</v>
      </c>
      <c r="B2381" s="1">
        <v>44560</v>
      </c>
      <c r="C2381" s="1">
        <v>44558</v>
      </c>
      <c r="D2381" s="1" t="s">
        <v>56</v>
      </c>
      <c r="E2381" s="2" t="s">
        <v>404</v>
      </c>
      <c r="F2381" s="1"/>
      <c r="G2381" s="2">
        <v>5</v>
      </c>
      <c r="H2381" s="1"/>
      <c r="I2381" t="s">
        <v>0</v>
      </c>
      <c r="J2381" t="s">
        <v>65</v>
      </c>
      <c r="K2381" t="s">
        <v>372</v>
      </c>
      <c r="L2381" t="s">
        <v>70</v>
      </c>
      <c r="M2381" s="3" t="s">
        <v>432</v>
      </c>
    </row>
    <row r="2382" spans="1:13" hidden="1" x14ac:dyDescent="0.25">
      <c r="A2382" s="1" t="str">
        <f>VLOOKUP(Table2[[#This Row],[Prod Line ]],Lists!A:E,5,0)</f>
        <v>c</v>
      </c>
      <c r="B2382" s="1">
        <v>44560</v>
      </c>
      <c r="C2382" s="1">
        <v>44558</v>
      </c>
      <c r="D2382" s="1" t="s">
        <v>60</v>
      </c>
      <c r="E2382" s="2" t="s">
        <v>405</v>
      </c>
      <c r="F2382" s="1"/>
      <c r="G2382" s="2">
        <v>3</v>
      </c>
      <c r="H2382" s="1"/>
      <c r="I2382" t="s">
        <v>1</v>
      </c>
      <c r="J2382" t="s">
        <v>64</v>
      </c>
      <c r="K2382" t="s">
        <v>381</v>
      </c>
      <c r="L2382" t="s">
        <v>407</v>
      </c>
      <c r="M2382" s="3" t="s">
        <v>939</v>
      </c>
    </row>
    <row r="2383" spans="1:13" hidden="1" x14ac:dyDescent="0.25">
      <c r="A2383" s="1" t="str">
        <f>VLOOKUP(Table2[[#This Row],[Prod Line ]],Lists!A:E,5,0)</f>
        <v>d</v>
      </c>
      <c r="B2383" s="1">
        <v>44560</v>
      </c>
      <c r="C2383" s="1">
        <v>44558</v>
      </c>
      <c r="D2383" s="1" t="s">
        <v>62</v>
      </c>
      <c r="E2383" s="2" t="s">
        <v>405</v>
      </c>
      <c r="F2383" s="1"/>
      <c r="G2383" s="2">
        <v>12</v>
      </c>
      <c r="H2383" s="1"/>
      <c r="I2383" t="s">
        <v>1</v>
      </c>
      <c r="J2383" t="s">
        <v>2</v>
      </c>
      <c r="K2383" t="s">
        <v>13</v>
      </c>
      <c r="L2383" t="s">
        <v>349</v>
      </c>
      <c r="M2383" s="3" t="s">
        <v>575</v>
      </c>
    </row>
    <row r="2384" spans="1:13" hidden="1" x14ac:dyDescent="0.25">
      <c r="A2384" s="1" t="str">
        <f>VLOOKUP(Table2[[#This Row],[Prod Line ]],Lists!A:E,5,0)</f>
        <v>c</v>
      </c>
      <c r="B2384" s="1">
        <v>44561</v>
      </c>
      <c r="C2384" s="1">
        <v>44559</v>
      </c>
      <c r="D2384" s="1" t="s">
        <v>60</v>
      </c>
      <c r="E2384" s="2" t="s">
        <v>405</v>
      </c>
      <c r="F2384" s="1"/>
      <c r="G2384" s="2">
        <v>8</v>
      </c>
      <c r="H2384" s="1"/>
      <c r="I2384" t="s">
        <v>1</v>
      </c>
      <c r="J2384" t="s">
        <v>64</v>
      </c>
      <c r="K2384" t="s">
        <v>381</v>
      </c>
      <c r="L2384" t="s">
        <v>407</v>
      </c>
      <c r="M2384" s="3" t="s">
        <v>1969</v>
      </c>
    </row>
    <row r="2385" spans="1:13" hidden="1" x14ac:dyDescent="0.25">
      <c r="A2385" s="1" t="str">
        <f>VLOOKUP(Table2[[#This Row],[Prod Line ]],Lists!A:E,5,0)</f>
        <v>b</v>
      </c>
      <c r="B2385" s="1">
        <v>44561</v>
      </c>
      <c r="C2385" s="1">
        <v>44559</v>
      </c>
      <c r="D2385" s="1" t="s">
        <v>58</v>
      </c>
      <c r="E2385" s="2" t="s">
        <v>404</v>
      </c>
      <c r="F2385" s="1"/>
      <c r="G2385" s="2">
        <v>15</v>
      </c>
      <c r="H2385" s="1"/>
      <c r="I2385" t="s">
        <v>1</v>
      </c>
      <c r="J2385" t="s">
        <v>64</v>
      </c>
      <c r="K2385" t="s">
        <v>21</v>
      </c>
      <c r="L2385" t="s">
        <v>407</v>
      </c>
      <c r="M2385" s="3" t="s">
        <v>939</v>
      </c>
    </row>
    <row r="2386" spans="1:13" hidden="1" x14ac:dyDescent="0.25">
      <c r="A2386" s="1" t="str">
        <f>VLOOKUP(Table2[[#This Row],[Prod Line ]],Lists!A:E,5,0)</f>
        <v>b</v>
      </c>
      <c r="B2386" s="1">
        <v>44561</v>
      </c>
      <c r="C2386" s="1">
        <v>44559</v>
      </c>
      <c r="D2386" s="1" t="s">
        <v>58</v>
      </c>
      <c r="E2386" s="2" t="s">
        <v>404</v>
      </c>
      <c r="F2386" s="1"/>
      <c r="G2386" s="2">
        <v>8</v>
      </c>
      <c r="H2386" s="1"/>
      <c r="I2386" t="s">
        <v>0</v>
      </c>
      <c r="J2386" t="s">
        <v>64</v>
      </c>
      <c r="K2386" t="s">
        <v>22</v>
      </c>
      <c r="L2386" t="s">
        <v>70</v>
      </c>
      <c r="M2386" s="3" t="s">
        <v>1970</v>
      </c>
    </row>
    <row r="2387" spans="1:13" hidden="1" x14ac:dyDescent="0.25">
      <c r="A2387" s="1" t="str">
        <f>VLOOKUP(Table2[[#This Row],[Prod Line ]],Lists!A:E,5,0)</f>
        <v>b</v>
      </c>
      <c r="B2387" s="1">
        <v>44561</v>
      </c>
      <c r="C2387" s="1">
        <v>44559</v>
      </c>
      <c r="D2387" s="1" t="s">
        <v>58</v>
      </c>
      <c r="E2387" s="2" t="s">
        <v>404</v>
      </c>
      <c r="F2387" s="1"/>
      <c r="G2387" s="2">
        <v>11</v>
      </c>
      <c r="H2387" s="1"/>
      <c r="I2387" t="s">
        <v>1</v>
      </c>
      <c r="J2387" t="s">
        <v>65</v>
      </c>
      <c r="K2387" t="s">
        <v>3</v>
      </c>
      <c r="L2387" t="s">
        <v>441</v>
      </c>
      <c r="M2387" s="3" t="s">
        <v>514</v>
      </c>
    </row>
    <row r="2388" spans="1:13" hidden="1" x14ac:dyDescent="0.25">
      <c r="A2388" s="1" t="str">
        <f>VLOOKUP(Table2[[#This Row],[Prod Line ]],Lists!A:E,5,0)</f>
        <v>d</v>
      </c>
      <c r="B2388" s="1">
        <v>44561</v>
      </c>
      <c r="C2388" s="1">
        <v>44559</v>
      </c>
      <c r="D2388" s="1" t="s">
        <v>62</v>
      </c>
      <c r="E2388" s="2" t="s">
        <v>405</v>
      </c>
      <c r="F2388" s="1"/>
      <c r="G2388" s="2">
        <v>6</v>
      </c>
      <c r="H2388" s="1"/>
      <c r="I2388" t="s">
        <v>1</v>
      </c>
      <c r="J2388" t="s">
        <v>2</v>
      </c>
      <c r="K2388" t="s">
        <v>19</v>
      </c>
      <c r="L2388" t="s">
        <v>407</v>
      </c>
      <c r="M2388" s="3" t="s">
        <v>846</v>
      </c>
    </row>
    <row r="2389" spans="1:13" hidden="1" x14ac:dyDescent="0.25">
      <c r="A2389" s="1" t="str">
        <f>VLOOKUP(Table2[[#This Row],[Prod Line ]],Lists!A:E,5,0)</f>
        <v>b</v>
      </c>
      <c r="B2389" s="1">
        <v>44561</v>
      </c>
      <c r="C2389" s="1">
        <v>44559</v>
      </c>
      <c r="D2389" s="1" t="s">
        <v>58</v>
      </c>
      <c r="E2389" s="2" t="s">
        <v>406</v>
      </c>
      <c r="F2389" s="1"/>
      <c r="G2389" s="2">
        <v>20</v>
      </c>
      <c r="H2389" s="1"/>
      <c r="I2389" t="s">
        <v>1</v>
      </c>
      <c r="J2389" t="s">
        <v>65</v>
      </c>
      <c r="K2389" t="s">
        <v>27</v>
      </c>
      <c r="L2389" t="s">
        <v>441</v>
      </c>
      <c r="M2389" s="3" t="s">
        <v>1971</v>
      </c>
    </row>
    <row r="2390" spans="1:13" hidden="1" x14ac:dyDescent="0.25">
      <c r="A2390" s="1" t="str">
        <f>VLOOKUP(Table2[[#This Row],[Prod Line ]],Lists!A:E,5,0)</f>
        <v>b</v>
      </c>
      <c r="B2390" s="1">
        <v>44561</v>
      </c>
      <c r="C2390" s="1">
        <v>44559</v>
      </c>
      <c r="D2390" s="1" t="s">
        <v>58</v>
      </c>
      <c r="E2390" s="2" t="s">
        <v>406</v>
      </c>
      <c r="F2390" s="1"/>
      <c r="G2390" s="2">
        <v>28</v>
      </c>
      <c r="H2390" s="1"/>
      <c r="I2390" t="s">
        <v>1</v>
      </c>
      <c r="J2390" t="s">
        <v>2</v>
      </c>
      <c r="K2390" t="s">
        <v>19</v>
      </c>
      <c r="L2390" t="s">
        <v>72</v>
      </c>
      <c r="M2390" s="3" t="s">
        <v>1972</v>
      </c>
    </row>
    <row r="2391" spans="1:13" hidden="1" x14ac:dyDescent="0.25">
      <c r="A2391" s="1" t="str">
        <f>VLOOKUP(Table2[[#This Row],[Prod Line ]],Lists!A:E,5,0)</f>
        <v>b</v>
      </c>
      <c r="B2391" s="1">
        <v>44561</v>
      </c>
      <c r="C2391" s="1">
        <v>44559</v>
      </c>
      <c r="D2391" s="1" t="s">
        <v>58</v>
      </c>
      <c r="E2391" s="2" t="s">
        <v>406</v>
      </c>
      <c r="F2391" s="1"/>
      <c r="G2391" s="2">
        <v>48</v>
      </c>
      <c r="H2391" s="1"/>
      <c r="I2391" t="s">
        <v>1</v>
      </c>
      <c r="J2391" t="s">
        <v>67</v>
      </c>
      <c r="K2391" t="s">
        <v>67</v>
      </c>
      <c r="L2391" t="s">
        <v>72</v>
      </c>
      <c r="M2391" s="3" t="s">
        <v>1973</v>
      </c>
    </row>
    <row r="2392" spans="1:13" x14ac:dyDescent="0.25">
      <c r="A2392" s="1" t="str">
        <f>VLOOKUP(Table2[[#This Row],[Prod Line ]],Lists!A:E,5,0)</f>
        <v>b</v>
      </c>
      <c r="B2392" s="1">
        <v>44564</v>
      </c>
      <c r="C2392" s="1">
        <v>44562</v>
      </c>
      <c r="D2392" s="1" t="s">
        <v>58</v>
      </c>
      <c r="E2392" s="2" t="s">
        <v>405</v>
      </c>
      <c r="F2392" s="1"/>
      <c r="G2392" s="2">
        <v>38</v>
      </c>
      <c r="H2392" s="1"/>
      <c r="I2392" t="s">
        <v>0</v>
      </c>
      <c r="J2392" t="s">
        <v>26</v>
      </c>
      <c r="K2392" t="s">
        <v>26</v>
      </c>
      <c r="L2392" t="s">
        <v>70</v>
      </c>
      <c r="M2392" s="3" t="s">
        <v>1976</v>
      </c>
    </row>
    <row r="2393" spans="1:13" hidden="1" x14ac:dyDescent="0.25">
      <c r="A2393" s="1" t="str">
        <f>VLOOKUP(Table2[[#This Row],[Prod Line ]],Lists!A:E,5,0)</f>
        <v>b</v>
      </c>
      <c r="B2393" s="1">
        <v>44564</v>
      </c>
      <c r="C2393" s="1">
        <v>44562</v>
      </c>
      <c r="D2393" s="1" t="s">
        <v>58</v>
      </c>
      <c r="E2393" s="2" t="s">
        <v>406</v>
      </c>
      <c r="F2393" s="1"/>
      <c r="G2393" s="2">
        <v>5</v>
      </c>
      <c r="H2393" s="1"/>
      <c r="I2393" t="s">
        <v>1</v>
      </c>
      <c r="J2393" t="s">
        <v>26</v>
      </c>
      <c r="K2393" t="s">
        <v>25</v>
      </c>
      <c r="L2393" t="s">
        <v>441</v>
      </c>
      <c r="M2393" s="3" t="s">
        <v>441</v>
      </c>
    </row>
    <row r="2394" spans="1:13" hidden="1" x14ac:dyDescent="0.25">
      <c r="A2394" s="1" t="str">
        <f>VLOOKUP(Table2[[#This Row],[Prod Line ]],Lists!A:E,5,0)</f>
        <v>a</v>
      </c>
      <c r="B2394" s="1">
        <v>44564</v>
      </c>
      <c r="C2394" s="1">
        <v>44561</v>
      </c>
      <c r="D2394" s="1" t="s">
        <v>56</v>
      </c>
      <c r="E2394" s="2" t="s">
        <v>404</v>
      </c>
      <c r="F2394" s="1"/>
      <c r="G2394" s="2">
        <v>10</v>
      </c>
      <c r="H2394" s="1"/>
      <c r="I2394" t="s">
        <v>1</v>
      </c>
      <c r="J2394" t="s">
        <v>2</v>
      </c>
      <c r="K2394" t="s">
        <v>19</v>
      </c>
      <c r="L2394" t="s">
        <v>407</v>
      </c>
      <c r="M2394" s="3" t="s">
        <v>759</v>
      </c>
    </row>
    <row r="2395" spans="1:13" hidden="1" x14ac:dyDescent="0.25">
      <c r="A2395" s="1" t="str">
        <f>VLOOKUP(Table2[[#This Row],[Prod Line ]],Lists!A:E,5,0)</f>
        <v>d</v>
      </c>
      <c r="B2395" s="1">
        <v>44564</v>
      </c>
      <c r="C2395" s="1">
        <v>44562</v>
      </c>
      <c r="D2395" s="1" t="s">
        <v>62</v>
      </c>
      <c r="E2395" s="2" t="s">
        <v>405</v>
      </c>
      <c r="F2395" s="1"/>
      <c r="G2395" s="2">
        <v>95</v>
      </c>
      <c r="H2395" s="1"/>
      <c r="I2395" t="s">
        <v>1</v>
      </c>
      <c r="J2395" t="s">
        <v>2</v>
      </c>
      <c r="K2395" t="s">
        <v>15</v>
      </c>
      <c r="L2395" t="s">
        <v>407</v>
      </c>
      <c r="M2395" s="3" t="s">
        <v>1977</v>
      </c>
    </row>
    <row r="2396" spans="1:13" hidden="1" x14ac:dyDescent="0.25">
      <c r="A2396" s="1" t="str">
        <f>VLOOKUP(Table2[[#This Row],[Prod Line ]],Lists!A:E,5,0)</f>
        <v>c</v>
      </c>
      <c r="B2396" s="1">
        <v>44564</v>
      </c>
      <c r="C2396" s="1">
        <v>44561</v>
      </c>
      <c r="D2396" s="1" t="s">
        <v>60</v>
      </c>
      <c r="E2396" s="2" t="s">
        <v>404</v>
      </c>
      <c r="F2396" s="1"/>
      <c r="G2396" s="2">
        <v>24</v>
      </c>
      <c r="H2396" s="1"/>
      <c r="I2396" t="s">
        <v>0</v>
      </c>
      <c r="J2396" t="s">
        <v>64</v>
      </c>
      <c r="K2396" t="s">
        <v>381</v>
      </c>
      <c r="L2396" t="s">
        <v>70</v>
      </c>
      <c r="M2396" s="3" t="s">
        <v>1849</v>
      </c>
    </row>
    <row r="2397" spans="1:13" x14ac:dyDescent="0.25">
      <c r="A2397" s="1" t="str">
        <f>VLOOKUP(Table2[[#This Row],[Prod Line ]],Lists!A:E,5,0)</f>
        <v>a</v>
      </c>
      <c r="B2397" s="1">
        <v>44565</v>
      </c>
      <c r="C2397" s="1">
        <v>44563</v>
      </c>
      <c r="D2397" s="1" t="s">
        <v>56</v>
      </c>
      <c r="E2397" s="2" t="s">
        <v>404</v>
      </c>
      <c r="F2397" s="1"/>
      <c r="G2397" s="2">
        <v>31</v>
      </c>
      <c r="H2397" s="1"/>
      <c r="I2397" t="s">
        <v>0</v>
      </c>
      <c r="J2397" t="s">
        <v>64</v>
      </c>
      <c r="K2397" t="s">
        <v>370</v>
      </c>
      <c r="L2397" t="s">
        <v>70</v>
      </c>
      <c r="M2397" s="3" t="s">
        <v>1978</v>
      </c>
    </row>
    <row r="2398" spans="1:13" x14ac:dyDescent="0.25">
      <c r="A2398" s="1" t="str">
        <f>VLOOKUP(Table2[[#This Row],[Prod Line ]],Lists!A:E,5,0)</f>
        <v>b</v>
      </c>
      <c r="B2398" s="1">
        <v>44565</v>
      </c>
      <c r="C2398" s="1">
        <v>44563</v>
      </c>
      <c r="D2398" s="1" t="s">
        <v>58</v>
      </c>
      <c r="E2398" s="2" t="s">
        <v>404</v>
      </c>
      <c r="F2398" s="1"/>
      <c r="G2398" s="2">
        <v>5</v>
      </c>
      <c r="H2398" s="1"/>
      <c r="I2398" t="s">
        <v>0</v>
      </c>
      <c r="J2398" t="s">
        <v>64</v>
      </c>
      <c r="K2398" t="s">
        <v>23</v>
      </c>
      <c r="L2398" t="s">
        <v>70</v>
      </c>
      <c r="M2398" s="3" t="s">
        <v>1979</v>
      </c>
    </row>
    <row r="2399" spans="1:13" x14ac:dyDescent="0.25">
      <c r="A2399" s="1" t="str">
        <f>VLOOKUP(Table2[[#This Row],[Prod Line ]],Lists!A:E,5,0)</f>
        <v>b</v>
      </c>
      <c r="B2399" s="1">
        <v>44565</v>
      </c>
      <c r="C2399" s="1">
        <v>44563</v>
      </c>
      <c r="D2399" s="1" t="s">
        <v>58</v>
      </c>
      <c r="E2399" s="2" t="s">
        <v>404</v>
      </c>
      <c r="F2399" s="1"/>
      <c r="G2399" s="2">
        <v>5</v>
      </c>
      <c r="H2399" s="1"/>
      <c r="I2399" t="s">
        <v>0</v>
      </c>
      <c r="J2399" t="s">
        <v>64</v>
      </c>
      <c r="K2399" t="s">
        <v>22</v>
      </c>
      <c r="L2399" t="s">
        <v>70</v>
      </c>
      <c r="M2399" s="3" t="s">
        <v>1980</v>
      </c>
    </row>
    <row r="2400" spans="1:13" hidden="1" x14ac:dyDescent="0.25">
      <c r="A2400" s="1" t="str">
        <f>VLOOKUP(Table2[[#This Row],[Prod Line ]],Lists!A:E,5,0)</f>
        <v>b</v>
      </c>
      <c r="B2400" s="1">
        <v>44565</v>
      </c>
      <c r="C2400" s="1">
        <v>44563</v>
      </c>
      <c r="D2400" s="1" t="s">
        <v>58</v>
      </c>
      <c r="E2400" s="2" t="s">
        <v>405</v>
      </c>
      <c r="F2400" s="1"/>
      <c r="G2400" s="2">
        <v>5</v>
      </c>
      <c r="H2400" s="1"/>
      <c r="I2400" t="s">
        <v>1</v>
      </c>
      <c r="J2400" t="s">
        <v>64</v>
      </c>
      <c r="K2400" t="s">
        <v>21</v>
      </c>
      <c r="L2400" t="s">
        <v>441</v>
      </c>
      <c r="M2400" s="3" t="s">
        <v>1981</v>
      </c>
    </row>
    <row r="2401" spans="1:13" hidden="1" x14ac:dyDescent="0.25">
      <c r="A2401" s="1" t="str">
        <f>VLOOKUP(Table2[[#This Row],[Prod Line ]],Lists!A:E,5,0)</f>
        <v>b</v>
      </c>
      <c r="B2401" s="1">
        <v>44565</v>
      </c>
      <c r="C2401" s="1">
        <v>44563</v>
      </c>
      <c r="D2401" s="1" t="s">
        <v>58</v>
      </c>
      <c r="E2401" s="2" t="s">
        <v>405</v>
      </c>
      <c r="F2401" s="1"/>
      <c r="G2401" s="2">
        <v>8</v>
      </c>
      <c r="H2401" s="1"/>
      <c r="I2401" t="s">
        <v>1</v>
      </c>
      <c r="J2401" t="s">
        <v>2</v>
      </c>
      <c r="K2401" t="s">
        <v>19</v>
      </c>
      <c r="L2401" t="s">
        <v>349</v>
      </c>
      <c r="M2401" s="3" t="s">
        <v>575</v>
      </c>
    </row>
    <row r="2402" spans="1:13" hidden="1" x14ac:dyDescent="0.25">
      <c r="A2402" s="1" t="str">
        <f>VLOOKUP(Table2[[#This Row],[Prod Line ]],Lists!A:E,5,0)</f>
        <v>b</v>
      </c>
      <c r="B2402" s="1">
        <v>44565</v>
      </c>
      <c r="C2402" s="1">
        <v>44563</v>
      </c>
      <c r="D2402" s="1" t="s">
        <v>58</v>
      </c>
      <c r="E2402" s="2" t="s">
        <v>405</v>
      </c>
      <c r="F2402" s="1"/>
      <c r="G2402" s="2">
        <v>2</v>
      </c>
      <c r="H2402" s="1"/>
      <c r="I2402" t="s">
        <v>1</v>
      </c>
      <c r="J2402" t="s">
        <v>65</v>
      </c>
      <c r="K2402" t="s">
        <v>3</v>
      </c>
      <c r="L2402" t="s">
        <v>441</v>
      </c>
      <c r="M2402" s="3" t="s">
        <v>1982</v>
      </c>
    </row>
    <row r="2403" spans="1:13" hidden="1" x14ac:dyDescent="0.25">
      <c r="A2403" s="1" t="str">
        <f>VLOOKUP(Table2[[#This Row],[Prod Line ]],Lists!A:E,5,0)</f>
        <v>b</v>
      </c>
      <c r="B2403" s="1">
        <v>44565</v>
      </c>
      <c r="C2403" s="1">
        <v>44563</v>
      </c>
      <c r="D2403" s="1" t="s">
        <v>58</v>
      </c>
      <c r="E2403" s="2" t="s">
        <v>406</v>
      </c>
      <c r="F2403" s="1"/>
      <c r="G2403" s="2">
        <v>17</v>
      </c>
      <c r="H2403" s="1"/>
      <c r="I2403" t="s">
        <v>1</v>
      </c>
      <c r="J2403" t="s">
        <v>2</v>
      </c>
      <c r="K2403" t="s">
        <v>19</v>
      </c>
      <c r="L2403" t="s">
        <v>407</v>
      </c>
      <c r="M2403" s="3" t="s">
        <v>1983</v>
      </c>
    </row>
    <row r="2404" spans="1:13" hidden="1" x14ac:dyDescent="0.25">
      <c r="A2404" s="1" t="str">
        <f>VLOOKUP(Table2[[#This Row],[Prod Line ]],Lists!A:E,5,0)</f>
        <v>d</v>
      </c>
      <c r="B2404" s="1">
        <v>44565</v>
      </c>
      <c r="C2404" s="1">
        <v>44563</v>
      </c>
      <c r="D2404" s="1" t="s">
        <v>62</v>
      </c>
      <c r="E2404" s="2" t="s">
        <v>405</v>
      </c>
      <c r="F2404" s="1"/>
      <c r="G2404" s="2">
        <v>37</v>
      </c>
      <c r="H2404" s="1"/>
      <c r="I2404" t="s">
        <v>1</v>
      </c>
      <c r="J2404" t="s">
        <v>2</v>
      </c>
      <c r="K2404" t="s">
        <v>19</v>
      </c>
      <c r="L2404" t="s">
        <v>407</v>
      </c>
      <c r="M2404" s="3" t="s">
        <v>1984</v>
      </c>
    </row>
    <row r="2405" spans="1:13" x14ac:dyDescent="0.25">
      <c r="A2405" s="1" t="str">
        <f>VLOOKUP(Table2[[#This Row],[Prod Line ]],Lists!A:E,5,0)</f>
        <v>d</v>
      </c>
      <c r="B2405" s="1">
        <v>44565</v>
      </c>
      <c r="C2405" s="1">
        <v>44563</v>
      </c>
      <c r="D2405" s="1" t="s">
        <v>62</v>
      </c>
      <c r="E2405" s="2" t="s">
        <v>406</v>
      </c>
      <c r="F2405" s="1"/>
      <c r="G2405" s="2">
        <v>53</v>
      </c>
      <c r="H2405" s="1"/>
      <c r="I2405" t="s">
        <v>0</v>
      </c>
      <c r="J2405" t="s">
        <v>64</v>
      </c>
      <c r="K2405" t="s">
        <v>379</v>
      </c>
      <c r="L2405" t="s">
        <v>70</v>
      </c>
      <c r="M2405" s="3" t="s">
        <v>1460</v>
      </c>
    </row>
    <row r="2406" spans="1:13" hidden="1" x14ac:dyDescent="0.25">
      <c r="A2406" s="1" t="str">
        <f>VLOOKUP(Table2[[#This Row],[Prod Line ]],Lists!A:E,5,0)</f>
        <v>b</v>
      </c>
      <c r="B2406" s="1">
        <v>44565</v>
      </c>
      <c r="C2406" s="1">
        <v>44563</v>
      </c>
      <c r="D2406" s="1" t="s">
        <v>58</v>
      </c>
      <c r="E2406" s="2" t="s">
        <v>404</v>
      </c>
      <c r="F2406" s="1"/>
      <c r="G2406" s="2">
        <v>52</v>
      </c>
      <c r="H2406" s="1"/>
      <c r="I2406" t="s">
        <v>1</v>
      </c>
      <c r="J2406" t="s">
        <v>64</v>
      </c>
      <c r="K2406" t="s">
        <v>22</v>
      </c>
      <c r="L2406" t="s">
        <v>407</v>
      </c>
      <c r="M2406" s="3" t="s">
        <v>1985</v>
      </c>
    </row>
    <row r="2407" spans="1:13" x14ac:dyDescent="0.25">
      <c r="A2407" s="1" t="str">
        <f>VLOOKUP(Table2[[#This Row],[Prod Line ]],Lists!A:E,5,0)</f>
        <v>b</v>
      </c>
      <c r="B2407" s="1">
        <v>44565</v>
      </c>
      <c r="C2407" s="1">
        <v>44563</v>
      </c>
      <c r="D2407" s="1" t="s">
        <v>58</v>
      </c>
      <c r="E2407" s="2" t="s">
        <v>404</v>
      </c>
      <c r="F2407" s="1"/>
      <c r="G2407" s="2">
        <v>19</v>
      </c>
      <c r="H2407" s="1"/>
      <c r="I2407" t="s">
        <v>0</v>
      </c>
      <c r="J2407" t="s">
        <v>65</v>
      </c>
      <c r="K2407" t="s">
        <v>3</v>
      </c>
      <c r="L2407" t="s">
        <v>70</v>
      </c>
      <c r="M2407" s="3" t="s">
        <v>1986</v>
      </c>
    </row>
    <row r="2408" spans="1:13" hidden="1" x14ac:dyDescent="0.25">
      <c r="A2408" s="1" t="str">
        <f>VLOOKUP(Table2[[#This Row],[Prod Line ]],Lists!A:E,5,0)</f>
        <v>d</v>
      </c>
      <c r="B2408" s="1">
        <v>44567</v>
      </c>
      <c r="C2408" s="1">
        <v>44565</v>
      </c>
      <c r="D2408" s="1" t="s">
        <v>62</v>
      </c>
      <c r="E2408" s="2" t="s">
        <v>405</v>
      </c>
      <c r="F2408" s="1"/>
      <c r="G2408" s="2">
        <v>3</v>
      </c>
      <c r="H2408" s="1"/>
      <c r="I2408" t="s">
        <v>1</v>
      </c>
      <c r="J2408" t="s">
        <v>2</v>
      </c>
      <c r="K2408" t="s">
        <v>19</v>
      </c>
      <c r="L2408" t="s">
        <v>349</v>
      </c>
      <c r="M2408" s="3" t="s">
        <v>1987</v>
      </c>
    </row>
    <row r="2409" spans="1:13" hidden="1" x14ac:dyDescent="0.25">
      <c r="A2409" s="1" t="str">
        <f>VLOOKUP(Table2[[#This Row],[Prod Line ]],Lists!A:E,5,0)</f>
        <v>b</v>
      </c>
      <c r="B2409" s="1">
        <v>44567</v>
      </c>
      <c r="C2409" s="1">
        <v>44565</v>
      </c>
      <c r="D2409" s="1" t="s">
        <v>58</v>
      </c>
      <c r="E2409" s="2" t="s">
        <v>405</v>
      </c>
      <c r="F2409" s="1"/>
      <c r="G2409" s="2">
        <v>9</v>
      </c>
      <c r="H2409" s="1"/>
      <c r="I2409" t="s">
        <v>1</v>
      </c>
      <c r="J2409" t="s">
        <v>64</v>
      </c>
      <c r="K2409" t="s">
        <v>21</v>
      </c>
      <c r="L2409" t="s">
        <v>407</v>
      </c>
      <c r="M2409" s="3" t="s">
        <v>1988</v>
      </c>
    </row>
    <row r="2410" spans="1:13" x14ac:dyDescent="0.25">
      <c r="A2410" s="1" t="str">
        <f>VLOOKUP(Table2[[#This Row],[Prod Line ]],Lists!A:E,5,0)</f>
        <v>a</v>
      </c>
      <c r="B2410" s="1">
        <v>44567</v>
      </c>
      <c r="C2410" s="1">
        <v>44565</v>
      </c>
      <c r="D2410" s="1" t="s">
        <v>56</v>
      </c>
      <c r="E2410" s="2" t="s">
        <v>404</v>
      </c>
      <c r="F2410" s="1"/>
      <c r="G2410" s="2">
        <v>7</v>
      </c>
      <c r="H2410" s="1"/>
      <c r="I2410" t="s">
        <v>0</v>
      </c>
      <c r="J2410" t="s">
        <v>64</v>
      </c>
      <c r="K2410" t="s">
        <v>370</v>
      </c>
      <c r="L2410" t="s">
        <v>70</v>
      </c>
      <c r="M2410" s="3" t="s">
        <v>1991</v>
      </c>
    </row>
    <row r="2411" spans="1:13" x14ac:dyDescent="0.25">
      <c r="A2411" s="1" t="str">
        <f>VLOOKUP(Table2[[#This Row],[Prod Line ]],Lists!A:E,5,0)</f>
        <v>a</v>
      </c>
      <c r="B2411" s="1">
        <v>44567</v>
      </c>
      <c r="C2411" s="1">
        <v>44565</v>
      </c>
      <c r="D2411" s="1" t="s">
        <v>56</v>
      </c>
      <c r="E2411" s="2" t="s">
        <v>404</v>
      </c>
      <c r="F2411" s="1"/>
      <c r="G2411" s="2">
        <v>51</v>
      </c>
      <c r="H2411" s="1"/>
      <c r="I2411" t="s">
        <v>0</v>
      </c>
      <c r="J2411" t="s">
        <v>66</v>
      </c>
      <c r="K2411" t="s">
        <v>4</v>
      </c>
      <c r="L2411" t="s">
        <v>70</v>
      </c>
      <c r="M2411" s="3" t="s">
        <v>1989</v>
      </c>
    </row>
    <row r="2412" spans="1:13" x14ac:dyDescent="0.25">
      <c r="A2412" s="1" t="str">
        <f>VLOOKUP(Table2[[#This Row],[Prod Line ]],Lists!A:E,5,0)</f>
        <v>a</v>
      </c>
      <c r="B2412" s="1">
        <v>44567</v>
      </c>
      <c r="C2412" s="1">
        <v>44565</v>
      </c>
      <c r="D2412" s="1" t="s">
        <v>56</v>
      </c>
      <c r="E2412" s="2" t="s">
        <v>405</v>
      </c>
      <c r="F2412" s="1"/>
      <c r="G2412" s="2">
        <v>19</v>
      </c>
      <c r="H2412" s="1"/>
      <c r="I2412" t="s">
        <v>0</v>
      </c>
      <c r="J2412" t="s">
        <v>65</v>
      </c>
      <c r="K2412" t="s">
        <v>372</v>
      </c>
      <c r="L2412" t="s">
        <v>70</v>
      </c>
      <c r="M2412" s="3" t="s">
        <v>1990</v>
      </c>
    </row>
    <row r="2413" spans="1:13" hidden="1" x14ac:dyDescent="0.25">
      <c r="A2413" s="1" t="str">
        <f>VLOOKUP(Table2[[#This Row],[Prod Line ]],Lists!A:E,5,0)</f>
        <v>d</v>
      </c>
      <c r="B2413" s="1">
        <v>44567</v>
      </c>
      <c r="C2413" s="1">
        <v>44565</v>
      </c>
      <c r="D2413" s="1" t="s">
        <v>62</v>
      </c>
      <c r="E2413" s="2" t="s">
        <v>405</v>
      </c>
      <c r="F2413" s="1"/>
      <c r="G2413" s="2">
        <v>3</v>
      </c>
      <c r="H2413" s="1"/>
      <c r="I2413" t="s">
        <v>1</v>
      </c>
      <c r="J2413" t="s">
        <v>2</v>
      </c>
      <c r="K2413" t="s">
        <v>19</v>
      </c>
      <c r="L2413" t="s">
        <v>407</v>
      </c>
      <c r="M2413" s="3" t="s">
        <v>1992</v>
      </c>
    </row>
    <row r="2414" spans="1:13" hidden="1" x14ac:dyDescent="0.25">
      <c r="A2414" s="1" t="str">
        <f>VLOOKUP(Table2[[#This Row],[Prod Line ]],Lists!A:E,5,0)</f>
        <v>b</v>
      </c>
      <c r="B2414" s="1">
        <v>44569</v>
      </c>
      <c r="C2414" s="1">
        <v>44567</v>
      </c>
      <c r="D2414" s="1" t="s">
        <v>58</v>
      </c>
      <c r="E2414" s="2" t="s">
        <v>405</v>
      </c>
      <c r="F2414" s="1"/>
      <c r="G2414" s="2">
        <v>10</v>
      </c>
      <c r="H2414" s="1"/>
      <c r="I2414" t="s">
        <v>1</v>
      </c>
      <c r="J2414" t="s">
        <v>65</v>
      </c>
      <c r="K2414" t="s">
        <v>3</v>
      </c>
      <c r="L2414" t="s">
        <v>441</v>
      </c>
      <c r="M2414" s="3" t="s">
        <v>612</v>
      </c>
    </row>
    <row r="2415" spans="1:13" x14ac:dyDescent="0.25">
      <c r="A2415" s="1" t="str">
        <f>VLOOKUP(Table2[[#This Row],[Prod Line ]],Lists!A:E,5,0)</f>
        <v>a</v>
      </c>
      <c r="B2415" s="1">
        <v>44571</v>
      </c>
      <c r="C2415" s="1">
        <v>44569</v>
      </c>
      <c r="D2415" s="1" t="s">
        <v>56</v>
      </c>
      <c r="E2415" s="2" t="s">
        <v>405</v>
      </c>
      <c r="F2415" s="1"/>
      <c r="G2415" s="2">
        <v>8</v>
      </c>
      <c r="H2415" s="1"/>
      <c r="I2415" t="s">
        <v>0</v>
      </c>
      <c r="J2415" t="s">
        <v>64</v>
      </c>
      <c r="K2415" t="s">
        <v>370</v>
      </c>
      <c r="L2415" t="s">
        <v>70</v>
      </c>
      <c r="M2415" s="3" t="s">
        <v>1993</v>
      </c>
    </row>
    <row r="2416" spans="1:13" x14ac:dyDescent="0.25">
      <c r="A2416" s="1" t="str">
        <f>VLOOKUP(Table2[[#This Row],[Prod Line ]],Lists!A:E,5,0)</f>
        <v>a</v>
      </c>
      <c r="B2416" s="1">
        <v>44571</v>
      </c>
      <c r="C2416" s="1">
        <v>44569</v>
      </c>
      <c r="D2416" s="1" t="s">
        <v>56</v>
      </c>
      <c r="E2416" s="2" t="s">
        <v>405</v>
      </c>
      <c r="F2416" s="1"/>
      <c r="G2416" s="2">
        <v>12</v>
      </c>
      <c r="H2416" s="1"/>
      <c r="I2416" t="s">
        <v>0</v>
      </c>
      <c r="J2416" t="s">
        <v>2</v>
      </c>
      <c r="K2416" t="s">
        <v>19</v>
      </c>
      <c r="L2416" t="s">
        <v>70</v>
      </c>
      <c r="M2416" s="3" t="s">
        <v>1994</v>
      </c>
    </row>
    <row r="2417" spans="1:13" hidden="1" x14ac:dyDescent="0.25">
      <c r="A2417" s="1" t="str">
        <f>VLOOKUP(Table2[[#This Row],[Prod Line ]],Lists!A:E,5,0)</f>
        <v>a</v>
      </c>
      <c r="B2417" s="1">
        <v>44571</v>
      </c>
      <c r="C2417" s="1">
        <v>44569</v>
      </c>
      <c r="D2417" s="1" t="s">
        <v>56</v>
      </c>
      <c r="E2417" s="2" t="s">
        <v>405</v>
      </c>
      <c r="F2417" s="1"/>
      <c r="G2417" s="2">
        <v>7</v>
      </c>
      <c r="H2417" s="1"/>
      <c r="I2417" t="s">
        <v>1</v>
      </c>
      <c r="J2417" t="s">
        <v>64</v>
      </c>
      <c r="K2417" t="s">
        <v>370</v>
      </c>
      <c r="L2417" t="s">
        <v>407</v>
      </c>
      <c r="M2417" s="3" t="s">
        <v>1995</v>
      </c>
    </row>
    <row r="2418" spans="1:13" hidden="1" x14ac:dyDescent="0.25">
      <c r="A2418" s="1" t="str">
        <f>VLOOKUP(Table2[[#This Row],[Prod Line ]],Lists!A:E,5,0)</f>
        <v>b</v>
      </c>
      <c r="B2418" s="1">
        <v>44571</v>
      </c>
      <c r="C2418" s="1">
        <v>44569</v>
      </c>
      <c r="D2418" s="1" t="s">
        <v>58</v>
      </c>
      <c r="E2418" s="2" t="s">
        <v>406</v>
      </c>
      <c r="F2418" s="1"/>
      <c r="G2418" s="2">
        <v>5</v>
      </c>
      <c r="H2418" s="1"/>
      <c r="I2418" t="s">
        <v>1</v>
      </c>
      <c r="J2418" t="s">
        <v>64</v>
      </c>
      <c r="K2418" t="s">
        <v>21</v>
      </c>
      <c r="L2418" t="s">
        <v>407</v>
      </c>
      <c r="M2418" s="3" t="s">
        <v>1996</v>
      </c>
    </row>
    <row r="2419" spans="1:13" hidden="1" x14ac:dyDescent="0.25">
      <c r="A2419" s="1" t="str">
        <f>VLOOKUP(Table2[[#This Row],[Prod Line ]],Lists!A:E,5,0)</f>
        <v>b</v>
      </c>
      <c r="B2419" s="1">
        <v>44571</v>
      </c>
      <c r="C2419" s="1">
        <v>44569</v>
      </c>
      <c r="D2419" s="1" t="s">
        <v>58</v>
      </c>
      <c r="E2419" s="2" t="s">
        <v>405</v>
      </c>
      <c r="F2419" s="1"/>
      <c r="G2419" s="2">
        <v>11</v>
      </c>
      <c r="H2419" s="1"/>
      <c r="I2419" t="s">
        <v>1</v>
      </c>
      <c r="J2419" t="s">
        <v>26</v>
      </c>
      <c r="K2419" t="s">
        <v>25</v>
      </c>
      <c r="L2419" t="s">
        <v>441</v>
      </c>
      <c r="M2419" s="3" t="s">
        <v>441</v>
      </c>
    </row>
    <row r="2420" spans="1:13" hidden="1" x14ac:dyDescent="0.25">
      <c r="A2420" s="1" t="str">
        <f>VLOOKUP(Table2[[#This Row],[Prod Line ]],Lists!A:E,5,0)</f>
        <v>b</v>
      </c>
      <c r="B2420" s="1">
        <v>44571</v>
      </c>
      <c r="C2420" s="1">
        <v>44569</v>
      </c>
      <c r="D2420" s="1" t="s">
        <v>58</v>
      </c>
      <c r="E2420" s="2" t="s">
        <v>406</v>
      </c>
      <c r="F2420" s="1"/>
      <c r="G2420" s="2">
        <v>2</v>
      </c>
      <c r="H2420" s="1"/>
      <c r="I2420" t="s">
        <v>1</v>
      </c>
      <c r="J2420" t="s">
        <v>65</v>
      </c>
      <c r="K2420" t="s">
        <v>27</v>
      </c>
      <c r="L2420" t="s">
        <v>441</v>
      </c>
      <c r="M2420" s="3" t="s">
        <v>441</v>
      </c>
    </row>
    <row r="2421" spans="1:13" x14ac:dyDescent="0.25">
      <c r="A2421" s="1" t="str">
        <f>VLOOKUP(Table2[[#This Row],[Prod Line ]],Lists!A:E,5,0)</f>
        <v>d</v>
      </c>
      <c r="B2421" s="1">
        <v>44571</v>
      </c>
      <c r="C2421" s="1">
        <v>44569</v>
      </c>
      <c r="D2421" s="1" t="s">
        <v>62</v>
      </c>
      <c r="E2421" s="2" t="s">
        <v>405</v>
      </c>
      <c r="F2421" s="1"/>
      <c r="G2421" s="2">
        <v>24</v>
      </c>
      <c r="H2421" s="1"/>
      <c r="I2421" t="s">
        <v>0</v>
      </c>
      <c r="J2421" t="s">
        <v>2</v>
      </c>
      <c r="K2421" t="s">
        <v>19</v>
      </c>
      <c r="L2421" t="s">
        <v>70</v>
      </c>
      <c r="M2421" s="3" t="s">
        <v>1997</v>
      </c>
    </row>
    <row r="2422" spans="1:13" hidden="1" x14ac:dyDescent="0.25">
      <c r="A2422" s="1" t="str">
        <f>VLOOKUP(Table2[[#This Row],[Prod Line ]],Lists!A:E,5,0)</f>
        <v>d</v>
      </c>
      <c r="B2422" s="1">
        <v>44571</v>
      </c>
      <c r="C2422" s="1">
        <v>44569</v>
      </c>
      <c r="D2422" s="1" t="s">
        <v>62</v>
      </c>
      <c r="E2422" s="2" t="s">
        <v>406</v>
      </c>
      <c r="F2422" s="1"/>
      <c r="G2422" s="2">
        <v>10</v>
      </c>
      <c r="H2422" s="1"/>
      <c r="I2422" t="s">
        <v>1</v>
      </c>
      <c r="J2422" t="s">
        <v>2</v>
      </c>
      <c r="K2422" t="s">
        <v>19</v>
      </c>
      <c r="L2422" t="s">
        <v>407</v>
      </c>
      <c r="M2422" s="3" t="s">
        <v>1998</v>
      </c>
    </row>
    <row r="2423" spans="1:13" x14ac:dyDescent="0.25">
      <c r="A2423" s="1" t="str">
        <f>VLOOKUP(Table2[[#This Row],[Prod Line ]],Lists!A:E,5,0)</f>
        <v>b</v>
      </c>
      <c r="B2423" s="1">
        <v>44572</v>
      </c>
      <c r="C2423" s="1">
        <v>44570</v>
      </c>
      <c r="D2423" s="1" t="s">
        <v>58</v>
      </c>
      <c r="E2423" s="2" t="s">
        <v>406</v>
      </c>
      <c r="F2423" s="1"/>
      <c r="G2423" s="2">
        <v>18</v>
      </c>
      <c r="H2423" s="1"/>
      <c r="I2423" t="s">
        <v>0</v>
      </c>
      <c r="J2423" t="s">
        <v>65</v>
      </c>
      <c r="K2423" t="s">
        <v>27</v>
      </c>
      <c r="L2423" t="s">
        <v>70</v>
      </c>
      <c r="M2423" s="3" t="s">
        <v>1999</v>
      </c>
    </row>
    <row r="2424" spans="1:13" x14ac:dyDescent="0.25">
      <c r="A2424" s="1" t="str">
        <f>VLOOKUP(Table2[[#This Row],[Prod Line ]],Lists!A:E,5,0)</f>
        <v>b</v>
      </c>
      <c r="B2424" s="1">
        <v>44572</v>
      </c>
      <c r="C2424" s="1">
        <v>44570</v>
      </c>
      <c r="D2424" s="1" t="s">
        <v>58</v>
      </c>
      <c r="E2424" s="2" t="s">
        <v>404</v>
      </c>
      <c r="F2424" s="1"/>
      <c r="G2424" s="2">
        <v>12</v>
      </c>
      <c r="H2424" s="1"/>
      <c r="I2424" t="s">
        <v>0</v>
      </c>
      <c r="J2424" t="s">
        <v>65</v>
      </c>
      <c r="K2424" t="s">
        <v>27</v>
      </c>
      <c r="L2424" t="s">
        <v>70</v>
      </c>
      <c r="M2424" s="3" t="s">
        <v>1999</v>
      </c>
    </row>
    <row r="2425" spans="1:13" hidden="1" x14ac:dyDescent="0.25">
      <c r="A2425" s="1" t="str">
        <f>VLOOKUP(Table2[[#This Row],[Prod Line ]],Lists!A:E,5,0)</f>
        <v>a</v>
      </c>
      <c r="B2425" s="1">
        <v>44572</v>
      </c>
      <c r="C2425" s="1">
        <v>44570</v>
      </c>
      <c r="D2425" s="1" t="s">
        <v>56</v>
      </c>
      <c r="E2425" s="2" t="s">
        <v>404</v>
      </c>
      <c r="F2425" s="1"/>
      <c r="G2425" s="2">
        <v>14</v>
      </c>
      <c r="H2425" s="1"/>
      <c r="I2425" t="s">
        <v>1</v>
      </c>
      <c r="J2425" t="s">
        <v>64</v>
      </c>
      <c r="K2425" t="s">
        <v>369</v>
      </c>
      <c r="L2425" t="s">
        <v>407</v>
      </c>
      <c r="M2425" s="3" t="s">
        <v>2000</v>
      </c>
    </row>
    <row r="2426" spans="1:13" x14ac:dyDescent="0.25">
      <c r="A2426" s="1" t="str">
        <f>VLOOKUP(Table2[[#This Row],[Prod Line ]],Lists!A:E,5,0)</f>
        <v>a</v>
      </c>
      <c r="B2426" s="1">
        <v>44572</v>
      </c>
      <c r="C2426" s="1">
        <v>44570</v>
      </c>
      <c r="D2426" s="1" t="s">
        <v>56</v>
      </c>
      <c r="E2426" s="2" t="s">
        <v>405</v>
      </c>
      <c r="F2426" s="1"/>
      <c r="G2426" s="2">
        <v>10</v>
      </c>
      <c r="H2426" s="1"/>
      <c r="I2426" t="s">
        <v>0</v>
      </c>
      <c r="J2426" t="s">
        <v>65</v>
      </c>
      <c r="K2426" t="s">
        <v>3</v>
      </c>
      <c r="L2426" t="s">
        <v>70</v>
      </c>
      <c r="M2426" s="3" t="s">
        <v>2001</v>
      </c>
    </row>
    <row r="2427" spans="1:13" hidden="1" x14ac:dyDescent="0.25">
      <c r="A2427" s="1" t="str">
        <f>VLOOKUP(Table2[[#This Row],[Prod Line ]],Lists!A:E,5,0)</f>
        <v>d</v>
      </c>
      <c r="B2427" s="1">
        <v>44572</v>
      </c>
      <c r="C2427" s="1">
        <v>44570</v>
      </c>
      <c r="D2427" s="1" t="s">
        <v>62</v>
      </c>
      <c r="E2427" s="2" t="s">
        <v>405</v>
      </c>
      <c r="F2427" s="1"/>
      <c r="G2427" s="2">
        <v>15</v>
      </c>
      <c r="H2427" s="1"/>
      <c r="I2427" t="s">
        <v>1</v>
      </c>
      <c r="J2427" t="s">
        <v>5</v>
      </c>
      <c r="K2427" t="s">
        <v>397</v>
      </c>
      <c r="L2427" t="s">
        <v>407</v>
      </c>
      <c r="M2427" s="3" t="s">
        <v>1189</v>
      </c>
    </row>
    <row r="2428" spans="1:13" hidden="1" x14ac:dyDescent="0.25">
      <c r="A2428" s="1" t="str">
        <f>VLOOKUP(Table2[[#This Row],[Prod Line ]],Lists!A:E,5,0)</f>
        <v>b</v>
      </c>
      <c r="B2428" s="1">
        <v>44572</v>
      </c>
      <c r="C2428" s="1">
        <v>44570</v>
      </c>
      <c r="D2428" s="1" t="s">
        <v>58</v>
      </c>
      <c r="E2428" s="2" t="s">
        <v>406</v>
      </c>
      <c r="F2428" s="1"/>
      <c r="G2428" s="2">
        <v>5</v>
      </c>
      <c r="H2428" s="1"/>
      <c r="I2428" t="s">
        <v>1</v>
      </c>
      <c r="J2428" t="s">
        <v>5</v>
      </c>
      <c r="K2428" t="s">
        <v>37</v>
      </c>
      <c r="L2428" t="s">
        <v>407</v>
      </c>
      <c r="M2428" s="3" t="s">
        <v>2002</v>
      </c>
    </row>
    <row r="2429" spans="1:13" hidden="1" x14ac:dyDescent="0.25">
      <c r="A2429" s="1" t="str">
        <f>VLOOKUP(Table2[[#This Row],[Prod Line ]],Lists!A:E,5,0)</f>
        <v>d</v>
      </c>
      <c r="B2429" s="1">
        <v>44572</v>
      </c>
      <c r="C2429" s="1">
        <v>44570</v>
      </c>
      <c r="D2429" s="1" t="s">
        <v>62</v>
      </c>
      <c r="E2429" s="2" t="s">
        <v>406</v>
      </c>
      <c r="F2429" s="1"/>
      <c r="G2429" s="2">
        <v>68</v>
      </c>
      <c r="H2429" s="1"/>
      <c r="I2429" t="s">
        <v>1</v>
      </c>
      <c r="J2429" t="s">
        <v>2</v>
      </c>
      <c r="K2429" t="s">
        <v>19</v>
      </c>
      <c r="L2429" t="s">
        <v>407</v>
      </c>
      <c r="M2429" s="3" t="s">
        <v>2003</v>
      </c>
    </row>
    <row r="2430" spans="1:13" x14ac:dyDescent="0.25">
      <c r="A2430" s="1" t="str">
        <f>VLOOKUP(Table2[[#This Row],[Prod Line ]],Lists!A:E,5,0)</f>
        <v>d</v>
      </c>
      <c r="B2430" s="1">
        <v>44572</v>
      </c>
      <c r="C2430" s="1">
        <v>44570</v>
      </c>
      <c r="D2430" s="1" t="s">
        <v>62</v>
      </c>
      <c r="E2430" s="2" t="s">
        <v>406</v>
      </c>
      <c r="F2430" s="1"/>
      <c r="G2430" s="2">
        <v>15</v>
      </c>
      <c r="H2430" s="1"/>
      <c r="I2430" t="s">
        <v>0</v>
      </c>
      <c r="J2430" t="s">
        <v>64</v>
      </c>
      <c r="K2430" t="s">
        <v>379</v>
      </c>
      <c r="L2430" t="s">
        <v>70</v>
      </c>
      <c r="M2430" s="3" t="s">
        <v>1460</v>
      </c>
    </row>
    <row r="2431" spans="1:13" x14ac:dyDescent="0.25">
      <c r="A2431" s="1" t="str">
        <f>VLOOKUP(Table2[[#This Row],[Prod Line ]],Lists!A:E,5,0)</f>
        <v>a</v>
      </c>
      <c r="B2431" s="1">
        <v>44572</v>
      </c>
      <c r="C2431" s="1">
        <v>44570</v>
      </c>
      <c r="D2431" s="1" t="s">
        <v>56</v>
      </c>
      <c r="E2431" s="2" t="s">
        <v>404</v>
      </c>
      <c r="F2431" s="1"/>
      <c r="G2431" s="2">
        <v>21.5</v>
      </c>
      <c r="H2431" s="1"/>
      <c r="I2431" t="s">
        <v>0</v>
      </c>
      <c r="J2431" t="s">
        <v>64</v>
      </c>
      <c r="K2431" t="s">
        <v>367</v>
      </c>
      <c r="L2431" t="s">
        <v>70</v>
      </c>
      <c r="M2431" s="3" t="s">
        <v>2004</v>
      </c>
    </row>
    <row r="2432" spans="1:13" x14ac:dyDescent="0.25">
      <c r="A2432" s="1" t="str">
        <f>VLOOKUP(Table2[[#This Row],[Prod Line ]],Lists!A:E,5,0)</f>
        <v>a</v>
      </c>
      <c r="B2432" s="1">
        <v>44572</v>
      </c>
      <c r="C2432" s="1">
        <v>44570</v>
      </c>
      <c r="D2432" s="1" t="s">
        <v>56</v>
      </c>
      <c r="E2432" s="2" t="s">
        <v>404</v>
      </c>
      <c r="F2432" s="1"/>
      <c r="G2432" s="2">
        <v>30</v>
      </c>
      <c r="H2432" s="1"/>
      <c r="I2432" t="s">
        <v>0</v>
      </c>
      <c r="J2432" t="s">
        <v>64</v>
      </c>
      <c r="K2432" t="s">
        <v>367</v>
      </c>
      <c r="L2432" t="s">
        <v>70</v>
      </c>
      <c r="M2432" s="3" t="s">
        <v>2005</v>
      </c>
    </row>
    <row r="2433" spans="1:13" hidden="1" x14ac:dyDescent="0.25">
      <c r="A2433" s="1" t="str">
        <f>VLOOKUP(Table2[[#This Row],[Prod Line ]],Lists!A:E,5,0)</f>
        <v>d</v>
      </c>
      <c r="B2433" s="1">
        <v>44574</v>
      </c>
      <c r="C2433" s="1">
        <v>44572</v>
      </c>
      <c r="D2433" s="1" t="s">
        <v>62</v>
      </c>
      <c r="E2433" s="2" t="s">
        <v>406</v>
      </c>
      <c r="F2433" s="1"/>
      <c r="G2433" s="2">
        <v>20</v>
      </c>
      <c r="H2433" s="1"/>
      <c r="I2433" t="s">
        <v>1</v>
      </c>
      <c r="J2433" t="s">
        <v>5</v>
      </c>
      <c r="K2433" t="s">
        <v>397</v>
      </c>
      <c r="L2433" t="s">
        <v>407</v>
      </c>
      <c r="M2433" s="3" t="s">
        <v>2006</v>
      </c>
    </row>
    <row r="2434" spans="1:13" hidden="1" x14ac:dyDescent="0.25">
      <c r="A2434" s="1" t="str">
        <f>VLOOKUP(Table2[[#This Row],[Prod Line ]],Lists!A:E,5,0)</f>
        <v>d</v>
      </c>
      <c r="B2434" s="1">
        <v>44574</v>
      </c>
      <c r="C2434" s="1">
        <v>44572</v>
      </c>
      <c r="D2434" s="1" t="s">
        <v>62</v>
      </c>
      <c r="E2434" s="2" t="s">
        <v>405</v>
      </c>
      <c r="F2434" s="1"/>
      <c r="G2434" s="2">
        <v>10</v>
      </c>
      <c r="H2434" s="1"/>
      <c r="I2434" t="s">
        <v>1</v>
      </c>
      <c r="J2434" t="s">
        <v>2</v>
      </c>
      <c r="K2434" t="s">
        <v>19</v>
      </c>
      <c r="L2434" t="s">
        <v>407</v>
      </c>
      <c r="M2434" s="3" t="s">
        <v>2007</v>
      </c>
    </row>
    <row r="2435" spans="1:13" hidden="1" x14ac:dyDescent="0.25">
      <c r="A2435" s="1" t="str">
        <f>VLOOKUP(Table2[[#This Row],[Prod Line ]],Lists!A:E,5,0)</f>
        <v>d</v>
      </c>
      <c r="B2435" s="1">
        <v>44574</v>
      </c>
      <c r="C2435" s="1">
        <v>44572</v>
      </c>
      <c r="D2435" s="1" t="s">
        <v>62</v>
      </c>
      <c r="E2435" s="2" t="s">
        <v>404</v>
      </c>
      <c r="F2435" s="1"/>
      <c r="G2435" s="2">
        <v>20</v>
      </c>
      <c r="H2435" s="1"/>
      <c r="I2435" t="s">
        <v>1</v>
      </c>
      <c r="J2435" t="s">
        <v>2</v>
      </c>
      <c r="K2435" t="s">
        <v>19</v>
      </c>
      <c r="L2435" t="s">
        <v>407</v>
      </c>
      <c r="M2435" s="3" t="s">
        <v>2008</v>
      </c>
    </row>
    <row r="2436" spans="1:13" hidden="1" x14ac:dyDescent="0.25">
      <c r="A2436" s="1" t="str">
        <f>VLOOKUP(Table2[[#This Row],[Prod Line ]],Lists!A:E,5,0)</f>
        <v>d</v>
      </c>
      <c r="B2436" s="1">
        <v>44575</v>
      </c>
      <c r="C2436" s="1">
        <v>44573</v>
      </c>
      <c r="D2436" s="1" t="s">
        <v>62</v>
      </c>
      <c r="E2436" s="2" t="s">
        <v>404</v>
      </c>
      <c r="F2436" s="1"/>
      <c r="G2436" s="2">
        <v>22</v>
      </c>
      <c r="H2436" s="1"/>
      <c r="I2436" t="s">
        <v>1</v>
      </c>
      <c r="J2436" t="s">
        <v>2</v>
      </c>
      <c r="K2436" t="s">
        <v>19</v>
      </c>
      <c r="L2436" t="s">
        <v>407</v>
      </c>
      <c r="M2436" s="3" t="s">
        <v>2009</v>
      </c>
    </row>
    <row r="2437" spans="1:13" x14ac:dyDescent="0.25">
      <c r="A2437" s="1" t="str">
        <f>VLOOKUP(Table2[[#This Row],[Prod Line ]],Lists!A:E,5,0)</f>
        <v>d</v>
      </c>
      <c r="B2437" s="1">
        <v>44575</v>
      </c>
      <c r="C2437" s="1">
        <v>44573</v>
      </c>
      <c r="D2437" s="1" t="s">
        <v>62</v>
      </c>
      <c r="E2437" s="2" t="s">
        <v>405</v>
      </c>
      <c r="F2437" s="1"/>
      <c r="G2437" s="2">
        <v>6</v>
      </c>
      <c r="H2437" s="1"/>
      <c r="I2437" t="s">
        <v>0</v>
      </c>
      <c r="J2437" t="s">
        <v>2</v>
      </c>
      <c r="K2437" t="s">
        <v>19</v>
      </c>
      <c r="L2437" t="s">
        <v>70</v>
      </c>
      <c r="M2437" s="3" t="s">
        <v>2010</v>
      </c>
    </row>
    <row r="2438" spans="1:13" x14ac:dyDescent="0.25">
      <c r="A2438" s="1" t="str">
        <f>VLOOKUP(Table2[[#This Row],[Prod Line ]],Lists!A:E,5,0)</f>
        <v>b</v>
      </c>
      <c r="B2438" s="1">
        <v>44575</v>
      </c>
      <c r="C2438" s="1">
        <v>44573</v>
      </c>
      <c r="D2438" s="1" t="s">
        <v>58</v>
      </c>
      <c r="E2438" s="2" t="s">
        <v>406</v>
      </c>
      <c r="F2438" s="1"/>
      <c r="G2438" s="2">
        <v>6</v>
      </c>
      <c r="H2438" s="1"/>
      <c r="I2438" t="s">
        <v>0</v>
      </c>
      <c r="J2438" t="s">
        <v>26</v>
      </c>
      <c r="K2438" t="s">
        <v>25</v>
      </c>
      <c r="L2438" t="s">
        <v>70</v>
      </c>
      <c r="M2438" s="3" t="s">
        <v>441</v>
      </c>
    </row>
    <row r="2439" spans="1:13" x14ac:dyDescent="0.25">
      <c r="A2439" s="1" t="str">
        <f>VLOOKUP(Table2[[#This Row],[Prod Line ]],Lists!A:E,5,0)</f>
        <v>b</v>
      </c>
      <c r="B2439" s="1">
        <v>44575</v>
      </c>
      <c r="C2439" s="1">
        <v>44573</v>
      </c>
      <c r="D2439" s="1" t="s">
        <v>58</v>
      </c>
      <c r="E2439" s="2" t="s">
        <v>406</v>
      </c>
      <c r="F2439" s="1"/>
      <c r="G2439" s="2">
        <v>3</v>
      </c>
      <c r="H2439" s="1"/>
      <c r="I2439" t="s">
        <v>0</v>
      </c>
      <c r="J2439" t="s">
        <v>26</v>
      </c>
      <c r="K2439" t="s">
        <v>25</v>
      </c>
      <c r="L2439" t="s">
        <v>70</v>
      </c>
      <c r="M2439" s="3" t="s">
        <v>2011</v>
      </c>
    </row>
    <row r="2440" spans="1:13" hidden="1" x14ac:dyDescent="0.25">
      <c r="A2440" s="1" t="str">
        <f>VLOOKUP(Table2[[#This Row],[Prod Line ]],Lists!A:E,5,0)</f>
        <v>b</v>
      </c>
      <c r="B2440" s="1">
        <v>44575</v>
      </c>
      <c r="C2440" s="1">
        <v>44573</v>
      </c>
      <c r="D2440" s="1" t="s">
        <v>58</v>
      </c>
      <c r="E2440" s="2" t="s">
        <v>404</v>
      </c>
      <c r="F2440" s="1"/>
      <c r="G2440" s="2">
        <v>10</v>
      </c>
      <c r="H2440" s="1"/>
      <c r="I2440" t="s">
        <v>1</v>
      </c>
      <c r="J2440" t="s">
        <v>26</v>
      </c>
      <c r="K2440" t="s">
        <v>25</v>
      </c>
      <c r="L2440" t="s">
        <v>441</v>
      </c>
      <c r="M2440" s="3" t="s">
        <v>441</v>
      </c>
    </row>
    <row r="2441" spans="1:13" hidden="1" x14ac:dyDescent="0.25">
      <c r="A2441" s="1" t="str">
        <f>VLOOKUP(Table2[[#This Row],[Prod Line ]],Lists!A:E,5,0)</f>
        <v>a</v>
      </c>
      <c r="B2441" s="1">
        <v>44576</v>
      </c>
      <c r="C2441" s="1">
        <v>44574</v>
      </c>
      <c r="D2441" s="1" t="s">
        <v>56</v>
      </c>
      <c r="E2441" s="2" t="s">
        <v>405</v>
      </c>
      <c r="F2441" s="1"/>
      <c r="G2441" s="2">
        <v>10</v>
      </c>
      <c r="H2441" s="1"/>
      <c r="I2441" t="s">
        <v>1</v>
      </c>
      <c r="J2441" t="s">
        <v>64</v>
      </c>
      <c r="K2441" t="s">
        <v>370</v>
      </c>
      <c r="L2441" t="s">
        <v>407</v>
      </c>
      <c r="M2441" s="3" t="s">
        <v>750</v>
      </c>
    </row>
    <row r="2442" spans="1:13" hidden="1" x14ac:dyDescent="0.25">
      <c r="A2442" s="1" t="str">
        <f>VLOOKUP(Table2[[#This Row],[Prod Line ]],Lists!A:E,5,0)</f>
        <v>b</v>
      </c>
      <c r="B2442" s="1">
        <v>44576</v>
      </c>
      <c r="C2442" s="1">
        <v>44574</v>
      </c>
      <c r="D2442" s="1" t="s">
        <v>58</v>
      </c>
      <c r="E2442" s="2" t="s">
        <v>405</v>
      </c>
      <c r="F2442" s="1"/>
      <c r="G2442" s="2">
        <v>15</v>
      </c>
      <c r="H2442" s="1"/>
      <c r="I2442" t="s">
        <v>1</v>
      </c>
      <c r="J2442" t="s">
        <v>64</v>
      </c>
      <c r="K2442" t="s">
        <v>21</v>
      </c>
      <c r="L2442" t="s">
        <v>407</v>
      </c>
      <c r="M2442" s="3" t="s">
        <v>1451</v>
      </c>
    </row>
    <row r="2443" spans="1:13" hidden="1" x14ac:dyDescent="0.25">
      <c r="A2443" s="1" t="str">
        <f>VLOOKUP(Table2[[#This Row],[Prod Line ]],Lists!A:E,5,0)</f>
        <v>b</v>
      </c>
      <c r="B2443" s="1">
        <v>44576</v>
      </c>
      <c r="C2443" s="1">
        <v>44574</v>
      </c>
      <c r="D2443" s="1" t="s">
        <v>58</v>
      </c>
      <c r="E2443" s="2" t="s">
        <v>404</v>
      </c>
      <c r="F2443" s="1"/>
      <c r="G2443" s="2">
        <v>12</v>
      </c>
      <c r="H2443" s="1"/>
      <c r="I2443" t="s">
        <v>1</v>
      </c>
      <c r="J2443" t="s">
        <v>65</v>
      </c>
      <c r="K2443" t="s">
        <v>3</v>
      </c>
      <c r="L2443" t="s">
        <v>441</v>
      </c>
      <c r="M2443" s="3" t="s">
        <v>514</v>
      </c>
    </row>
    <row r="2444" spans="1:13" hidden="1" x14ac:dyDescent="0.25">
      <c r="A2444" s="1" t="str">
        <f>VLOOKUP(Table2[[#This Row],[Prod Line ]],Lists!A:E,5,0)</f>
        <v>b</v>
      </c>
      <c r="B2444" s="1">
        <v>44576</v>
      </c>
      <c r="C2444" s="1">
        <v>44574</v>
      </c>
      <c r="D2444" s="1" t="s">
        <v>58</v>
      </c>
      <c r="E2444" s="2" t="s">
        <v>404</v>
      </c>
      <c r="F2444" s="1"/>
      <c r="G2444" s="2">
        <v>5</v>
      </c>
      <c r="H2444" s="1"/>
      <c r="I2444" t="s">
        <v>1</v>
      </c>
      <c r="J2444" t="s">
        <v>65</v>
      </c>
      <c r="K2444" t="s">
        <v>3</v>
      </c>
      <c r="L2444" t="s">
        <v>441</v>
      </c>
      <c r="M2444" s="3" t="s">
        <v>2012</v>
      </c>
    </row>
    <row r="2445" spans="1:13" x14ac:dyDescent="0.25">
      <c r="A2445" s="1" t="str">
        <f>VLOOKUP(Table2[[#This Row],[Prod Line ]],Lists!A:E,5,0)</f>
        <v>b</v>
      </c>
      <c r="B2445" s="1">
        <v>44576</v>
      </c>
      <c r="C2445" s="1">
        <v>44574</v>
      </c>
      <c r="D2445" s="1" t="s">
        <v>58</v>
      </c>
      <c r="E2445" s="2" t="s">
        <v>404</v>
      </c>
      <c r="F2445" s="1"/>
      <c r="G2445" s="2">
        <v>6</v>
      </c>
      <c r="H2445" s="1"/>
      <c r="I2445" t="s">
        <v>0</v>
      </c>
      <c r="J2445" t="s">
        <v>65</v>
      </c>
      <c r="K2445" t="s">
        <v>27</v>
      </c>
      <c r="L2445" t="s">
        <v>70</v>
      </c>
      <c r="M2445" s="3" t="s">
        <v>2013</v>
      </c>
    </row>
    <row r="2446" spans="1:13" x14ac:dyDescent="0.25">
      <c r="A2446" s="1" t="str">
        <f>VLOOKUP(Table2[[#This Row],[Prod Line ]],Lists!A:E,5,0)</f>
        <v>a</v>
      </c>
      <c r="B2446" s="1">
        <v>44578</v>
      </c>
      <c r="C2446" s="1">
        <v>44576</v>
      </c>
      <c r="D2446" s="1" t="s">
        <v>56</v>
      </c>
      <c r="E2446" s="2" t="s">
        <v>404</v>
      </c>
      <c r="F2446" s="1"/>
      <c r="G2446" s="2">
        <v>6</v>
      </c>
      <c r="H2446" s="1"/>
      <c r="I2446" t="s">
        <v>0</v>
      </c>
      <c r="J2446" t="s">
        <v>64</v>
      </c>
      <c r="K2446" t="s">
        <v>366</v>
      </c>
      <c r="L2446" t="s">
        <v>70</v>
      </c>
      <c r="M2446" s="3" t="s">
        <v>2014</v>
      </c>
    </row>
    <row r="2447" spans="1:13" x14ac:dyDescent="0.25">
      <c r="A2447" s="1" t="str">
        <f>VLOOKUP(Table2[[#This Row],[Prod Line ]],Lists!A:E,5,0)</f>
        <v>a</v>
      </c>
      <c r="B2447" s="1">
        <v>44578</v>
      </c>
      <c r="C2447" s="1">
        <v>44576</v>
      </c>
      <c r="D2447" s="1" t="s">
        <v>56</v>
      </c>
      <c r="E2447" s="2" t="s">
        <v>404</v>
      </c>
      <c r="F2447" s="1"/>
      <c r="G2447" s="2">
        <v>28</v>
      </c>
      <c r="H2447" s="1"/>
      <c r="I2447" t="s">
        <v>0</v>
      </c>
      <c r="J2447" t="s">
        <v>64</v>
      </c>
      <c r="K2447" t="s">
        <v>366</v>
      </c>
      <c r="L2447" t="s">
        <v>70</v>
      </c>
      <c r="M2447" s="3" t="s">
        <v>2015</v>
      </c>
    </row>
    <row r="2448" spans="1:13" x14ac:dyDescent="0.25">
      <c r="A2448" s="1" t="str">
        <f>VLOOKUP(Table2[[#This Row],[Prod Line ]],Lists!A:E,5,0)</f>
        <v>a</v>
      </c>
      <c r="B2448" s="1">
        <v>44578</v>
      </c>
      <c r="C2448" s="1">
        <v>44576</v>
      </c>
      <c r="D2448" s="1" t="s">
        <v>56</v>
      </c>
      <c r="E2448" s="2" t="s">
        <v>405</v>
      </c>
      <c r="F2448" s="1"/>
      <c r="G2448" s="2">
        <v>12</v>
      </c>
      <c r="H2448" s="1"/>
      <c r="I2448" t="s">
        <v>0</v>
      </c>
      <c r="J2448" t="s">
        <v>65</v>
      </c>
      <c r="K2448" t="s">
        <v>372</v>
      </c>
      <c r="L2448" t="s">
        <v>70</v>
      </c>
      <c r="M2448" s="3" t="s">
        <v>2016</v>
      </c>
    </row>
    <row r="2449" spans="1:14" hidden="1" x14ac:dyDescent="0.25">
      <c r="A2449" s="1" t="str">
        <f>VLOOKUP(Table2[[#This Row],[Prod Line ]],Lists!A:E,5,0)</f>
        <v>a</v>
      </c>
      <c r="B2449" s="1">
        <v>44578</v>
      </c>
      <c r="C2449" s="1">
        <v>44576</v>
      </c>
      <c r="D2449" s="1" t="s">
        <v>56</v>
      </c>
      <c r="E2449" s="2" t="s">
        <v>405</v>
      </c>
      <c r="F2449" s="1"/>
      <c r="G2449" s="2">
        <v>8</v>
      </c>
      <c r="H2449" s="1"/>
      <c r="I2449" t="s">
        <v>1</v>
      </c>
      <c r="J2449" t="s">
        <v>64</v>
      </c>
      <c r="K2449" t="s">
        <v>371</v>
      </c>
      <c r="L2449" t="s">
        <v>350</v>
      </c>
      <c r="M2449" s="3" t="s">
        <v>2017</v>
      </c>
    </row>
    <row r="2450" spans="1:14" x14ac:dyDescent="0.25">
      <c r="A2450" s="1" t="str">
        <f>VLOOKUP(Table2[[#This Row],[Prod Line ]],Lists!A:E,5,0)</f>
        <v>a</v>
      </c>
      <c r="B2450" s="1">
        <v>44578</v>
      </c>
      <c r="C2450" s="1">
        <v>44576</v>
      </c>
      <c r="D2450" s="1" t="s">
        <v>56</v>
      </c>
      <c r="E2450" s="2" t="s">
        <v>405</v>
      </c>
      <c r="F2450" s="1"/>
      <c r="G2450" s="2">
        <v>13</v>
      </c>
      <c r="H2450" s="1"/>
      <c r="I2450" t="s">
        <v>0</v>
      </c>
      <c r="J2450" t="s">
        <v>64</v>
      </c>
      <c r="K2450" t="s">
        <v>370</v>
      </c>
      <c r="L2450" t="s">
        <v>70</v>
      </c>
      <c r="M2450" s="3" t="s">
        <v>2018</v>
      </c>
    </row>
    <row r="2451" spans="1:14" x14ac:dyDescent="0.25">
      <c r="A2451" s="1" t="str">
        <f>VLOOKUP(Table2[[#This Row],[Prod Line ]],Lists!A:E,5,0)</f>
        <v>a</v>
      </c>
      <c r="B2451" s="1">
        <v>44578</v>
      </c>
      <c r="C2451" s="1">
        <v>44576</v>
      </c>
      <c r="D2451" s="1" t="s">
        <v>56</v>
      </c>
      <c r="E2451" s="2" t="s">
        <v>405</v>
      </c>
      <c r="F2451" s="1"/>
      <c r="G2451" s="2">
        <v>18</v>
      </c>
      <c r="H2451" s="1"/>
      <c r="I2451" t="s">
        <v>0</v>
      </c>
      <c r="J2451" t="s">
        <v>64</v>
      </c>
      <c r="K2451" t="s">
        <v>370</v>
      </c>
      <c r="L2451" t="s">
        <v>70</v>
      </c>
      <c r="M2451" s="3" t="s">
        <v>2019</v>
      </c>
    </row>
    <row r="2452" spans="1:14" x14ac:dyDescent="0.25">
      <c r="A2452" s="1" t="str">
        <f>VLOOKUP(Table2[[#This Row],[Prod Line ]],Lists!A:E,5,0)</f>
        <v>a</v>
      </c>
      <c r="B2452" s="1">
        <v>44578</v>
      </c>
      <c r="C2452" s="1">
        <v>44576</v>
      </c>
      <c r="D2452" s="1" t="s">
        <v>56</v>
      </c>
      <c r="E2452" s="2" t="s">
        <v>405</v>
      </c>
      <c r="F2452" s="1"/>
      <c r="G2452" s="2">
        <v>10</v>
      </c>
      <c r="H2452" s="1"/>
      <c r="I2452" t="s">
        <v>0</v>
      </c>
      <c r="J2452" t="s">
        <v>64</v>
      </c>
      <c r="K2452" t="s">
        <v>370</v>
      </c>
      <c r="L2452" t="s">
        <v>70</v>
      </c>
      <c r="M2452" s="3" t="s">
        <v>2020</v>
      </c>
    </row>
    <row r="2453" spans="1:14" hidden="1" x14ac:dyDescent="0.25">
      <c r="A2453" s="1" t="str">
        <f>VLOOKUP(Table2[[#This Row],[Prod Line ]],Lists!A:E,5,0)</f>
        <v>a</v>
      </c>
      <c r="B2453" s="1">
        <v>44578</v>
      </c>
      <c r="C2453" s="1">
        <v>44576</v>
      </c>
      <c r="D2453" s="1" t="s">
        <v>56</v>
      </c>
      <c r="E2453" s="2" t="s">
        <v>405</v>
      </c>
      <c r="F2453" s="1"/>
      <c r="G2453" s="2">
        <v>34</v>
      </c>
      <c r="H2453" s="1"/>
      <c r="I2453" t="s">
        <v>1</v>
      </c>
      <c r="J2453" t="s">
        <v>64</v>
      </c>
      <c r="K2453" t="s">
        <v>369</v>
      </c>
      <c r="L2453" t="s">
        <v>407</v>
      </c>
      <c r="M2453" s="3" t="s">
        <v>609</v>
      </c>
    </row>
    <row r="2454" spans="1:14" hidden="1" x14ac:dyDescent="0.25">
      <c r="A2454" s="1" t="str">
        <f>VLOOKUP(Table2[[#This Row],[Prod Line ]],Lists!A:E,5,0)</f>
        <v>b</v>
      </c>
      <c r="B2454" s="1">
        <v>44578</v>
      </c>
      <c r="C2454" s="1">
        <v>44576</v>
      </c>
      <c r="D2454" s="1" t="s">
        <v>58</v>
      </c>
      <c r="E2454" s="2" t="s">
        <v>406</v>
      </c>
      <c r="F2454" s="1"/>
      <c r="G2454" s="2">
        <v>5</v>
      </c>
      <c r="H2454" s="1"/>
      <c r="I2454" t="s">
        <v>1</v>
      </c>
      <c r="J2454" t="s">
        <v>64</v>
      </c>
      <c r="K2454" t="s">
        <v>21</v>
      </c>
      <c r="L2454" t="s">
        <v>407</v>
      </c>
      <c r="M2454" s="3" t="s">
        <v>2021</v>
      </c>
    </row>
    <row r="2455" spans="1:14" hidden="1" x14ac:dyDescent="0.25">
      <c r="A2455" s="1" t="str">
        <f>VLOOKUP(Table2[[#This Row],[Prod Line ]],Lists!A:E,5,0)</f>
        <v>b</v>
      </c>
      <c r="B2455" s="1">
        <v>44578</v>
      </c>
      <c r="C2455" s="1">
        <v>44576</v>
      </c>
      <c r="D2455" s="1" t="s">
        <v>58</v>
      </c>
      <c r="E2455" s="2" t="s">
        <v>406</v>
      </c>
      <c r="F2455" s="1"/>
      <c r="G2455" s="2">
        <v>12</v>
      </c>
      <c r="H2455" s="1"/>
      <c r="I2455" t="s">
        <v>1</v>
      </c>
      <c r="J2455" t="s">
        <v>26</v>
      </c>
      <c r="K2455" t="s">
        <v>25</v>
      </c>
      <c r="L2455" t="s">
        <v>441</v>
      </c>
      <c r="M2455" s="3" t="s">
        <v>1011</v>
      </c>
    </row>
    <row r="2456" spans="1:14" hidden="1" x14ac:dyDescent="0.25">
      <c r="A2456" s="1" t="str">
        <f>VLOOKUP(Table2[[#This Row],[Prod Line ]],Lists!A:E,5,0)</f>
        <v>b</v>
      </c>
      <c r="B2456" s="1">
        <v>44578</v>
      </c>
      <c r="C2456" s="1">
        <v>44576</v>
      </c>
      <c r="D2456" s="1" t="s">
        <v>58</v>
      </c>
      <c r="E2456" s="2" t="s">
        <v>406</v>
      </c>
      <c r="F2456" s="1"/>
      <c r="G2456" s="2">
        <v>20</v>
      </c>
      <c r="H2456" s="1"/>
      <c r="I2456" t="s">
        <v>1</v>
      </c>
      <c r="J2456" t="s">
        <v>64</v>
      </c>
      <c r="K2456" t="s">
        <v>21</v>
      </c>
      <c r="L2456" t="s">
        <v>407</v>
      </c>
      <c r="M2456" s="3" t="s">
        <v>2022</v>
      </c>
    </row>
    <row r="2457" spans="1:14" x14ac:dyDescent="0.25">
      <c r="A2457" s="1" t="str">
        <f>VLOOKUP(Table2[[#This Row],[Prod Line ]],Lists!A:E,5,0)</f>
        <v>b</v>
      </c>
      <c r="B2457" s="1">
        <v>44578</v>
      </c>
      <c r="C2457" s="1">
        <v>44576</v>
      </c>
      <c r="D2457" s="1" t="s">
        <v>58</v>
      </c>
      <c r="E2457" s="2" t="s">
        <v>404</v>
      </c>
      <c r="F2457" s="1"/>
      <c r="G2457" s="2">
        <v>31</v>
      </c>
      <c r="H2457" s="1"/>
      <c r="I2457" t="s">
        <v>0</v>
      </c>
      <c r="J2457" t="s">
        <v>64</v>
      </c>
      <c r="K2457" t="s">
        <v>21</v>
      </c>
      <c r="L2457" t="s">
        <v>70</v>
      </c>
      <c r="M2457" s="3" t="s">
        <v>2023</v>
      </c>
      <c r="N2457" s="20" t="s">
        <v>2197</v>
      </c>
    </row>
    <row r="2458" spans="1:14" hidden="1" x14ac:dyDescent="0.25">
      <c r="A2458" s="1" t="str">
        <f>VLOOKUP(Table2[[#This Row],[Prod Line ]],Lists!A:E,5,0)</f>
        <v>b</v>
      </c>
      <c r="B2458" s="1">
        <v>44578</v>
      </c>
      <c r="C2458" s="1">
        <v>44576</v>
      </c>
      <c r="D2458" s="1" t="s">
        <v>58</v>
      </c>
      <c r="E2458" s="2" t="s">
        <v>404</v>
      </c>
      <c r="F2458" s="1"/>
      <c r="G2458" s="2">
        <v>20</v>
      </c>
      <c r="H2458" s="1"/>
      <c r="I2458" t="s">
        <v>1</v>
      </c>
      <c r="J2458" t="s">
        <v>26</v>
      </c>
      <c r="K2458" t="s">
        <v>25</v>
      </c>
      <c r="L2458" t="s">
        <v>441</v>
      </c>
      <c r="M2458" s="3" t="s">
        <v>2024</v>
      </c>
    </row>
    <row r="2459" spans="1:14" hidden="1" x14ac:dyDescent="0.25">
      <c r="A2459" s="1" t="str">
        <f>VLOOKUP(Table2[[#This Row],[Prod Line ]],Lists!A:E,5,0)</f>
        <v>b</v>
      </c>
      <c r="B2459" s="1">
        <v>44578</v>
      </c>
      <c r="C2459" s="1">
        <v>44576</v>
      </c>
      <c r="D2459" s="1" t="s">
        <v>58</v>
      </c>
      <c r="E2459" s="2" t="s">
        <v>404</v>
      </c>
      <c r="F2459" s="1"/>
      <c r="G2459" s="2">
        <v>16</v>
      </c>
      <c r="H2459" s="1"/>
      <c r="I2459" t="s">
        <v>1</v>
      </c>
      <c r="J2459" t="s">
        <v>64</v>
      </c>
      <c r="K2459" t="s">
        <v>21</v>
      </c>
      <c r="L2459" t="s">
        <v>407</v>
      </c>
      <c r="M2459" s="3" t="s">
        <v>2025</v>
      </c>
    </row>
    <row r="2460" spans="1:14" hidden="1" x14ac:dyDescent="0.25">
      <c r="A2460" s="1" t="str">
        <f>VLOOKUP(Table2[[#This Row],[Prod Line ]],Lists!A:E,5,0)</f>
        <v>b</v>
      </c>
      <c r="B2460" s="1">
        <v>44578</v>
      </c>
      <c r="C2460" s="1">
        <v>44576</v>
      </c>
      <c r="D2460" s="1" t="s">
        <v>58</v>
      </c>
      <c r="E2460" s="2" t="s">
        <v>406</v>
      </c>
      <c r="F2460" s="1"/>
      <c r="G2460" s="2">
        <v>5</v>
      </c>
      <c r="H2460" s="1"/>
      <c r="I2460" t="s">
        <v>1</v>
      </c>
      <c r="J2460" t="s">
        <v>64</v>
      </c>
      <c r="K2460" t="s">
        <v>23</v>
      </c>
      <c r="L2460" t="s">
        <v>407</v>
      </c>
      <c r="M2460" s="3" t="s">
        <v>1537</v>
      </c>
    </row>
    <row r="2461" spans="1:14" x14ac:dyDescent="0.25">
      <c r="A2461" s="1" t="str">
        <f>VLOOKUP(Table2[[#This Row],[Prod Line ]],Lists!A:E,5,0)</f>
        <v>b</v>
      </c>
      <c r="B2461" s="1">
        <v>44578</v>
      </c>
      <c r="C2461" s="1">
        <v>44576</v>
      </c>
      <c r="D2461" s="1" t="s">
        <v>58</v>
      </c>
      <c r="E2461" s="2" t="s">
        <v>406</v>
      </c>
      <c r="F2461" s="1"/>
      <c r="G2461" s="2">
        <v>10</v>
      </c>
      <c r="H2461" s="1"/>
      <c r="I2461" t="s">
        <v>0</v>
      </c>
      <c r="J2461" t="s">
        <v>64</v>
      </c>
      <c r="K2461" t="s">
        <v>21</v>
      </c>
      <c r="L2461" t="s">
        <v>70</v>
      </c>
      <c r="M2461" s="3" t="s">
        <v>2026</v>
      </c>
    </row>
    <row r="2462" spans="1:14" x14ac:dyDescent="0.25">
      <c r="A2462" s="1" t="str">
        <f>VLOOKUP(Table2[[#This Row],[Prod Line ]],Lists!A:E,5,0)</f>
        <v>d</v>
      </c>
      <c r="B2462" s="1">
        <v>44578</v>
      </c>
      <c r="C2462" s="1">
        <v>44576</v>
      </c>
      <c r="D2462" s="1" t="s">
        <v>62</v>
      </c>
      <c r="E2462" s="2" t="s">
        <v>406</v>
      </c>
      <c r="F2462" s="1"/>
      <c r="G2462" s="2">
        <v>20</v>
      </c>
      <c r="H2462" s="1"/>
      <c r="I2462" t="s">
        <v>0</v>
      </c>
      <c r="J2462" t="s">
        <v>5</v>
      </c>
      <c r="K2462" t="s">
        <v>397</v>
      </c>
      <c r="L2462" t="s">
        <v>70</v>
      </c>
      <c r="M2462" s="3" t="s">
        <v>2027</v>
      </c>
    </row>
    <row r="2463" spans="1:14" hidden="1" x14ac:dyDescent="0.25">
      <c r="A2463" s="1" t="str">
        <f>VLOOKUP(Table2[[#This Row],[Prod Line ]],Lists!A:E,5,0)</f>
        <v>d</v>
      </c>
      <c r="B2463" s="1">
        <v>44578</v>
      </c>
      <c r="C2463" s="1">
        <v>44576</v>
      </c>
      <c r="D2463" s="1" t="s">
        <v>62</v>
      </c>
      <c r="E2463" s="2" t="s">
        <v>404</v>
      </c>
      <c r="F2463" s="1"/>
      <c r="G2463" s="2">
        <v>10</v>
      </c>
      <c r="H2463" s="1"/>
      <c r="I2463" t="s">
        <v>1</v>
      </c>
      <c r="J2463" t="s">
        <v>2</v>
      </c>
      <c r="K2463" t="s">
        <v>19</v>
      </c>
      <c r="L2463" t="s">
        <v>407</v>
      </c>
      <c r="M2463" s="3" t="s">
        <v>2028</v>
      </c>
    </row>
    <row r="2464" spans="1:14" hidden="1" x14ac:dyDescent="0.25">
      <c r="A2464" s="1" t="str">
        <f>VLOOKUP(Table2[[#This Row],[Prod Line ]],Lists!A:E,5,0)</f>
        <v>d</v>
      </c>
      <c r="B2464" s="1">
        <v>44578</v>
      </c>
      <c r="C2464" s="1">
        <v>44576</v>
      </c>
      <c r="D2464" s="1" t="s">
        <v>62</v>
      </c>
      <c r="E2464" s="2" t="s">
        <v>404</v>
      </c>
      <c r="F2464" s="1"/>
      <c r="G2464" s="2">
        <v>8</v>
      </c>
      <c r="H2464" s="1"/>
      <c r="I2464" t="s">
        <v>1</v>
      </c>
      <c r="J2464" t="s">
        <v>2</v>
      </c>
      <c r="K2464" t="s">
        <v>19</v>
      </c>
      <c r="L2464" t="s">
        <v>344</v>
      </c>
      <c r="M2464" s="3" t="s">
        <v>2029</v>
      </c>
    </row>
    <row r="2465" spans="1:14" x14ac:dyDescent="0.25">
      <c r="A2465" s="1" t="str">
        <f>VLOOKUP(Table2[[#This Row],[Prod Line ]],Lists!A:E,5,0)</f>
        <v>d</v>
      </c>
      <c r="B2465" s="1">
        <v>44578</v>
      </c>
      <c r="C2465" s="1">
        <v>44576</v>
      </c>
      <c r="D2465" s="1" t="s">
        <v>62</v>
      </c>
      <c r="E2465" s="2" t="s">
        <v>404</v>
      </c>
      <c r="F2465" s="1"/>
      <c r="G2465" s="2">
        <v>5</v>
      </c>
      <c r="H2465" s="1"/>
      <c r="I2465" t="s">
        <v>0</v>
      </c>
      <c r="J2465" t="s">
        <v>2</v>
      </c>
      <c r="K2465" t="s">
        <v>19</v>
      </c>
      <c r="L2465" t="s">
        <v>70</v>
      </c>
      <c r="M2465" s="3" t="s">
        <v>2030</v>
      </c>
    </row>
    <row r="2466" spans="1:14" hidden="1" x14ac:dyDescent="0.25">
      <c r="A2466" s="1" t="str">
        <f>VLOOKUP(Table2[[#This Row],[Prod Line ]],Lists!A:E,5,0)</f>
        <v>d</v>
      </c>
      <c r="B2466" s="1">
        <v>44578</v>
      </c>
      <c r="C2466" s="1">
        <v>44576</v>
      </c>
      <c r="D2466" s="1" t="s">
        <v>62</v>
      </c>
      <c r="E2466" s="2" t="s">
        <v>405</v>
      </c>
      <c r="F2466" s="1"/>
      <c r="G2466" s="2">
        <v>15</v>
      </c>
      <c r="H2466" s="1"/>
      <c r="I2466" t="s">
        <v>1</v>
      </c>
      <c r="J2466" t="s">
        <v>5</v>
      </c>
      <c r="K2466" t="s">
        <v>397</v>
      </c>
      <c r="L2466" t="s">
        <v>72</v>
      </c>
      <c r="M2466" s="3" t="s">
        <v>2031</v>
      </c>
    </row>
    <row r="2467" spans="1:14" x14ac:dyDescent="0.25">
      <c r="A2467" s="1" t="str">
        <f>VLOOKUP(Table2[[#This Row],[Prod Line ]],Lists!A:E,5,0)</f>
        <v>d</v>
      </c>
      <c r="B2467" s="1">
        <v>44578</v>
      </c>
      <c r="C2467" s="1">
        <v>44576</v>
      </c>
      <c r="D2467" s="1" t="s">
        <v>62</v>
      </c>
      <c r="E2467" s="2" t="s">
        <v>405</v>
      </c>
      <c r="F2467" s="1"/>
      <c r="G2467" s="2">
        <v>10</v>
      </c>
      <c r="H2467" s="1"/>
      <c r="I2467" t="s">
        <v>0</v>
      </c>
      <c r="J2467" t="s">
        <v>2</v>
      </c>
      <c r="K2467" t="s">
        <v>19</v>
      </c>
      <c r="L2467" t="s">
        <v>83</v>
      </c>
      <c r="M2467" s="3" t="s">
        <v>2032</v>
      </c>
    </row>
    <row r="2468" spans="1:14" hidden="1" x14ac:dyDescent="0.25">
      <c r="A2468" s="1" t="str">
        <f>VLOOKUP(Table2[[#This Row],[Prod Line ]],Lists!A:E,5,0)</f>
        <v>b</v>
      </c>
      <c r="B2468" s="1">
        <v>44579</v>
      </c>
      <c r="C2468" s="1">
        <v>44577</v>
      </c>
      <c r="D2468" s="1" t="s">
        <v>58</v>
      </c>
      <c r="E2468" s="2" t="s">
        <v>406</v>
      </c>
      <c r="F2468" s="1"/>
      <c r="G2468" s="2">
        <v>6</v>
      </c>
      <c r="H2468" s="1"/>
      <c r="I2468" t="s">
        <v>1</v>
      </c>
      <c r="J2468" t="s">
        <v>26</v>
      </c>
      <c r="K2468" t="s">
        <v>25</v>
      </c>
      <c r="L2468" t="s">
        <v>441</v>
      </c>
      <c r="M2468" s="3" t="s">
        <v>612</v>
      </c>
    </row>
    <row r="2469" spans="1:14" hidden="1" x14ac:dyDescent="0.25">
      <c r="A2469" s="1" t="str">
        <f>VLOOKUP(Table2[[#This Row],[Prod Line ]],Lists!A:E,5,0)</f>
        <v>b</v>
      </c>
      <c r="B2469" s="1">
        <v>44579</v>
      </c>
      <c r="C2469" s="1">
        <v>44577</v>
      </c>
      <c r="D2469" s="1" t="s">
        <v>58</v>
      </c>
      <c r="E2469" s="2" t="s">
        <v>404</v>
      </c>
      <c r="F2469" s="1"/>
      <c r="G2469" s="2">
        <v>9</v>
      </c>
      <c r="H2469" s="1"/>
      <c r="I2469" t="s">
        <v>1</v>
      </c>
      <c r="J2469" t="s">
        <v>26</v>
      </c>
      <c r="K2469" t="s">
        <v>25</v>
      </c>
      <c r="L2469" t="s">
        <v>441</v>
      </c>
      <c r="M2469" s="3" t="s">
        <v>612</v>
      </c>
    </row>
    <row r="2470" spans="1:14" hidden="1" x14ac:dyDescent="0.25">
      <c r="A2470" s="1" t="str">
        <f>VLOOKUP(Table2[[#This Row],[Prod Line ]],Lists!A:E,5,0)</f>
        <v>a</v>
      </c>
      <c r="B2470" s="1">
        <v>44579</v>
      </c>
      <c r="C2470" s="1">
        <v>44577</v>
      </c>
      <c r="D2470" s="1" t="s">
        <v>56</v>
      </c>
      <c r="E2470" s="2" t="s">
        <v>404</v>
      </c>
      <c r="F2470" s="1"/>
      <c r="G2470" s="2">
        <v>98</v>
      </c>
      <c r="H2470" s="1"/>
      <c r="I2470" t="s">
        <v>1</v>
      </c>
      <c r="J2470" t="s">
        <v>2</v>
      </c>
      <c r="K2470" t="s">
        <v>19</v>
      </c>
      <c r="L2470" t="s">
        <v>407</v>
      </c>
      <c r="M2470" s="3" t="s">
        <v>1225</v>
      </c>
    </row>
    <row r="2471" spans="1:14" x14ac:dyDescent="0.25">
      <c r="A2471" s="1" t="str">
        <f>VLOOKUP(Table2[[#This Row],[Prod Line ]],Lists!A:E,5,0)</f>
        <v>a</v>
      </c>
      <c r="B2471" s="1">
        <v>44579</v>
      </c>
      <c r="C2471" s="1">
        <v>44577</v>
      </c>
      <c r="D2471" s="1" t="s">
        <v>56</v>
      </c>
      <c r="E2471" s="2" t="s">
        <v>404</v>
      </c>
      <c r="F2471" s="1"/>
      <c r="G2471" s="2">
        <v>8</v>
      </c>
      <c r="H2471" s="1"/>
      <c r="I2471" t="s">
        <v>0</v>
      </c>
      <c r="J2471" t="s">
        <v>64</v>
      </c>
      <c r="K2471" t="s">
        <v>371</v>
      </c>
      <c r="L2471" t="s">
        <v>70</v>
      </c>
      <c r="M2471" s="3" t="s">
        <v>2033</v>
      </c>
    </row>
    <row r="2472" spans="1:14" x14ac:dyDescent="0.25">
      <c r="A2472" s="1" t="str">
        <f>VLOOKUP(Table2[[#This Row],[Prod Line ]],Lists!A:E,5,0)</f>
        <v>a</v>
      </c>
      <c r="B2472" s="1">
        <v>44579</v>
      </c>
      <c r="C2472" s="1">
        <v>44577</v>
      </c>
      <c r="D2472" s="1" t="s">
        <v>56</v>
      </c>
      <c r="E2472" s="2" t="s">
        <v>405</v>
      </c>
      <c r="F2472" s="1"/>
      <c r="G2472" s="2">
        <v>4</v>
      </c>
      <c r="H2472" s="1"/>
      <c r="I2472" t="s">
        <v>0</v>
      </c>
      <c r="J2472" t="s">
        <v>64</v>
      </c>
      <c r="K2472" t="s">
        <v>371</v>
      </c>
      <c r="L2472" t="s">
        <v>70</v>
      </c>
      <c r="M2472" s="3" t="s">
        <v>2033</v>
      </c>
    </row>
    <row r="2473" spans="1:14" x14ac:dyDescent="0.25">
      <c r="A2473" s="1" t="str">
        <f>VLOOKUP(Table2[[#This Row],[Prod Line ]],Lists!A:E,5,0)</f>
        <v>a</v>
      </c>
      <c r="B2473" s="1">
        <v>44579</v>
      </c>
      <c r="C2473" s="1">
        <v>44577</v>
      </c>
      <c r="D2473" s="1" t="s">
        <v>56</v>
      </c>
      <c r="E2473" s="2" t="s">
        <v>405</v>
      </c>
      <c r="F2473" s="1"/>
      <c r="G2473" s="2">
        <v>17</v>
      </c>
      <c r="H2473" s="1"/>
      <c r="I2473" t="s">
        <v>0</v>
      </c>
      <c r="J2473" t="s">
        <v>65</v>
      </c>
      <c r="K2473" t="s">
        <v>372</v>
      </c>
      <c r="L2473" t="s">
        <v>70</v>
      </c>
      <c r="M2473" s="3" t="s">
        <v>2034</v>
      </c>
    </row>
    <row r="2474" spans="1:14" hidden="1" x14ac:dyDescent="0.25">
      <c r="A2474" s="1" t="str">
        <f>VLOOKUP(Table2[[#This Row],[Prod Line ]],Lists!A:E,5,0)</f>
        <v>d</v>
      </c>
      <c r="B2474" s="1">
        <v>44579</v>
      </c>
      <c r="C2474" s="1">
        <v>44577</v>
      </c>
      <c r="D2474" s="1" t="s">
        <v>62</v>
      </c>
      <c r="E2474" s="2" t="s">
        <v>404</v>
      </c>
      <c r="F2474" s="1"/>
      <c r="G2474" s="2">
        <v>6</v>
      </c>
      <c r="H2474" s="1"/>
      <c r="I2474" t="s">
        <v>1</v>
      </c>
      <c r="J2474" t="s">
        <v>64</v>
      </c>
      <c r="K2474" t="s">
        <v>379</v>
      </c>
      <c r="L2474" t="s">
        <v>407</v>
      </c>
      <c r="M2474" s="3" t="s">
        <v>750</v>
      </c>
    </row>
    <row r="2475" spans="1:14" hidden="1" x14ac:dyDescent="0.25">
      <c r="A2475" s="1" t="str">
        <f>VLOOKUP(Table2[[#This Row],[Prod Line ]],Lists!A:E,5,0)</f>
        <v>d</v>
      </c>
      <c r="B2475" s="1">
        <v>44579</v>
      </c>
      <c r="C2475" s="1">
        <v>44577</v>
      </c>
      <c r="D2475" s="1" t="s">
        <v>62</v>
      </c>
      <c r="E2475" s="2" t="s">
        <v>404</v>
      </c>
      <c r="F2475" s="1"/>
      <c r="G2475" s="2">
        <v>25</v>
      </c>
      <c r="H2475" s="1"/>
      <c r="I2475" t="s">
        <v>1</v>
      </c>
      <c r="J2475" t="s">
        <v>5</v>
      </c>
      <c r="K2475" t="s">
        <v>397</v>
      </c>
      <c r="L2475" t="s">
        <v>407</v>
      </c>
      <c r="M2475" s="3" t="s">
        <v>2035</v>
      </c>
    </row>
    <row r="2476" spans="1:14" hidden="1" x14ac:dyDescent="0.25">
      <c r="A2476" s="1" t="str">
        <f>VLOOKUP(Table2[[#This Row],[Prod Line ]],Lists!A:E,5,0)</f>
        <v>b</v>
      </c>
      <c r="B2476" s="1">
        <v>44581</v>
      </c>
      <c r="C2476" s="1">
        <v>44579</v>
      </c>
      <c r="D2476" s="1" t="s">
        <v>58</v>
      </c>
      <c r="E2476" s="2" t="s">
        <v>404</v>
      </c>
      <c r="F2476" s="1"/>
      <c r="G2476" s="2">
        <v>8</v>
      </c>
      <c r="H2476" s="1"/>
      <c r="I2476" t="s">
        <v>1</v>
      </c>
      <c r="J2476" t="s">
        <v>64</v>
      </c>
      <c r="K2476" t="s">
        <v>21</v>
      </c>
      <c r="L2476" t="s">
        <v>407</v>
      </c>
      <c r="M2476" s="3" t="s">
        <v>2039</v>
      </c>
    </row>
    <row r="2477" spans="1:14" hidden="1" x14ac:dyDescent="0.25">
      <c r="A2477" s="1" t="str">
        <f>VLOOKUP(Table2[[#This Row],[Prod Line ]],Lists!A:E,5,0)</f>
        <v>b</v>
      </c>
      <c r="B2477" s="1">
        <v>44581</v>
      </c>
      <c r="C2477" s="1">
        <v>44579</v>
      </c>
      <c r="D2477" s="1" t="s">
        <v>58</v>
      </c>
      <c r="E2477" s="2" t="s">
        <v>404</v>
      </c>
      <c r="F2477" s="1"/>
      <c r="G2477" s="2">
        <v>3</v>
      </c>
      <c r="H2477" s="1"/>
      <c r="I2477" t="s">
        <v>1</v>
      </c>
      <c r="J2477" t="s">
        <v>64</v>
      </c>
      <c r="K2477" t="s">
        <v>21</v>
      </c>
      <c r="L2477" t="s">
        <v>344</v>
      </c>
      <c r="M2477" s="3" t="s">
        <v>2040</v>
      </c>
    </row>
    <row r="2478" spans="1:14" x14ac:dyDescent="0.25">
      <c r="A2478" s="1" t="str">
        <f>VLOOKUP(Table2[[#This Row],[Prod Line ]],Lists!A:E,5,0)</f>
        <v>b</v>
      </c>
      <c r="B2478" s="1">
        <v>44581</v>
      </c>
      <c r="C2478" s="1">
        <v>44579</v>
      </c>
      <c r="D2478" s="1" t="s">
        <v>58</v>
      </c>
      <c r="E2478" s="2" t="s">
        <v>405</v>
      </c>
      <c r="F2478" s="1"/>
      <c r="G2478" s="2">
        <v>35</v>
      </c>
      <c r="H2478" s="1"/>
      <c r="I2478" t="s">
        <v>0</v>
      </c>
      <c r="J2478" t="s">
        <v>65</v>
      </c>
      <c r="K2478" t="s">
        <v>3</v>
      </c>
      <c r="L2478" t="s">
        <v>70</v>
      </c>
      <c r="M2478" s="3" t="s">
        <v>2037</v>
      </c>
    </row>
    <row r="2479" spans="1:14" x14ac:dyDescent="0.25">
      <c r="A2479" s="1" t="str">
        <f>VLOOKUP(Table2[[#This Row],[Prod Line ]],Lists!A:E,5,0)</f>
        <v>b</v>
      </c>
      <c r="B2479" s="1">
        <v>44581</v>
      </c>
      <c r="C2479" s="1">
        <v>44579</v>
      </c>
      <c r="D2479" s="1" t="s">
        <v>58</v>
      </c>
      <c r="E2479" s="2" t="s">
        <v>406</v>
      </c>
      <c r="F2479" s="1"/>
      <c r="G2479" s="2">
        <v>112</v>
      </c>
      <c r="H2479" s="1"/>
      <c r="I2479" t="s">
        <v>0</v>
      </c>
      <c r="J2479" t="s">
        <v>65</v>
      </c>
      <c r="K2479" t="s">
        <v>3</v>
      </c>
      <c r="L2479" t="s">
        <v>70</v>
      </c>
      <c r="M2479" s="3" t="s">
        <v>1264</v>
      </c>
      <c r="N2479" s="20" t="s">
        <v>2198</v>
      </c>
    </row>
    <row r="2480" spans="1:14" hidden="1" x14ac:dyDescent="0.25">
      <c r="A2480" s="1" t="str">
        <f>VLOOKUP(Table2[[#This Row],[Prod Line ]],Lists!A:E,5,0)</f>
        <v>b</v>
      </c>
      <c r="B2480" s="1">
        <v>44581</v>
      </c>
      <c r="C2480" s="1">
        <v>44579</v>
      </c>
      <c r="D2480" s="1" t="s">
        <v>58</v>
      </c>
      <c r="E2480" s="2" t="s">
        <v>406</v>
      </c>
      <c r="F2480" s="1"/>
      <c r="G2480" s="2">
        <v>10</v>
      </c>
      <c r="H2480" s="1"/>
      <c r="I2480" t="s">
        <v>1</v>
      </c>
      <c r="J2480" t="s">
        <v>64</v>
      </c>
      <c r="K2480" t="s">
        <v>21</v>
      </c>
      <c r="L2480" t="s">
        <v>407</v>
      </c>
      <c r="M2480" s="3" t="s">
        <v>2038</v>
      </c>
    </row>
    <row r="2481" spans="1:13" hidden="1" x14ac:dyDescent="0.25">
      <c r="A2481" s="1" t="str">
        <f>VLOOKUP(Table2[[#This Row],[Prod Line ]],Lists!A:E,5,0)</f>
        <v>b</v>
      </c>
      <c r="B2481" s="1">
        <v>44581</v>
      </c>
      <c r="C2481" s="1">
        <v>44579</v>
      </c>
      <c r="D2481" s="1" t="s">
        <v>58</v>
      </c>
      <c r="E2481" s="2" t="s">
        <v>406</v>
      </c>
      <c r="F2481" s="1"/>
      <c r="G2481" s="2">
        <v>20</v>
      </c>
      <c r="H2481" s="1"/>
      <c r="I2481" t="s">
        <v>1</v>
      </c>
      <c r="J2481" t="s">
        <v>26</v>
      </c>
      <c r="K2481" t="s">
        <v>25</v>
      </c>
      <c r="L2481" t="s">
        <v>441</v>
      </c>
      <c r="M2481" s="3" t="s">
        <v>1011</v>
      </c>
    </row>
    <row r="2482" spans="1:13" x14ac:dyDescent="0.25">
      <c r="A2482" s="1" t="str">
        <f>VLOOKUP(Table2[[#This Row],[Prod Line ]],Lists!A:E,5,0)</f>
        <v>c</v>
      </c>
      <c r="B2482" s="1">
        <v>44581</v>
      </c>
      <c r="C2482" s="1">
        <v>44579</v>
      </c>
      <c r="D2482" s="1" t="s">
        <v>60</v>
      </c>
      <c r="E2482" s="2" t="s">
        <v>404</v>
      </c>
      <c r="F2482" s="1"/>
      <c r="G2482" s="2">
        <v>11</v>
      </c>
      <c r="H2482" s="1"/>
      <c r="I2482" t="s">
        <v>0</v>
      </c>
      <c r="J2482" t="s">
        <v>2</v>
      </c>
      <c r="K2482" t="s">
        <v>378</v>
      </c>
      <c r="L2482" t="s">
        <v>70</v>
      </c>
      <c r="M2482" s="3" t="s">
        <v>719</v>
      </c>
    </row>
    <row r="2483" spans="1:13" hidden="1" x14ac:dyDescent="0.25">
      <c r="A2483" s="1" t="str">
        <f>VLOOKUP(Table2[[#This Row],[Prod Line ]],Lists!A:E,5,0)</f>
        <v>d</v>
      </c>
      <c r="B2483" s="1">
        <v>44581</v>
      </c>
      <c r="C2483" s="1">
        <v>44579</v>
      </c>
      <c r="D2483" s="1" t="s">
        <v>62</v>
      </c>
      <c r="E2483" s="2" t="s">
        <v>405</v>
      </c>
      <c r="F2483" s="1"/>
      <c r="G2483" s="2">
        <v>21</v>
      </c>
      <c r="H2483" s="1"/>
      <c r="I2483" t="s">
        <v>1</v>
      </c>
      <c r="J2483" t="s">
        <v>26</v>
      </c>
      <c r="K2483" t="s">
        <v>393</v>
      </c>
      <c r="L2483" t="s">
        <v>407</v>
      </c>
      <c r="M2483" s="3" t="s">
        <v>2036</v>
      </c>
    </row>
    <row r="2484" spans="1:13" hidden="1" x14ac:dyDescent="0.25">
      <c r="A2484" s="1" t="str">
        <f>VLOOKUP(Table2[[#This Row],[Prod Line ]],Lists!A:E,5,0)</f>
        <v>d</v>
      </c>
      <c r="B2484" s="1">
        <v>44582</v>
      </c>
      <c r="C2484" s="1">
        <v>44580</v>
      </c>
      <c r="D2484" s="1" t="s">
        <v>62</v>
      </c>
      <c r="E2484" s="2" t="s">
        <v>405</v>
      </c>
      <c r="F2484" s="1"/>
      <c r="G2484" s="2">
        <v>2</v>
      </c>
      <c r="H2484" s="1"/>
      <c r="I2484" t="s">
        <v>1</v>
      </c>
      <c r="J2484" t="s">
        <v>2</v>
      </c>
      <c r="K2484" t="s">
        <v>19</v>
      </c>
      <c r="L2484" t="s">
        <v>344</v>
      </c>
      <c r="M2484" s="3" t="s">
        <v>2041</v>
      </c>
    </row>
    <row r="2485" spans="1:13" x14ac:dyDescent="0.25">
      <c r="A2485" s="1" t="str">
        <f>VLOOKUP(Table2[[#This Row],[Prod Line ]],Lists!A:E,5,0)</f>
        <v>b</v>
      </c>
      <c r="B2485" s="1">
        <v>44581</v>
      </c>
      <c r="C2485" s="1">
        <v>44580</v>
      </c>
      <c r="D2485" s="1" t="s">
        <v>58</v>
      </c>
      <c r="E2485" s="2" t="s">
        <v>404</v>
      </c>
      <c r="F2485" s="1"/>
      <c r="G2485" s="2">
        <v>5</v>
      </c>
      <c r="H2485" s="1"/>
      <c r="I2485" t="s">
        <v>0</v>
      </c>
      <c r="J2485" t="s">
        <v>65</v>
      </c>
      <c r="K2485" t="s">
        <v>27</v>
      </c>
      <c r="L2485" t="s">
        <v>70</v>
      </c>
      <c r="M2485" s="3" t="s">
        <v>2042</v>
      </c>
    </row>
    <row r="2486" spans="1:13" x14ac:dyDescent="0.25">
      <c r="A2486" s="1" t="str">
        <f>VLOOKUP(Table2[[#This Row],[Prod Line ]],Lists!A:E,5,0)</f>
        <v>b</v>
      </c>
      <c r="B2486" s="1">
        <v>44582</v>
      </c>
      <c r="C2486" s="1">
        <v>44580</v>
      </c>
      <c r="D2486" s="1" t="s">
        <v>58</v>
      </c>
      <c r="E2486" s="2" t="s">
        <v>405</v>
      </c>
      <c r="F2486" s="1"/>
      <c r="G2486" s="2">
        <v>5</v>
      </c>
      <c r="H2486" s="1"/>
      <c r="I2486" t="s">
        <v>0</v>
      </c>
      <c r="J2486" t="s">
        <v>65</v>
      </c>
      <c r="K2486" t="s">
        <v>27</v>
      </c>
      <c r="L2486" t="s">
        <v>70</v>
      </c>
      <c r="M2486" s="3" t="s">
        <v>2043</v>
      </c>
    </row>
    <row r="2487" spans="1:13" hidden="1" x14ac:dyDescent="0.25">
      <c r="A2487" s="1" t="str">
        <f>VLOOKUP(Table2[[#This Row],[Prod Line ]],Lists!A:E,5,0)</f>
        <v>b</v>
      </c>
      <c r="B2487" s="1">
        <v>44582</v>
      </c>
      <c r="C2487" s="1">
        <v>44580</v>
      </c>
      <c r="D2487" s="1" t="s">
        <v>58</v>
      </c>
      <c r="E2487" s="2" t="s">
        <v>405</v>
      </c>
      <c r="F2487" s="1"/>
      <c r="G2487" s="2">
        <v>15</v>
      </c>
      <c r="H2487" s="1"/>
      <c r="I2487" t="s">
        <v>1</v>
      </c>
      <c r="J2487" t="s">
        <v>64</v>
      </c>
      <c r="K2487" t="s">
        <v>21</v>
      </c>
      <c r="L2487" t="s">
        <v>407</v>
      </c>
      <c r="M2487" s="3" t="s">
        <v>2044</v>
      </c>
    </row>
    <row r="2488" spans="1:13" hidden="1" x14ac:dyDescent="0.25">
      <c r="A2488" s="1" t="str">
        <f>VLOOKUP(Table2[[#This Row],[Prod Line ]],Lists!A:E,5,0)</f>
        <v>b</v>
      </c>
      <c r="B2488" s="1">
        <v>44582</v>
      </c>
      <c r="C2488" s="1">
        <v>44580</v>
      </c>
      <c r="D2488" s="1" t="s">
        <v>58</v>
      </c>
      <c r="E2488" s="2" t="s">
        <v>405</v>
      </c>
      <c r="F2488" s="1"/>
      <c r="G2488" s="2">
        <v>13</v>
      </c>
      <c r="H2488" s="1"/>
      <c r="I2488" t="s">
        <v>1</v>
      </c>
      <c r="J2488" t="s">
        <v>26</v>
      </c>
      <c r="K2488" t="s">
        <v>25</v>
      </c>
      <c r="L2488" t="s">
        <v>441</v>
      </c>
      <c r="M2488" s="3" t="s">
        <v>2045</v>
      </c>
    </row>
    <row r="2489" spans="1:13" x14ac:dyDescent="0.25">
      <c r="A2489" s="1" t="str">
        <f>VLOOKUP(Table2[[#This Row],[Prod Line ]],Lists!A:E,5,0)</f>
        <v>b</v>
      </c>
      <c r="B2489" s="1">
        <v>44582</v>
      </c>
      <c r="C2489" s="1">
        <v>44580</v>
      </c>
      <c r="D2489" s="1" t="s">
        <v>58</v>
      </c>
      <c r="E2489" s="2" t="s">
        <v>406</v>
      </c>
      <c r="F2489" s="1"/>
      <c r="G2489" s="2">
        <v>14</v>
      </c>
      <c r="H2489" s="1"/>
      <c r="I2489" t="s">
        <v>0</v>
      </c>
      <c r="J2489" t="s">
        <v>26</v>
      </c>
      <c r="K2489" t="s">
        <v>26</v>
      </c>
      <c r="L2489" t="s">
        <v>70</v>
      </c>
      <c r="M2489" s="3" t="s">
        <v>2046</v>
      </c>
    </row>
    <row r="2490" spans="1:13" hidden="1" x14ac:dyDescent="0.25">
      <c r="A2490" s="1" t="str">
        <f>VLOOKUP(Table2[[#This Row],[Prod Line ]],Lists!A:E,5,0)</f>
        <v>b</v>
      </c>
      <c r="B2490" s="1">
        <v>44582</v>
      </c>
      <c r="C2490" s="1">
        <v>44580</v>
      </c>
      <c r="D2490" s="1" t="s">
        <v>58</v>
      </c>
      <c r="E2490" s="2" t="s">
        <v>406</v>
      </c>
      <c r="F2490" s="1"/>
      <c r="G2490" s="2">
        <v>5</v>
      </c>
      <c r="H2490" s="1"/>
      <c r="I2490" t="s">
        <v>1</v>
      </c>
      <c r="J2490" t="s">
        <v>26</v>
      </c>
      <c r="K2490" t="s">
        <v>25</v>
      </c>
      <c r="L2490" t="s">
        <v>441</v>
      </c>
      <c r="M2490" s="3" t="s">
        <v>1942</v>
      </c>
    </row>
    <row r="2491" spans="1:13" hidden="1" x14ac:dyDescent="0.25">
      <c r="A2491" s="1" t="str">
        <f>VLOOKUP(Table2[[#This Row],[Prod Line ]],Lists!A:E,5,0)</f>
        <v>c</v>
      </c>
      <c r="B2491" s="1">
        <v>44582</v>
      </c>
      <c r="C2491" s="1">
        <v>44580</v>
      </c>
      <c r="D2491" s="1" t="s">
        <v>60</v>
      </c>
      <c r="E2491" s="2" t="s">
        <v>405</v>
      </c>
      <c r="F2491" s="1"/>
      <c r="G2491" s="2">
        <v>15</v>
      </c>
      <c r="H2491" s="1"/>
      <c r="I2491" t="s">
        <v>1</v>
      </c>
      <c r="J2491" t="s">
        <v>2</v>
      </c>
      <c r="K2491" t="s">
        <v>378</v>
      </c>
      <c r="L2491" t="s">
        <v>350</v>
      </c>
      <c r="M2491" s="3" t="s">
        <v>2047</v>
      </c>
    </row>
    <row r="2492" spans="1:13" hidden="1" x14ac:dyDescent="0.25">
      <c r="A2492" s="1" t="str">
        <f>VLOOKUP(Table2[[#This Row],[Prod Line ]],Lists!A:E,5,0)</f>
        <v>c</v>
      </c>
      <c r="B2492" s="1">
        <v>44582</v>
      </c>
      <c r="C2492" s="1">
        <v>44580</v>
      </c>
      <c r="D2492" s="1" t="s">
        <v>60</v>
      </c>
      <c r="E2492" s="2" t="s">
        <v>405</v>
      </c>
      <c r="F2492" s="1"/>
      <c r="G2492" s="2">
        <v>10</v>
      </c>
      <c r="H2492" s="1"/>
      <c r="I2492" t="s">
        <v>1</v>
      </c>
      <c r="J2492" t="s">
        <v>2</v>
      </c>
      <c r="K2492" t="s">
        <v>378</v>
      </c>
      <c r="L2492" t="s">
        <v>349</v>
      </c>
      <c r="M2492" s="3" t="s">
        <v>575</v>
      </c>
    </row>
    <row r="2493" spans="1:13" hidden="1" x14ac:dyDescent="0.25">
      <c r="A2493" s="1" t="str">
        <f>VLOOKUP(Table2[[#This Row],[Prod Line ]],Lists!A:E,5,0)</f>
        <v>d</v>
      </c>
      <c r="B2493" s="1">
        <v>44582</v>
      </c>
      <c r="C2493" s="1">
        <v>44580</v>
      </c>
      <c r="D2493" s="1" t="s">
        <v>62</v>
      </c>
      <c r="E2493" s="2" t="s">
        <v>406</v>
      </c>
      <c r="F2493" s="1"/>
      <c r="G2493" s="2">
        <v>2</v>
      </c>
      <c r="H2493" s="1"/>
      <c r="I2493" t="s">
        <v>1</v>
      </c>
      <c r="J2493" t="s">
        <v>64</v>
      </c>
      <c r="K2493" t="s">
        <v>379</v>
      </c>
      <c r="L2493" t="s">
        <v>407</v>
      </c>
      <c r="M2493" s="3" t="s">
        <v>750</v>
      </c>
    </row>
    <row r="2494" spans="1:13" hidden="1" x14ac:dyDescent="0.25">
      <c r="A2494" s="1" t="str">
        <f>VLOOKUP(Table2[[#This Row],[Prod Line ]],Lists!A:E,5,0)</f>
        <v>d</v>
      </c>
      <c r="B2494" s="1">
        <v>44582</v>
      </c>
      <c r="C2494" s="1">
        <v>44580</v>
      </c>
      <c r="D2494" s="1" t="s">
        <v>62</v>
      </c>
      <c r="E2494" s="2" t="s">
        <v>404</v>
      </c>
      <c r="F2494" s="1"/>
      <c r="G2494" s="2">
        <v>77</v>
      </c>
      <c r="H2494" s="1"/>
      <c r="I2494" t="s">
        <v>1</v>
      </c>
      <c r="J2494" t="s">
        <v>67</v>
      </c>
      <c r="K2494" t="s">
        <v>67</v>
      </c>
      <c r="L2494" t="s">
        <v>72</v>
      </c>
      <c r="M2494" s="3" t="s">
        <v>1340</v>
      </c>
    </row>
    <row r="2495" spans="1:13" hidden="1" x14ac:dyDescent="0.25">
      <c r="A2495" s="1" t="str">
        <f>VLOOKUP(Table2[[#This Row],[Prod Line ]],Lists!A:E,5,0)</f>
        <v>d</v>
      </c>
      <c r="B2495" s="1">
        <v>44582</v>
      </c>
      <c r="C2495" s="1">
        <v>44580</v>
      </c>
      <c r="D2495" s="1" t="s">
        <v>62</v>
      </c>
      <c r="E2495" s="2" t="s">
        <v>405</v>
      </c>
      <c r="F2495" s="1"/>
      <c r="G2495" s="2">
        <v>30</v>
      </c>
      <c r="H2495" s="1"/>
      <c r="I2495" t="s">
        <v>1</v>
      </c>
      <c r="J2495" t="s">
        <v>2</v>
      </c>
      <c r="K2495" t="s">
        <v>19</v>
      </c>
      <c r="L2495" t="s">
        <v>407</v>
      </c>
      <c r="M2495" s="3" t="s">
        <v>2048</v>
      </c>
    </row>
    <row r="2496" spans="1:13" hidden="1" x14ac:dyDescent="0.25">
      <c r="A2496" s="1" t="str">
        <f>VLOOKUP(Table2[[#This Row],[Prod Line ]],Lists!A:E,5,0)</f>
        <v>d</v>
      </c>
      <c r="B2496" s="1">
        <v>44585</v>
      </c>
      <c r="C2496" s="1">
        <v>44583</v>
      </c>
      <c r="D2496" s="1" t="s">
        <v>62</v>
      </c>
      <c r="E2496" s="2" t="s">
        <v>404</v>
      </c>
      <c r="F2496" s="1"/>
      <c r="G2496" s="2">
        <v>15</v>
      </c>
      <c r="H2496" s="1"/>
      <c r="I2496" t="s">
        <v>1</v>
      </c>
      <c r="J2496" t="s">
        <v>2</v>
      </c>
      <c r="K2496" t="s">
        <v>19</v>
      </c>
      <c r="L2496" t="s">
        <v>349</v>
      </c>
      <c r="M2496" s="3" t="s">
        <v>575</v>
      </c>
    </row>
    <row r="2497" spans="1:13" hidden="1" x14ac:dyDescent="0.25">
      <c r="A2497" s="1" t="str">
        <f>VLOOKUP(Table2[[#This Row],[Prod Line ]],Lists!A:E,5,0)</f>
        <v>d</v>
      </c>
      <c r="B2497" s="1">
        <v>44585</v>
      </c>
      <c r="C2497" s="1">
        <v>44583</v>
      </c>
      <c r="D2497" s="1" t="s">
        <v>62</v>
      </c>
      <c r="E2497" s="2" t="s">
        <v>406</v>
      </c>
      <c r="F2497" s="1"/>
      <c r="G2497" s="2">
        <v>11</v>
      </c>
      <c r="H2497" s="1"/>
      <c r="I2497" t="s">
        <v>1</v>
      </c>
      <c r="J2497" t="s">
        <v>2</v>
      </c>
      <c r="K2497" t="s">
        <v>19</v>
      </c>
      <c r="L2497" t="s">
        <v>407</v>
      </c>
      <c r="M2497" s="3" t="s">
        <v>2049</v>
      </c>
    </row>
    <row r="2498" spans="1:13" x14ac:dyDescent="0.25">
      <c r="A2498" s="1" t="str">
        <f>VLOOKUP(Table2[[#This Row],[Prod Line ]],Lists!A:E,5,0)</f>
        <v>a</v>
      </c>
      <c r="B2498" s="1">
        <v>44585</v>
      </c>
      <c r="C2498" s="1">
        <v>44583</v>
      </c>
      <c r="D2498" s="1" t="s">
        <v>56</v>
      </c>
      <c r="E2498" s="2" t="s">
        <v>404</v>
      </c>
      <c r="F2498" s="1"/>
      <c r="G2498" s="2">
        <v>15</v>
      </c>
      <c r="H2498" s="1"/>
      <c r="I2498" t="s">
        <v>0</v>
      </c>
      <c r="J2498" t="s">
        <v>65</v>
      </c>
      <c r="K2498" t="s">
        <v>372</v>
      </c>
      <c r="L2498" t="s">
        <v>70</v>
      </c>
      <c r="M2498" s="3" t="s">
        <v>745</v>
      </c>
    </row>
    <row r="2499" spans="1:13" x14ac:dyDescent="0.25">
      <c r="A2499" s="1" t="str">
        <f>VLOOKUP(Table2[[#This Row],[Prod Line ]],Lists!A:E,5,0)</f>
        <v>c</v>
      </c>
      <c r="B2499" s="1">
        <v>44585</v>
      </c>
      <c r="C2499" s="1">
        <v>44583</v>
      </c>
      <c r="D2499" s="1" t="s">
        <v>60</v>
      </c>
      <c r="E2499" s="2" t="s">
        <v>404</v>
      </c>
      <c r="F2499" s="1"/>
      <c r="G2499" s="2">
        <v>23</v>
      </c>
      <c r="H2499" s="1"/>
      <c r="I2499" t="s">
        <v>0</v>
      </c>
      <c r="J2499" t="s">
        <v>64</v>
      </c>
      <c r="K2499" t="s">
        <v>381</v>
      </c>
      <c r="L2499" t="s">
        <v>70</v>
      </c>
      <c r="M2499" s="3" t="s">
        <v>1849</v>
      </c>
    </row>
    <row r="2500" spans="1:13" x14ac:dyDescent="0.25">
      <c r="A2500" s="1" t="str">
        <f>VLOOKUP(Table2[[#This Row],[Prod Line ]],Lists!A:E,5,0)</f>
        <v>b</v>
      </c>
      <c r="B2500" s="1">
        <v>44585</v>
      </c>
      <c r="C2500" s="1">
        <v>44583</v>
      </c>
      <c r="D2500" s="1" t="s">
        <v>58</v>
      </c>
      <c r="E2500" s="2" t="s">
        <v>406</v>
      </c>
      <c r="F2500" s="1"/>
      <c r="G2500" s="2">
        <v>16</v>
      </c>
      <c r="H2500" s="1"/>
      <c r="I2500" t="s">
        <v>0</v>
      </c>
      <c r="J2500" t="s">
        <v>65</v>
      </c>
      <c r="K2500" t="s">
        <v>27</v>
      </c>
      <c r="L2500" t="s">
        <v>70</v>
      </c>
      <c r="M2500" s="3" t="s">
        <v>2050</v>
      </c>
    </row>
    <row r="2501" spans="1:13" hidden="1" x14ac:dyDescent="0.25">
      <c r="A2501" s="1" t="str">
        <f>VLOOKUP(Table2[[#This Row],[Prod Line ]],Lists!A:E,5,0)</f>
        <v>b</v>
      </c>
      <c r="B2501" s="1">
        <v>44585</v>
      </c>
      <c r="C2501" s="1">
        <v>44583</v>
      </c>
      <c r="D2501" s="1" t="s">
        <v>58</v>
      </c>
      <c r="E2501" s="2" t="s">
        <v>406</v>
      </c>
      <c r="F2501" s="1"/>
      <c r="G2501" s="2">
        <v>10</v>
      </c>
      <c r="H2501" s="1"/>
      <c r="I2501" t="s">
        <v>1</v>
      </c>
      <c r="J2501" t="s">
        <v>26</v>
      </c>
      <c r="K2501" t="s">
        <v>25</v>
      </c>
      <c r="L2501" t="s">
        <v>441</v>
      </c>
      <c r="M2501" s="3" t="s">
        <v>896</v>
      </c>
    </row>
    <row r="2502" spans="1:13" hidden="1" x14ac:dyDescent="0.25">
      <c r="A2502" s="1" t="str">
        <f>VLOOKUP(Table2[[#This Row],[Prod Line ]],Lists!A:E,5,0)</f>
        <v>b</v>
      </c>
      <c r="B2502" s="1">
        <v>44585</v>
      </c>
      <c r="C2502" s="1">
        <v>44583</v>
      </c>
      <c r="D2502" s="1" t="s">
        <v>58</v>
      </c>
      <c r="E2502" s="2" t="s">
        <v>406</v>
      </c>
      <c r="F2502" s="1"/>
      <c r="G2502" s="2">
        <v>6</v>
      </c>
      <c r="H2502" s="1"/>
      <c r="I2502" t="s">
        <v>1</v>
      </c>
      <c r="J2502" t="s">
        <v>64</v>
      </c>
      <c r="K2502" t="s">
        <v>21</v>
      </c>
      <c r="L2502" t="s">
        <v>407</v>
      </c>
      <c r="M2502" s="3" t="s">
        <v>2051</v>
      </c>
    </row>
    <row r="2503" spans="1:13" x14ac:dyDescent="0.25">
      <c r="A2503" s="1" t="str">
        <f>VLOOKUP(Table2[[#This Row],[Prod Line ]],Lists!A:E,5,0)</f>
        <v>b</v>
      </c>
      <c r="B2503" s="1">
        <v>44585</v>
      </c>
      <c r="C2503" s="1">
        <v>44583</v>
      </c>
      <c r="D2503" s="1" t="s">
        <v>58</v>
      </c>
      <c r="E2503" s="2" t="s">
        <v>404</v>
      </c>
      <c r="F2503" s="1"/>
      <c r="G2503" s="2">
        <v>3</v>
      </c>
      <c r="H2503" s="1"/>
      <c r="I2503" t="s">
        <v>0</v>
      </c>
      <c r="J2503" t="s">
        <v>65</v>
      </c>
      <c r="K2503" t="s">
        <v>3</v>
      </c>
      <c r="L2503" t="s">
        <v>70</v>
      </c>
      <c r="M2503" s="3" t="s">
        <v>1264</v>
      </c>
    </row>
    <row r="2504" spans="1:13" hidden="1" x14ac:dyDescent="0.25">
      <c r="A2504" s="1" t="str">
        <f>VLOOKUP(Table2[[#This Row],[Prod Line ]],Lists!A:E,5,0)</f>
        <v>b</v>
      </c>
      <c r="B2504" s="1">
        <v>44585</v>
      </c>
      <c r="C2504" s="1">
        <v>44583</v>
      </c>
      <c r="D2504" s="1" t="s">
        <v>58</v>
      </c>
      <c r="E2504" s="2" t="s">
        <v>404</v>
      </c>
      <c r="F2504" s="1"/>
      <c r="G2504" s="2">
        <v>4</v>
      </c>
      <c r="H2504" s="1"/>
      <c r="I2504" t="s">
        <v>1</v>
      </c>
      <c r="J2504" t="s">
        <v>64</v>
      </c>
      <c r="K2504" t="s">
        <v>23</v>
      </c>
      <c r="L2504" t="s">
        <v>407</v>
      </c>
      <c r="M2504" s="3" t="s">
        <v>2052</v>
      </c>
    </row>
    <row r="2505" spans="1:13" hidden="1" x14ac:dyDescent="0.25">
      <c r="A2505" s="1" t="str">
        <f>VLOOKUP(Table2[[#This Row],[Prod Line ]],Lists!A:E,5,0)</f>
        <v>b</v>
      </c>
      <c r="B2505" s="1">
        <v>44585</v>
      </c>
      <c r="C2505" s="1">
        <v>44583</v>
      </c>
      <c r="D2505" s="1" t="s">
        <v>58</v>
      </c>
      <c r="E2505" s="2" t="s">
        <v>404</v>
      </c>
      <c r="F2505" s="1"/>
      <c r="G2505" s="2">
        <v>16</v>
      </c>
      <c r="H2505" s="1"/>
      <c r="I2505" t="s">
        <v>1</v>
      </c>
      <c r="J2505" t="s">
        <v>26</v>
      </c>
      <c r="K2505" t="s">
        <v>25</v>
      </c>
      <c r="L2505" t="s">
        <v>441</v>
      </c>
      <c r="M2505" s="3" t="s">
        <v>1894</v>
      </c>
    </row>
    <row r="2506" spans="1:13" x14ac:dyDescent="0.25">
      <c r="A2506" s="1" t="str">
        <f>VLOOKUP(Table2[[#This Row],[Prod Line ]],Lists!A:E,5,0)</f>
        <v>b</v>
      </c>
      <c r="B2506" s="1">
        <v>44585</v>
      </c>
      <c r="C2506" s="1">
        <v>44583</v>
      </c>
      <c r="D2506" s="1" t="s">
        <v>58</v>
      </c>
      <c r="E2506" s="2" t="s">
        <v>404</v>
      </c>
      <c r="F2506" s="1"/>
      <c r="G2506" s="2">
        <v>15</v>
      </c>
      <c r="H2506" s="1"/>
      <c r="I2506" t="s">
        <v>0</v>
      </c>
      <c r="J2506" t="s">
        <v>65</v>
      </c>
      <c r="K2506" t="s">
        <v>27</v>
      </c>
      <c r="L2506" t="s">
        <v>70</v>
      </c>
      <c r="M2506" s="3" t="s">
        <v>2053</v>
      </c>
    </row>
    <row r="2507" spans="1:13" hidden="1" x14ac:dyDescent="0.25">
      <c r="A2507" s="1" t="str">
        <f>VLOOKUP(Table2[[#This Row],[Prod Line ]],Lists!A:E,5,0)</f>
        <v>b</v>
      </c>
      <c r="B2507" s="1">
        <v>44585</v>
      </c>
      <c r="C2507" s="1">
        <v>44583</v>
      </c>
      <c r="D2507" s="1" t="s">
        <v>58</v>
      </c>
      <c r="E2507" s="2" t="s">
        <v>406</v>
      </c>
      <c r="F2507" s="1"/>
      <c r="G2507" s="2">
        <v>12</v>
      </c>
      <c r="H2507" s="1"/>
      <c r="I2507" t="s">
        <v>1</v>
      </c>
      <c r="J2507" t="s">
        <v>2</v>
      </c>
      <c r="K2507" t="s">
        <v>19</v>
      </c>
      <c r="L2507" t="s">
        <v>349</v>
      </c>
      <c r="M2507" s="3" t="s">
        <v>575</v>
      </c>
    </row>
    <row r="2508" spans="1:13" hidden="1" x14ac:dyDescent="0.25">
      <c r="A2508" s="1" t="str">
        <f>VLOOKUP(Table2[[#This Row],[Prod Line ]],Lists!A:E,5,0)</f>
        <v>b</v>
      </c>
      <c r="B2508" s="1">
        <v>44586</v>
      </c>
      <c r="C2508" s="1">
        <v>44584</v>
      </c>
      <c r="D2508" s="1" t="s">
        <v>58</v>
      </c>
      <c r="E2508" s="2" t="s">
        <v>406</v>
      </c>
      <c r="F2508" s="1"/>
      <c r="G2508" s="2">
        <v>6</v>
      </c>
      <c r="H2508" s="1"/>
      <c r="I2508" t="s">
        <v>1</v>
      </c>
      <c r="J2508" t="s">
        <v>26</v>
      </c>
      <c r="K2508" t="s">
        <v>25</v>
      </c>
      <c r="L2508" t="s">
        <v>441</v>
      </c>
      <c r="M2508" s="3" t="s">
        <v>612</v>
      </c>
    </row>
    <row r="2509" spans="1:13" hidden="1" x14ac:dyDescent="0.25">
      <c r="A2509" s="1" t="str">
        <f>VLOOKUP(Table2[[#This Row],[Prod Line ]],Lists!A:E,5,0)</f>
        <v>d</v>
      </c>
      <c r="B2509" s="1">
        <v>44586</v>
      </c>
      <c r="C2509" s="1">
        <v>44584</v>
      </c>
      <c r="D2509" s="1" t="s">
        <v>62</v>
      </c>
      <c r="E2509" s="2" t="s">
        <v>406</v>
      </c>
      <c r="F2509" s="1"/>
      <c r="G2509" s="2">
        <v>2</v>
      </c>
      <c r="H2509" s="1"/>
      <c r="I2509" t="s">
        <v>1</v>
      </c>
      <c r="J2509" t="s">
        <v>2</v>
      </c>
      <c r="K2509" t="s">
        <v>19</v>
      </c>
      <c r="L2509" t="s">
        <v>407</v>
      </c>
      <c r="M2509" s="3" t="s">
        <v>2054</v>
      </c>
    </row>
    <row r="2510" spans="1:13" hidden="1" x14ac:dyDescent="0.25">
      <c r="A2510" s="1" t="str">
        <f>VLOOKUP(Table2[[#This Row],[Prod Line ]],Lists!A:E,5,0)</f>
        <v>a</v>
      </c>
      <c r="B2510" s="1">
        <v>44587</v>
      </c>
      <c r="C2510" s="1">
        <v>44586</v>
      </c>
      <c r="D2510" s="1" t="s">
        <v>56</v>
      </c>
      <c r="E2510" s="2" t="s">
        <v>405</v>
      </c>
      <c r="F2510" s="1"/>
      <c r="G2510" s="2">
        <v>12</v>
      </c>
      <c r="H2510" s="1"/>
      <c r="I2510" t="s">
        <v>1</v>
      </c>
      <c r="J2510" t="s">
        <v>2</v>
      </c>
      <c r="K2510" t="s">
        <v>19</v>
      </c>
      <c r="L2510" t="s">
        <v>407</v>
      </c>
      <c r="M2510" s="3" t="s">
        <v>834</v>
      </c>
    </row>
    <row r="2511" spans="1:13" hidden="1" x14ac:dyDescent="0.25">
      <c r="A2511" s="1" t="str">
        <f>VLOOKUP(Table2[[#This Row],[Prod Line ]],Lists!A:E,5,0)</f>
        <v>a</v>
      </c>
      <c r="B2511" s="1">
        <v>44587</v>
      </c>
      <c r="C2511" s="1">
        <v>44586</v>
      </c>
      <c r="D2511" s="1" t="s">
        <v>56</v>
      </c>
      <c r="E2511" s="2" t="s">
        <v>405</v>
      </c>
      <c r="F2511" s="1"/>
      <c r="G2511" s="2">
        <v>7</v>
      </c>
      <c r="H2511" s="1"/>
      <c r="I2511" t="s">
        <v>1</v>
      </c>
      <c r="J2511" t="s">
        <v>5</v>
      </c>
      <c r="K2511" t="s">
        <v>376</v>
      </c>
      <c r="L2511" t="s">
        <v>407</v>
      </c>
      <c r="M2511" s="3" t="s">
        <v>2055</v>
      </c>
    </row>
    <row r="2512" spans="1:13" x14ac:dyDescent="0.25">
      <c r="A2512" s="1" t="str">
        <f>VLOOKUP(Table2[[#This Row],[Prod Line ]],Lists!A:E,5,0)</f>
        <v>a</v>
      </c>
      <c r="B2512" s="1">
        <v>44587</v>
      </c>
      <c r="C2512" s="1">
        <v>44586</v>
      </c>
      <c r="D2512" s="1" t="s">
        <v>56</v>
      </c>
      <c r="E2512" s="2" t="s">
        <v>405</v>
      </c>
      <c r="F2512" s="1"/>
      <c r="G2512" s="2">
        <v>4</v>
      </c>
      <c r="H2512" s="1"/>
      <c r="I2512" t="s">
        <v>0</v>
      </c>
      <c r="J2512" t="s">
        <v>5</v>
      </c>
      <c r="K2512" t="s">
        <v>376</v>
      </c>
      <c r="L2512" t="s">
        <v>70</v>
      </c>
      <c r="M2512" s="3" t="s">
        <v>2056</v>
      </c>
    </row>
    <row r="2513" spans="1:13" hidden="1" x14ac:dyDescent="0.25">
      <c r="A2513" s="1" t="str">
        <f>VLOOKUP(Table2[[#This Row],[Prod Line ]],Lists!A:E,5,0)</f>
        <v>d</v>
      </c>
      <c r="B2513" s="1">
        <v>44587</v>
      </c>
      <c r="C2513" s="1">
        <v>44586</v>
      </c>
      <c r="D2513" s="1" t="s">
        <v>62</v>
      </c>
      <c r="E2513" s="2" t="s">
        <v>404</v>
      </c>
      <c r="F2513" s="1"/>
      <c r="G2513" s="2">
        <v>22</v>
      </c>
      <c r="H2513" s="1"/>
      <c r="I2513" t="s">
        <v>1</v>
      </c>
      <c r="J2513" t="s">
        <v>5</v>
      </c>
      <c r="K2513" t="s">
        <v>397</v>
      </c>
      <c r="L2513" t="s">
        <v>407</v>
      </c>
      <c r="M2513" s="3" t="s">
        <v>48</v>
      </c>
    </row>
    <row r="2514" spans="1:13" x14ac:dyDescent="0.25">
      <c r="A2514" s="1" t="str">
        <f>VLOOKUP(Table2[[#This Row],[Prod Line ]],Lists!A:E,5,0)</f>
        <v>c</v>
      </c>
      <c r="B2514" s="1">
        <v>44587</v>
      </c>
      <c r="C2514" s="1">
        <v>44586</v>
      </c>
      <c r="D2514" s="1" t="s">
        <v>60</v>
      </c>
      <c r="E2514" s="2" t="s">
        <v>406</v>
      </c>
      <c r="F2514" s="1"/>
      <c r="G2514" s="2">
        <v>90</v>
      </c>
      <c r="H2514" s="1"/>
      <c r="I2514" t="s">
        <v>0</v>
      </c>
      <c r="J2514" t="s">
        <v>5</v>
      </c>
      <c r="K2514" t="s">
        <v>391</v>
      </c>
      <c r="L2514" t="s">
        <v>70</v>
      </c>
      <c r="M2514" s="3" t="s">
        <v>2057</v>
      </c>
    </row>
    <row r="2515" spans="1:13" x14ac:dyDescent="0.25">
      <c r="A2515" s="1" t="str">
        <f>VLOOKUP(Table2[[#This Row],[Prod Line ]],Lists!A:E,5,0)</f>
        <v>b</v>
      </c>
      <c r="B2515" s="1">
        <v>44589</v>
      </c>
      <c r="C2515" s="1">
        <v>44591</v>
      </c>
      <c r="D2515" s="1" t="s">
        <v>58</v>
      </c>
      <c r="E2515" s="2" t="s">
        <v>404</v>
      </c>
      <c r="F2515" s="1"/>
      <c r="G2515" s="2">
        <v>5</v>
      </c>
      <c r="H2515" s="1"/>
      <c r="I2515" t="s">
        <v>0</v>
      </c>
      <c r="J2515" t="s">
        <v>64</v>
      </c>
      <c r="K2515" t="s">
        <v>21</v>
      </c>
      <c r="L2515" t="s">
        <v>70</v>
      </c>
      <c r="M2515" s="3" t="s">
        <v>2023</v>
      </c>
    </row>
    <row r="2516" spans="1:13" x14ac:dyDescent="0.25">
      <c r="A2516" s="1" t="str">
        <f>VLOOKUP(Table2[[#This Row],[Prod Line ]],Lists!A:E,5,0)</f>
        <v>b</v>
      </c>
      <c r="B2516" s="1">
        <v>44589</v>
      </c>
      <c r="C2516" s="1">
        <v>44591</v>
      </c>
      <c r="D2516" s="1" t="s">
        <v>58</v>
      </c>
      <c r="E2516" s="2" t="s">
        <v>404</v>
      </c>
      <c r="F2516" s="1"/>
      <c r="G2516" s="2">
        <v>3</v>
      </c>
      <c r="H2516" s="1"/>
      <c r="I2516" t="s">
        <v>0</v>
      </c>
      <c r="J2516" t="s">
        <v>64</v>
      </c>
      <c r="K2516" t="s">
        <v>22</v>
      </c>
      <c r="L2516" t="s">
        <v>70</v>
      </c>
      <c r="M2516" s="3" t="s">
        <v>2058</v>
      </c>
    </row>
    <row r="2517" spans="1:13" hidden="1" x14ac:dyDescent="0.25">
      <c r="A2517" s="1" t="str">
        <f>VLOOKUP(Table2[[#This Row],[Prod Line ]],Lists!A:E,5,0)</f>
        <v>b</v>
      </c>
      <c r="B2517" s="1">
        <v>44589</v>
      </c>
      <c r="C2517" s="1">
        <v>44591</v>
      </c>
      <c r="D2517" s="1" t="s">
        <v>58</v>
      </c>
      <c r="E2517" s="2" t="s">
        <v>404</v>
      </c>
      <c r="F2517" s="1"/>
      <c r="G2517" s="2">
        <v>6</v>
      </c>
      <c r="H2517" s="1"/>
      <c r="I2517" t="s">
        <v>1</v>
      </c>
      <c r="J2517" t="s">
        <v>2</v>
      </c>
      <c r="K2517" t="s">
        <v>19</v>
      </c>
      <c r="L2517" t="s">
        <v>349</v>
      </c>
      <c r="M2517" s="3" t="s">
        <v>575</v>
      </c>
    </row>
    <row r="2518" spans="1:13" hidden="1" x14ac:dyDescent="0.25">
      <c r="A2518" s="1" t="str">
        <f>VLOOKUP(Table2[[#This Row],[Prod Line ]],Lists!A:E,5,0)</f>
        <v>d</v>
      </c>
      <c r="B2518" s="1">
        <v>44589</v>
      </c>
      <c r="C2518" s="1">
        <v>44591</v>
      </c>
      <c r="D2518" s="1" t="s">
        <v>62</v>
      </c>
      <c r="E2518" s="2" t="s">
        <v>404</v>
      </c>
      <c r="F2518" s="1"/>
      <c r="G2518" s="2">
        <v>14</v>
      </c>
      <c r="H2518" s="1"/>
      <c r="I2518" t="s">
        <v>1</v>
      </c>
      <c r="J2518" t="s">
        <v>64</v>
      </c>
      <c r="K2518" t="s">
        <v>379</v>
      </c>
      <c r="L2518" t="s">
        <v>407</v>
      </c>
      <c r="M2518" s="3" t="s">
        <v>750</v>
      </c>
    </row>
    <row r="2519" spans="1:13" hidden="1" x14ac:dyDescent="0.25">
      <c r="A2519" s="1" t="str">
        <f>VLOOKUP(Table2[[#This Row],[Prod Line ]],Lists!A:E,5,0)</f>
        <v>d</v>
      </c>
      <c r="B2519" s="1">
        <v>44589</v>
      </c>
      <c r="C2519" s="1">
        <v>44591</v>
      </c>
      <c r="D2519" s="1" t="s">
        <v>62</v>
      </c>
      <c r="E2519" s="2" t="s">
        <v>405</v>
      </c>
      <c r="F2519" s="1"/>
      <c r="G2519" s="2">
        <v>5</v>
      </c>
      <c r="H2519" s="1"/>
      <c r="I2519" t="s">
        <v>1</v>
      </c>
      <c r="J2519" t="s">
        <v>2</v>
      </c>
      <c r="K2519" t="s">
        <v>19</v>
      </c>
      <c r="L2519" t="s">
        <v>407</v>
      </c>
      <c r="M2519" s="3" t="s">
        <v>2059</v>
      </c>
    </row>
    <row r="2520" spans="1:13" x14ac:dyDescent="0.25">
      <c r="A2520" s="1" t="str">
        <f>VLOOKUP(Table2[[#This Row],[Prod Line ]],Lists!A:E,5,0)</f>
        <v>b</v>
      </c>
      <c r="B2520" s="1">
        <v>44590</v>
      </c>
      <c r="C2520" s="1">
        <v>44592</v>
      </c>
      <c r="D2520" s="1" t="s">
        <v>58</v>
      </c>
      <c r="E2520" s="2" t="s">
        <v>405</v>
      </c>
      <c r="F2520" s="1"/>
      <c r="G2520" s="2">
        <v>20</v>
      </c>
      <c r="H2520" s="1"/>
      <c r="I2520" t="s">
        <v>0</v>
      </c>
      <c r="J2520" t="s">
        <v>66</v>
      </c>
      <c r="K2520" t="s">
        <v>4</v>
      </c>
      <c r="L2520" t="s">
        <v>70</v>
      </c>
      <c r="M2520" s="3" t="s">
        <v>1486</v>
      </c>
    </row>
    <row r="2521" spans="1:13" hidden="1" x14ac:dyDescent="0.25">
      <c r="A2521" s="1" t="str">
        <f>VLOOKUP(Table2[[#This Row],[Prod Line ]],Lists!A:E,5,0)</f>
        <v>b</v>
      </c>
      <c r="B2521" s="1">
        <v>44590</v>
      </c>
      <c r="C2521" s="1">
        <v>44592</v>
      </c>
      <c r="D2521" s="1" t="s">
        <v>58</v>
      </c>
      <c r="E2521" s="2" t="s">
        <v>404</v>
      </c>
      <c r="F2521" s="1"/>
      <c r="G2521" s="2">
        <v>9</v>
      </c>
      <c r="H2521" s="1"/>
      <c r="I2521" t="s">
        <v>1</v>
      </c>
      <c r="J2521" t="s">
        <v>2</v>
      </c>
      <c r="K2521" t="s">
        <v>19</v>
      </c>
      <c r="L2521" t="s">
        <v>349</v>
      </c>
      <c r="M2521" s="3" t="s">
        <v>2060</v>
      </c>
    </row>
    <row r="2522" spans="1:13" hidden="1" x14ac:dyDescent="0.25">
      <c r="A2522" s="1" t="str">
        <f>VLOOKUP(Table2[[#This Row],[Prod Line ]],Lists!A:E,5,0)</f>
        <v>b</v>
      </c>
      <c r="B2522" s="1">
        <v>44590</v>
      </c>
      <c r="C2522" s="1">
        <v>44592</v>
      </c>
      <c r="D2522" s="1" t="s">
        <v>58</v>
      </c>
      <c r="E2522" s="2" t="s">
        <v>404</v>
      </c>
      <c r="F2522" s="1"/>
      <c r="G2522" s="2">
        <v>5</v>
      </c>
      <c r="H2522" s="1"/>
      <c r="I2522" t="s">
        <v>1</v>
      </c>
      <c r="J2522" t="s">
        <v>65</v>
      </c>
      <c r="K2522" t="s">
        <v>3</v>
      </c>
      <c r="L2522" t="s">
        <v>441</v>
      </c>
      <c r="M2522" s="3" t="s">
        <v>514</v>
      </c>
    </row>
    <row r="2523" spans="1:13" hidden="1" x14ac:dyDescent="0.25">
      <c r="A2523" s="1" t="str">
        <f>VLOOKUP(Table2[[#This Row],[Prod Line ]],Lists!A:E,5,0)</f>
        <v>b</v>
      </c>
      <c r="B2523" s="1">
        <v>44590</v>
      </c>
      <c r="C2523" s="1">
        <v>44592</v>
      </c>
      <c r="D2523" s="1" t="s">
        <v>58</v>
      </c>
      <c r="E2523" s="2" t="s">
        <v>406</v>
      </c>
      <c r="F2523" s="1"/>
      <c r="G2523" s="2">
        <v>10</v>
      </c>
      <c r="H2523" s="1"/>
      <c r="I2523" t="s">
        <v>1</v>
      </c>
      <c r="J2523" t="s">
        <v>2</v>
      </c>
      <c r="K2523" t="s">
        <v>19</v>
      </c>
      <c r="L2523" t="s">
        <v>407</v>
      </c>
      <c r="M2523" s="3" t="s">
        <v>2061</v>
      </c>
    </row>
    <row r="2524" spans="1:13" x14ac:dyDescent="0.25">
      <c r="A2524" s="1" t="str">
        <f>VLOOKUP(Table2[[#This Row],[Prod Line ]],Lists!A:E,5,0)</f>
        <v>a</v>
      </c>
      <c r="B2524" s="1">
        <v>44592</v>
      </c>
      <c r="C2524" s="1">
        <v>44590</v>
      </c>
      <c r="D2524" s="1" t="s">
        <v>56</v>
      </c>
      <c r="E2524" s="2" t="s">
        <v>404</v>
      </c>
      <c r="F2524" s="1"/>
      <c r="G2524" s="2">
        <v>21</v>
      </c>
      <c r="H2524" s="1"/>
      <c r="I2524" t="s">
        <v>0</v>
      </c>
      <c r="J2524" t="s">
        <v>64</v>
      </c>
      <c r="K2524" t="s">
        <v>367</v>
      </c>
      <c r="L2524" t="s">
        <v>70</v>
      </c>
      <c r="M2524" s="3" t="s">
        <v>2062</v>
      </c>
    </row>
    <row r="2525" spans="1:13" hidden="1" x14ac:dyDescent="0.25">
      <c r="A2525" s="1" t="str">
        <f>VLOOKUP(Table2[[#This Row],[Prod Line ]],Lists!A:E,5,0)</f>
        <v>a</v>
      </c>
      <c r="B2525" s="1">
        <v>44592</v>
      </c>
      <c r="C2525" s="1">
        <v>44590</v>
      </c>
      <c r="D2525" s="1" t="s">
        <v>56</v>
      </c>
      <c r="E2525" s="2" t="s">
        <v>404</v>
      </c>
      <c r="F2525" s="1"/>
      <c r="G2525" s="2">
        <v>5</v>
      </c>
      <c r="H2525" s="1"/>
      <c r="I2525" t="s">
        <v>1</v>
      </c>
      <c r="J2525" t="s">
        <v>64</v>
      </c>
      <c r="K2525" t="s">
        <v>371</v>
      </c>
      <c r="L2525" t="s">
        <v>350</v>
      </c>
      <c r="M2525" s="3" t="s">
        <v>540</v>
      </c>
    </row>
    <row r="2526" spans="1:13" hidden="1" x14ac:dyDescent="0.25">
      <c r="A2526" s="1" t="str">
        <f>VLOOKUP(Table2[[#This Row],[Prod Line ]],Lists!A:E,5,0)</f>
        <v>a</v>
      </c>
      <c r="B2526" s="1">
        <v>44592</v>
      </c>
      <c r="C2526" s="1">
        <v>44590</v>
      </c>
      <c r="D2526" s="1" t="s">
        <v>56</v>
      </c>
      <c r="E2526" s="2" t="s">
        <v>405</v>
      </c>
      <c r="F2526" s="1"/>
      <c r="G2526" s="2">
        <v>22</v>
      </c>
      <c r="H2526" s="1"/>
      <c r="I2526" t="s">
        <v>1</v>
      </c>
      <c r="J2526" t="s">
        <v>64</v>
      </c>
      <c r="K2526" t="s">
        <v>370</v>
      </c>
      <c r="L2526" t="s">
        <v>407</v>
      </c>
      <c r="M2526" s="3" t="s">
        <v>2063</v>
      </c>
    </row>
    <row r="2527" spans="1:13" x14ac:dyDescent="0.25">
      <c r="A2527" s="1" t="str">
        <f>VLOOKUP(Table2[[#This Row],[Prod Line ]],Lists!A:E,5,0)</f>
        <v>b</v>
      </c>
      <c r="B2527" s="1">
        <v>44592</v>
      </c>
      <c r="C2527" s="1">
        <v>44590</v>
      </c>
      <c r="D2527" s="1" t="s">
        <v>58</v>
      </c>
      <c r="E2527" s="2" t="s">
        <v>406</v>
      </c>
      <c r="F2527" s="1"/>
      <c r="G2527" s="2">
        <v>8</v>
      </c>
      <c r="H2527" s="1"/>
      <c r="I2527" t="s">
        <v>0</v>
      </c>
      <c r="J2527" t="s">
        <v>2</v>
      </c>
      <c r="K2527" t="s">
        <v>19</v>
      </c>
      <c r="L2527" t="s">
        <v>70</v>
      </c>
      <c r="M2527" s="3" t="s">
        <v>2064</v>
      </c>
    </row>
    <row r="2528" spans="1:13" x14ac:dyDescent="0.25">
      <c r="A2528" s="1" t="str">
        <f>VLOOKUP(Table2[[#This Row],[Prod Line ]],Lists!A:E,5,0)</f>
        <v>b</v>
      </c>
      <c r="B2528" s="1">
        <v>44592</v>
      </c>
      <c r="C2528" s="1">
        <v>44590</v>
      </c>
      <c r="D2528" s="1" t="s">
        <v>58</v>
      </c>
      <c r="E2528" s="2" t="s">
        <v>406</v>
      </c>
      <c r="F2528" s="1"/>
      <c r="G2528" s="2">
        <v>10</v>
      </c>
      <c r="H2528" s="1"/>
      <c r="I2528" t="s">
        <v>0</v>
      </c>
      <c r="J2528" t="s">
        <v>64</v>
      </c>
      <c r="K2528" t="s">
        <v>23</v>
      </c>
      <c r="L2528" t="s">
        <v>70</v>
      </c>
      <c r="M2528" s="3" t="s">
        <v>2065</v>
      </c>
    </row>
    <row r="2529" spans="1:14" hidden="1" x14ac:dyDescent="0.25">
      <c r="A2529" s="1" t="str">
        <f>VLOOKUP(Table2[[#This Row],[Prod Line ]],Lists!A:E,5,0)</f>
        <v>b</v>
      </c>
      <c r="B2529" s="1">
        <v>44592</v>
      </c>
      <c r="C2529" s="1">
        <v>44590</v>
      </c>
      <c r="D2529" s="1" t="s">
        <v>58</v>
      </c>
      <c r="E2529" s="2" t="s">
        <v>404</v>
      </c>
      <c r="F2529" s="1"/>
      <c r="G2529" s="2">
        <v>52</v>
      </c>
      <c r="H2529" s="1"/>
      <c r="I2529" t="s">
        <v>1</v>
      </c>
      <c r="J2529" t="s">
        <v>2</v>
      </c>
      <c r="K2529" t="s">
        <v>19</v>
      </c>
      <c r="L2529" t="s">
        <v>407</v>
      </c>
      <c r="M2529" s="3" t="s">
        <v>759</v>
      </c>
    </row>
    <row r="2530" spans="1:14" hidden="1" x14ac:dyDescent="0.25">
      <c r="A2530" s="1" t="str">
        <f>VLOOKUP(Table2[[#This Row],[Prod Line ]],Lists!A:E,5,0)</f>
        <v>b</v>
      </c>
      <c r="B2530" s="1">
        <v>44592</v>
      </c>
      <c r="C2530" s="1">
        <v>44590</v>
      </c>
      <c r="D2530" s="1" t="s">
        <v>58</v>
      </c>
      <c r="E2530" s="2" t="s">
        <v>404</v>
      </c>
      <c r="F2530" s="1"/>
      <c r="G2530" s="2">
        <v>18</v>
      </c>
      <c r="H2530" s="1"/>
      <c r="I2530" t="s">
        <v>1</v>
      </c>
      <c r="J2530" t="s">
        <v>26</v>
      </c>
      <c r="K2530" t="s">
        <v>25</v>
      </c>
      <c r="L2530" t="s">
        <v>441</v>
      </c>
      <c r="M2530" s="3" t="s">
        <v>896</v>
      </c>
    </row>
    <row r="2531" spans="1:14" x14ac:dyDescent="0.25">
      <c r="A2531" s="1" t="str">
        <f>VLOOKUP(Table2[[#This Row],[Prod Line ]],Lists!A:E,5,0)</f>
        <v>d</v>
      </c>
      <c r="B2531" s="1">
        <v>44592</v>
      </c>
      <c r="C2531" s="1">
        <v>44590</v>
      </c>
      <c r="D2531" s="1" t="s">
        <v>62</v>
      </c>
      <c r="E2531" s="2" t="s">
        <v>406</v>
      </c>
      <c r="F2531" s="1"/>
      <c r="G2531" s="2">
        <v>60</v>
      </c>
      <c r="H2531" s="1"/>
      <c r="I2531" t="s">
        <v>0</v>
      </c>
      <c r="J2531" t="s">
        <v>5</v>
      </c>
      <c r="K2531" t="s">
        <v>397</v>
      </c>
      <c r="L2531" t="s">
        <v>70</v>
      </c>
      <c r="M2531" s="3" t="s">
        <v>2066</v>
      </c>
      <c r="N2531" s="20" t="s">
        <v>2199</v>
      </c>
    </row>
    <row r="2532" spans="1:14" hidden="1" x14ac:dyDescent="0.25">
      <c r="A2532" s="1" t="str">
        <f>VLOOKUP(Table2[[#This Row],[Prod Line ]],Lists!A:E,5,0)</f>
        <v>d</v>
      </c>
      <c r="B2532" s="1">
        <v>44592</v>
      </c>
      <c r="C2532" s="1">
        <v>44590</v>
      </c>
      <c r="D2532" s="1" t="s">
        <v>62</v>
      </c>
      <c r="E2532" s="2" t="s">
        <v>405</v>
      </c>
      <c r="F2532" s="1"/>
      <c r="G2532" s="2">
        <v>15</v>
      </c>
      <c r="H2532" s="1"/>
      <c r="I2532" t="s">
        <v>1</v>
      </c>
      <c r="J2532" t="s">
        <v>65</v>
      </c>
      <c r="K2532" t="s">
        <v>394</v>
      </c>
      <c r="L2532" t="s">
        <v>407</v>
      </c>
      <c r="M2532" s="3" t="s">
        <v>2067</v>
      </c>
    </row>
    <row r="2533" spans="1:14" hidden="1" x14ac:dyDescent="0.25">
      <c r="A2533" s="1" t="str">
        <f>VLOOKUP(Table2[[#This Row],[Prod Line ]],Lists!A:E,5,0)</f>
        <v>d</v>
      </c>
      <c r="B2533" s="1">
        <v>44592</v>
      </c>
      <c r="C2533" s="1">
        <v>44590</v>
      </c>
      <c r="D2533" s="1" t="s">
        <v>62</v>
      </c>
      <c r="E2533" s="2" t="s">
        <v>405</v>
      </c>
      <c r="F2533" s="1"/>
      <c r="G2533" s="2">
        <v>5</v>
      </c>
      <c r="H2533" s="1"/>
      <c r="I2533" t="s">
        <v>1</v>
      </c>
      <c r="J2533" t="s">
        <v>2</v>
      </c>
      <c r="K2533" t="s">
        <v>19</v>
      </c>
      <c r="L2533" t="s">
        <v>407</v>
      </c>
      <c r="M2533" s="3" t="s">
        <v>759</v>
      </c>
    </row>
    <row r="2534" spans="1:14" hidden="1" x14ac:dyDescent="0.25">
      <c r="A2534" s="1" t="str">
        <f>VLOOKUP(Table2[[#This Row],[Prod Line ]],Lists!A:E,5,0)</f>
        <v>d</v>
      </c>
      <c r="B2534" s="1">
        <v>44593</v>
      </c>
      <c r="C2534" s="1">
        <v>44591</v>
      </c>
      <c r="D2534" s="1" t="s">
        <v>62</v>
      </c>
      <c r="E2534" s="2" t="s">
        <v>404</v>
      </c>
      <c r="F2534" s="1"/>
      <c r="G2534" s="2">
        <v>19</v>
      </c>
      <c r="H2534" s="1"/>
      <c r="I2534" t="s">
        <v>1</v>
      </c>
      <c r="J2534" t="s">
        <v>2</v>
      </c>
      <c r="K2534" t="s">
        <v>19</v>
      </c>
      <c r="L2534" t="s">
        <v>349</v>
      </c>
      <c r="M2534" s="3" t="s">
        <v>575</v>
      </c>
    </row>
    <row r="2535" spans="1:14" x14ac:dyDescent="0.25">
      <c r="A2535" s="1" t="str">
        <f>VLOOKUP(Table2[[#This Row],[Prod Line ]],Lists!A:E,5,0)</f>
        <v>b</v>
      </c>
      <c r="B2535" s="1">
        <v>44593</v>
      </c>
      <c r="C2535" s="1">
        <v>44591</v>
      </c>
      <c r="D2535" s="1" t="s">
        <v>58</v>
      </c>
      <c r="E2535" s="2" t="s">
        <v>406</v>
      </c>
      <c r="F2535" s="1"/>
      <c r="G2535" s="2">
        <v>7</v>
      </c>
      <c r="H2535" s="1"/>
      <c r="I2535" t="s">
        <v>0</v>
      </c>
      <c r="J2535" t="s">
        <v>64</v>
      </c>
      <c r="K2535" t="s">
        <v>24</v>
      </c>
      <c r="L2535" t="s">
        <v>70</v>
      </c>
      <c r="M2535" s="3" t="s">
        <v>2068</v>
      </c>
    </row>
    <row r="2536" spans="1:14" hidden="1" x14ac:dyDescent="0.25">
      <c r="A2536" s="1" t="str">
        <f>VLOOKUP(Table2[[#This Row],[Prod Line ]],Lists!A:E,5,0)</f>
        <v>b</v>
      </c>
      <c r="B2536" s="1">
        <v>44593</v>
      </c>
      <c r="C2536" s="1">
        <v>44591</v>
      </c>
      <c r="D2536" s="1" t="s">
        <v>58</v>
      </c>
      <c r="E2536" s="2" t="s">
        <v>404</v>
      </c>
      <c r="F2536" s="1"/>
      <c r="G2536" s="2">
        <v>13</v>
      </c>
      <c r="H2536" s="1"/>
      <c r="I2536" t="s">
        <v>1</v>
      </c>
      <c r="J2536" t="s">
        <v>2</v>
      </c>
      <c r="K2536" t="s">
        <v>19</v>
      </c>
      <c r="L2536" t="s">
        <v>407</v>
      </c>
      <c r="M2536" s="3" t="s">
        <v>2069</v>
      </c>
    </row>
    <row r="2537" spans="1:14" x14ac:dyDescent="0.25">
      <c r="A2537" s="1" t="str">
        <f>VLOOKUP(Table2[[#This Row],[Prod Line ]],Lists!A:E,5,0)</f>
        <v>b</v>
      </c>
      <c r="B2537" s="1">
        <v>44593</v>
      </c>
      <c r="C2537" s="1">
        <v>44591</v>
      </c>
      <c r="D2537" s="1" t="s">
        <v>58</v>
      </c>
      <c r="E2537" s="2" t="s">
        <v>405</v>
      </c>
      <c r="F2537" s="1"/>
      <c r="G2537" s="2">
        <v>12</v>
      </c>
      <c r="H2537" s="1"/>
      <c r="I2537" t="s">
        <v>0</v>
      </c>
      <c r="J2537" t="s">
        <v>26</v>
      </c>
      <c r="K2537" t="s">
        <v>25</v>
      </c>
      <c r="L2537" t="s">
        <v>70</v>
      </c>
      <c r="M2537" s="3" t="s">
        <v>2070</v>
      </c>
    </row>
    <row r="2538" spans="1:14" x14ac:dyDescent="0.25">
      <c r="A2538" s="1" t="str">
        <f>VLOOKUP(Table2[[#This Row],[Prod Line ]],Lists!A:E,5,0)</f>
        <v>a</v>
      </c>
      <c r="B2538" s="1">
        <v>44593</v>
      </c>
      <c r="C2538" s="1">
        <v>44591</v>
      </c>
      <c r="D2538" s="1" t="s">
        <v>56</v>
      </c>
      <c r="E2538" s="2" t="s">
        <v>404</v>
      </c>
      <c r="F2538" s="1"/>
      <c r="G2538" s="2">
        <v>23</v>
      </c>
      <c r="H2538" s="1"/>
      <c r="I2538" t="s">
        <v>0</v>
      </c>
      <c r="J2538" t="s">
        <v>5</v>
      </c>
      <c r="K2538" t="s">
        <v>376</v>
      </c>
      <c r="L2538" t="s">
        <v>70</v>
      </c>
      <c r="M2538" s="3" t="s">
        <v>2071</v>
      </c>
    </row>
    <row r="2539" spans="1:14" x14ac:dyDescent="0.25">
      <c r="A2539" s="1" t="str">
        <f>VLOOKUP(Table2[[#This Row],[Prod Line ]],Lists!A:E,5,0)</f>
        <v>d</v>
      </c>
      <c r="B2539" s="1">
        <v>44593</v>
      </c>
      <c r="C2539" s="1">
        <v>44592</v>
      </c>
      <c r="D2539" s="1" t="s">
        <v>62</v>
      </c>
      <c r="E2539" s="2" t="s">
        <v>406</v>
      </c>
      <c r="F2539" s="1"/>
      <c r="G2539" s="2">
        <v>33</v>
      </c>
      <c r="H2539" s="1"/>
      <c r="I2539" t="s">
        <v>0</v>
      </c>
      <c r="J2539" t="s">
        <v>5</v>
      </c>
      <c r="K2539" t="s">
        <v>397</v>
      </c>
      <c r="L2539" t="s">
        <v>70</v>
      </c>
      <c r="M2539" s="3" t="s">
        <v>2066</v>
      </c>
      <c r="N2539" s="20" t="s">
        <v>2199</v>
      </c>
    </row>
    <row r="2540" spans="1:14" hidden="1" x14ac:dyDescent="0.25">
      <c r="A2540" s="1" t="str">
        <f>VLOOKUP(Table2[[#This Row],[Prod Line ]],Lists!A:E,5,0)</f>
        <v>b</v>
      </c>
      <c r="B2540" s="1">
        <v>44595</v>
      </c>
      <c r="C2540" s="1">
        <v>44593</v>
      </c>
      <c r="D2540" s="1" t="s">
        <v>58</v>
      </c>
      <c r="E2540" s="2" t="s">
        <v>404</v>
      </c>
      <c r="F2540" s="1"/>
      <c r="G2540" s="2">
        <v>5</v>
      </c>
      <c r="H2540" s="1"/>
      <c r="I2540" t="s">
        <v>1</v>
      </c>
      <c r="J2540" t="s">
        <v>65</v>
      </c>
      <c r="K2540" t="s">
        <v>3</v>
      </c>
      <c r="L2540" t="s">
        <v>441</v>
      </c>
      <c r="M2540" s="3" t="s">
        <v>612</v>
      </c>
    </row>
    <row r="2541" spans="1:14" x14ac:dyDescent="0.25">
      <c r="A2541" s="1" t="str">
        <f>VLOOKUP(Table2[[#This Row],[Prod Line ]],Lists!A:E,5,0)</f>
        <v>b</v>
      </c>
      <c r="B2541" s="1">
        <v>44595</v>
      </c>
      <c r="C2541" s="1">
        <v>44593</v>
      </c>
      <c r="D2541" s="1" t="s">
        <v>58</v>
      </c>
      <c r="E2541" s="2" t="s">
        <v>404</v>
      </c>
      <c r="F2541" s="1"/>
      <c r="G2541" s="2">
        <v>10</v>
      </c>
      <c r="H2541" s="1"/>
      <c r="I2541" t="s">
        <v>0</v>
      </c>
      <c r="J2541" t="s">
        <v>64</v>
      </c>
      <c r="K2541" t="s">
        <v>21</v>
      </c>
      <c r="L2541" t="s">
        <v>70</v>
      </c>
      <c r="M2541" s="3" t="s">
        <v>1854</v>
      </c>
    </row>
    <row r="2542" spans="1:14" x14ac:dyDescent="0.25">
      <c r="A2542" s="1" t="str">
        <f>VLOOKUP(Table2[[#This Row],[Prod Line ]],Lists!A:E,5,0)</f>
        <v>b</v>
      </c>
      <c r="B2542" s="1">
        <v>44595</v>
      </c>
      <c r="C2542" s="1">
        <v>44593</v>
      </c>
      <c r="D2542" s="1" t="s">
        <v>58</v>
      </c>
      <c r="E2542" s="2" t="s">
        <v>404</v>
      </c>
      <c r="F2542" s="1"/>
      <c r="G2542" s="2">
        <v>5</v>
      </c>
      <c r="H2542" s="1"/>
      <c r="I2542" t="s">
        <v>0</v>
      </c>
      <c r="J2542" t="s">
        <v>64</v>
      </c>
      <c r="K2542" t="s">
        <v>22</v>
      </c>
      <c r="L2542" t="s">
        <v>70</v>
      </c>
      <c r="M2542" s="3" t="s">
        <v>2072</v>
      </c>
    </row>
    <row r="2543" spans="1:14" x14ac:dyDescent="0.25">
      <c r="A2543" s="1" t="str">
        <f>VLOOKUP(Table2[[#This Row],[Prod Line ]],Lists!A:E,5,0)</f>
        <v>b</v>
      </c>
      <c r="B2543" s="1">
        <v>44595</v>
      </c>
      <c r="C2543" s="1">
        <v>44593</v>
      </c>
      <c r="D2543" s="1" t="s">
        <v>58</v>
      </c>
      <c r="E2543" s="2" t="s">
        <v>405</v>
      </c>
      <c r="F2543" s="1"/>
      <c r="G2543" s="2">
        <v>8</v>
      </c>
      <c r="H2543" s="1"/>
      <c r="I2543" t="s">
        <v>0</v>
      </c>
      <c r="J2543" t="s">
        <v>64</v>
      </c>
      <c r="K2543" t="s">
        <v>21</v>
      </c>
      <c r="L2543" t="s">
        <v>70</v>
      </c>
      <c r="M2543" s="3" t="s">
        <v>1706</v>
      </c>
    </row>
    <row r="2544" spans="1:14" hidden="1" x14ac:dyDescent="0.25">
      <c r="A2544" s="1" t="str">
        <f>VLOOKUP(Table2[[#This Row],[Prod Line ]],Lists!A:E,5,0)</f>
        <v>d</v>
      </c>
      <c r="B2544" s="1">
        <v>44595</v>
      </c>
      <c r="C2544" s="1">
        <v>44593</v>
      </c>
      <c r="D2544" s="1" t="s">
        <v>62</v>
      </c>
      <c r="E2544" s="2" t="s">
        <v>404</v>
      </c>
      <c r="F2544" s="1"/>
      <c r="G2544" s="2">
        <v>13</v>
      </c>
      <c r="H2544" s="1"/>
      <c r="I2544" t="s">
        <v>1</v>
      </c>
      <c r="J2544" t="s">
        <v>2</v>
      </c>
      <c r="K2544" t="s">
        <v>19</v>
      </c>
      <c r="L2544" t="s">
        <v>344</v>
      </c>
      <c r="M2544" s="3" t="s">
        <v>2073</v>
      </c>
    </row>
    <row r="2545" spans="1:13" hidden="1" x14ac:dyDescent="0.25">
      <c r="A2545" s="1" t="str">
        <f>VLOOKUP(Table2[[#This Row],[Prod Line ]],Lists!A:E,5,0)</f>
        <v>c</v>
      </c>
      <c r="B2545" s="1">
        <v>44595</v>
      </c>
      <c r="C2545" s="1">
        <v>44593</v>
      </c>
      <c r="D2545" s="1" t="s">
        <v>60</v>
      </c>
      <c r="E2545" s="2" t="s">
        <v>404</v>
      </c>
      <c r="F2545" s="1"/>
      <c r="G2545" s="2">
        <v>2</v>
      </c>
      <c r="H2545" s="1"/>
      <c r="I2545" t="s">
        <v>1</v>
      </c>
      <c r="J2545" t="s">
        <v>64</v>
      </c>
      <c r="K2545" t="s">
        <v>381</v>
      </c>
      <c r="L2545" t="s">
        <v>407</v>
      </c>
      <c r="M2545" s="3" t="s">
        <v>939</v>
      </c>
    </row>
    <row r="2546" spans="1:13" hidden="1" x14ac:dyDescent="0.25">
      <c r="A2546" s="1" t="str">
        <f>VLOOKUP(Table2[[#This Row],[Prod Line ]],Lists!A:E,5,0)</f>
        <v>c</v>
      </c>
      <c r="B2546" s="1">
        <v>44595</v>
      </c>
      <c r="C2546" s="1">
        <v>44593</v>
      </c>
      <c r="D2546" s="1" t="s">
        <v>60</v>
      </c>
      <c r="E2546" s="2" t="s">
        <v>405</v>
      </c>
      <c r="F2546" s="1"/>
      <c r="G2546" s="2">
        <v>10</v>
      </c>
      <c r="H2546" s="1"/>
      <c r="I2546" t="s">
        <v>1</v>
      </c>
      <c r="J2546" t="s">
        <v>26</v>
      </c>
      <c r="K2546" t="s">
        <v>26</v>
      </c>
      <c r="L2546" t="s">
        <v>430</v>
      </c>
      <c r="M2546" s="3" t="s">
        <v>2074</v>
      </c>
    </row>
    <row r="2547" spans="1:13" hidden="1" x14ac:dyDescent="0.25">
      <c r="A2547" s="1" t="str">
        <f>VLOOKUP(Table2[[#This Row],[Prod Line ]],Lists!A:E,5,0)</f>
        <v>b</v>
      </c>
      <c r="B2547" s="1">
        <v>44595</v>
      </c>
      <c r="C2547" s="1">
        <v>44593</v>
      </c>
      <c r="D2547" s="1" t="s">
        <v>58</v>
      </c>
      <c r="E2547" s="2" t="s">
        <v>404</v>
      </c>
      <c r="F2547" s="1"/>
      <c r="G2547" s="2">
        <v>14</v>
      </c>
      <c r="H2547" s="1"/>
      <c r="I2547" t="s">
        <v>1</v>
      </c>
      <c r="J2547" t="s">
        <v>65</v>
      </c>
      <c r="K2547" t="s">
        <v>3</v>
      </c>
      <c r="L2547" t="s">
        <v>441</v>
      </c>
      <c r="M2547" s="3" t="s">
        <v>612</v>
      </c>
    </row>
    <row r="2548" spans="1:13" hidden="1" x14ac:dyDescent="0.25">
      <c r="A2548" s="1" t="str">
        <f>VLOOKUP(Table2[[#This Row],[Prod Line ]],Lists!A:E,5,0)</f>
        <v>a</v>
      </c>
      <c r="B2548" s="1">
        <v>44596</v>
      </c>
      <c r="C2548" s="1">
        <v>44594</v>
      </c>
      <c r="D2548" s="1" t="s">
        <v>56</v>
      </c>
      <c r="E2548" s="2" t="s">
        <v>404</v>
      </c>
      <c r="F2548" s="1"/>
      <c r="G2548" s="2">
        <v>58</v>
      </c>
      <c r="H2548" s="1"/>
      <c r="I2548" t="s">
        <v>1</v>
      </c>
      <c r="J2548" t="s">
        <v>2</v>
      </c>
      <c r="K2548" t="s">
        <v>19</v>
      </c>
      <c r="L2548" t="s">
        <v>407</v>
      </c>
      <c r="M2548" s="3" t="s">
        <v>48</v>
      </c>
    </row>
    <row r="2549" spans="1:13" hidden="1" x14ac:dyDescent="0.25">
      <c r="A2549" s="1" t="str">
        <f>VLOOKUP(Table2[[#This Row],[Prod Line ]],Lists!A:E,5,0)</f>
        <v>d</v>
      </c>
      <c r="B2549" s="1">
        <v>44596</v>
      </c>
      <c r="C2549" s="1">
        <v>44594</v>
      </c>
      <c r="D2549" s="1" t="s">
        <v>62</v>
      </c>
      <c r="E2549" s="2" t="s">
        <v>406</v>
      </c>
      <c r="F2549" s="1"/>
      <c r="G2549" s="2">
        <v>3</v>
      </c>
      <c r="H2549" s="1"/>
      <c r="I2549" t="s">
        <v>1</v>
      </c>
      <c r="J2549" t="s">
        <v>64</v>
      </c>
      <c r="K2549" t="s">
        <v>379</v>
      </c>
      <c r="L2549" t="s">
        <v>407</v>
      </c>
      <c r="M2549" s="3" t="s">
        <v>750</v>
      </c>
    </row>
    <row r="2550" spans="1:13" hidden="1" x14ac:dyDescent="0.25">
      <c r="A2550" s="1" t="str">
        <f>VLOOKUP(Table2[[#This Row],[Prod Line ]],Lists!A:E,5,0)</f>
        <v>c</v>
      </c>
      <c r="B2550" s="1">
        <v>44597</v>
      </c>
      <c r="C2550" s="1">
        <v>44595</v>
      </c>
      <c r="D2550" s="1" t="s">
        <v>60</v>
      </c>
      <c r="E2550" s="2" t="s">
        <v>404</v>
      </c>
      <c r="F2550" s="1"/>
      <c r="G2550" s="2">
        <v>14</v>
      </c>
      <c r="H2550" s="1"/>
      <c r="I2550" t="s">
        <v>1</v>
      </c>
      <c r="J2550" t="s">
        <v>64</v>
      </c>
      <c r="K2550" t="s">
        <v>381</v>
      </c>
      <c r="L2550" t="s">
        <v>407</v>
      </c>
      <c r="M2550" s="3" t="s">
        <v>750</v>
      </c>
    </row>
    <row r="2551" spans="1:13" x14ac:dyDescent="0.25">
      <c r="A2551" s="1" t="str">
        <f>VLOOKUP(Table2[[#This Row],[Prod Line ]],Lists!A:E,5,0)</f>
        <v>a</v>
      </c>
      <c r="B2551" s="1">
        <v>44597</v>
      </c>
      <c r="C2551" s="1">
        <v>44595</v>
      </c>
      <c r="D2551" s="1" t="s">
        <v>56</v>
      </c>
      <c r="E2551" s="2" t="s">
        <v>404</v>
      </c>
      <c r="F2551" s="1"/>
      <c r="G2551" s="2">
        <v>9</v>
      </c>
      <c r="H2551" s="1"/>
      <c r="I2551" t="s">
        <v>0</v>
      </c>
      <c r="J2551" t="s">
        <v>65</v>
      </c>
      <c r="K2551" t="s">
        <v>27</v>
      </c>
      <c r="L2551" t="s">
        <v>70</v>
      </c>
      <c r="M2551" s="3" t="s">
        <v>2075</v>
      </c>
    </row>
    <row r="2552" spans="1:13" x14ac:dyDescent="0.25">
      <c r="A2552" s="1" t="str">
        <f>VLOOKUP(Table2[[#This Row],[Prod Line ]],Lists!A:E,5,0)</f>
        <v>a</v>
      </c>
      <c r="B2552" s="1">
        <v>44597</v>
      </c>
      <c r="C2552" s="1">
        <v>44595</v>
      </c>
      <c r="D2552" s="1" t="s">
        <v>56</v>
      </c>
      <c r="E2552" s="2" t="s">
        <v>404</v>
      </c>
      <c r="F2552" s="1"/>
      <c r="G2552" s="2">
        <v>7</v>
      </c>
      <c r="H2552" s="1"/>
      <c r="I2552" t="s">
        <v>0</v>
      </c>
      <c r="J2552" t="s">
        <v>64</v>
      </c>
      <c r="K2552" t="s">
        <v>368</v>
      </c>
      <c r="L2552" t="s">
        <v>70</v>
      </c>
      <c r="M2552" s="3" t="s">
        <v>2076</v>
      </c>
    </row>
    <row r="2553" spans="1:13" hidden="1" x14ac:dyDescent="0.25">
      <c r="A2553" s="1" t="str">
        <f>VLOOKUP(Table2[[#This Row],[Prod Line ]],Lists!A:E,5,0)</f>
        <v>a</v>
      </c>
      <c r="B2553" s="1">
        <v>44599</v>
      </c>
      <c r="C2553" s="1">
        <v>44597</v>
      </c>
      <c r="D2553" s="1" t="s">
        <v>56</v>
      </c>
      <c r="E2553" s="2" t="s">
        <v>404</v>
      </c>
      <c r="F2553" s="1"/>
      <c r="G2553" s="2">
        <v>4</v>
      </c>
      <c r="H2553" s="1"/>
      <c r="I2553" t="s">
        <v>1</v>
      </c>
      <c r="J2553" t="s">
        <v>64</v>
      </c>
      <c r="K2553" t="s">
        <v>364</v>
      </c>
      <c r="L2553" t="s">
        <v>407</v>
      </c>
      <c r="M2553" s="3" t="s">
        <v>655</v>
      </c>
    </row>
    <row r="2554" spans="1:13" hidden="1" x14ac:dyDescent="0.25">
      <c r="A2554" s="1" t="str">
        <f>VLOOKUP(Table2[[#This Row],[Prod Line ]],Lists!A:E,5,0)</f>
        <v>a</v>
      </c>
      <c r="B2554" s="1">
        <v>44599</v>
      </c>
      <c r="C2554" s="1">
        <v>44597</v>
      </c>
      <c r="D2554" s="1" t="s">
        <v>56</v>
      </c>
      <c r="E2554" s="2" t="s">
        <v>404</v>
      </c>
      <c r="F2554" s="1"/>
      <c r="G2554" s="2">
        <v>14</v>
      </c>
      <c r="H2554" s="1"/>
      <c r="I2554" t="s">
        <v>1</v>
      </c>
      <c r="J2554" t="s">
        <v>2</v>
      </c>
      <c r="K2554" t="s">
        <v>19</v>
      </c>
      <c r="L2554" t="s">
        <v>407</v>
      </c>
      <c r="M2554" s="3" t="s">
        <v>1346</v>
      </c>
    </row>
    <row r="2555" spans="1:13" hidden="1" x14ac:dyDescent="0.25">
      <c r="A2555" s="1" t="str">
        <f>VLOOKUP(Table2[[#This Row],[Prod Line ]],Lists!A:E,5,0)</f>
        <v>b</v>
      </c>
      <c r="B2555" s="1">
        <v>44599</v>
      </c>
      <c r="C2555" s="1">
        <v>44597</v>
      </c>
      <c r="D2555" s="1" t="s">
        <v>58</v>
      </c>
      <c r="E2555" s="2" t="s">
        <v>404</v>
      </c>
      <c r="F2555" s="1"/>
      <c r="G2555" s="2">
        <v>29</v>
      </c>
      <c r="H2555" s="1"/>
      <c r="I2555" t="s">
        <v>1</v>
      </c>
      <c r="J2555" t="s">
        <v>65</v>
      </c>
      <c r="K2555" t="s">
        <v>27</v>
      </c>
      <c r="L2555" t="s">
        <v>407</v>
      </c>
      <c r="M2555" s="3" t="s">
        <v>441</v>
      </c>
    </row>
    <row r="2556" spans="1:13" hidden="1" x14ac:dyDescent="0.25">
      <c r="A2556" s="1" t="str">
        <f>VLOOKUP(Table2[[#This Row],[Prod Line ]],Lists!A:E,5,0)</f>
        <v>c</v>
      </c>
      <c r="B2556" s="1">
        <v>44599</v>
      </c>
      <c r="C2556" s="1">
        <v>44597</v>
      </c>
      <c r="D2556" s="1" t="s">
        <v>60</v>
      </c>
      <c r="E2556" s="2" t="s">
        <v>404</v>
      </c>
      <c r="F2556" s="1"/>
      <c r="G2556" s="2">
        <v>8</v>
      </c>
      <c r="H2556" s="1"/>
      <c r="I2556" t="s">
        <v>1</v>
      </c>
      <c r="J2556" t="s">
        <v>2</v>
      </c>
      <c r="K2556" t="s">
        <v>14</v>
      </c>
      <c r="L2556" t="s">
        <v>349</v>
      </c>
      <c r="M2556" s="3" t="s">
        <v>524</v>
      </c>
    </row>
    <row r="2557" spans="1:13" hidden="1" x14ac:dyDescent="0.25">
      <c r="A2557" s="1" t="str">
        <f>VLOOKUP(Table2[[#This Row],[Prod Line ]],Lists!A:E,5,0)</f>
        <v>c</v>
      </c>
      <c r="B2557" s="1">
        <v>44599</v>
      </c>
      <c r="C2557" s="1">
        <v>44597</v>
      </c>
      <c r="D2557" s="1" t="s">
        <v>60</v>
      </c>
      <c r="E2557" s="2" t="s">
        <v>404</v>
      </c>
      <c r="F2557" s="1"/>
      <c r="G2557" s="2">
        <v>9</v>
      </c>
      <c r="H2557" s="1"/>
      <c r="I2557" t="s">
        <v>1</v>
      </c>
      <c r="J2557" t="s">
        <v>64</v>
      </c>
      <c r="K2557" t="s">
        <v>381</v>
      </c>
      <c r="L2557" t="s">
        <v>407</v>
      </c>
      <c r="M2557" s="3" t="s">
        <v>2077</v>
      </c>
    </row>
    <row r="2558" spans="1:13" hidden="1" x14ac:dyDescent="0.25">
      <c r="A2558" s="1" t="str">
        <f>VLOOKUP(Table2[[#This Row],[Prod Line ]],Lists!A:E,5,0)</f>
        <v>c</v>
      </c>
      <c r="B2558" s="1">
        <v>44599</v>
      </c>
      <c r="C2558" s="1">
        <v>44597</v>
      </c>
      <c r="D2558" s="1" t="s">
        <v>60</v>
      </c>
      <c r="E2558" s="2" t="s">
        <v>404</v>
      </c>
      <c r="F2558" s="1"/>
      <c r="G2558" s="2">
        <v>21</v>
      </c>
      <c r="H2558" s="1"/>
      <c r="I2558" t="s">
        <v>1</v>
      </c>
      <c r="J2558" t="s">
        <v>64</v>
      </c>
      <c r="K2558" t="s">
        <v>381</v>
      </c>
      <c r="L2558" t="s">
        <v>345</v>
      </c>
      <c r="M2558" s="3" t="s">
        <v>2078</v>
      </c>
    </row>
    <row r="2559" spans="1:13" hidden="1" x14ac:dyDescent="0.25">
      <c r="A2559" s="1" t="str">
        <f>VLOOKUP(Table2[[#This Row],[Prod Line ]],Lists!A:E,5,0)</f>
        <v>d</v>
      </c>
      <c r="B2559" s="1">
        <v>44599</v>
      </c>
      <c r="C2559" s="1">
        <v>44597</v>
      </c>
      <c r="D2559" s="1" t="s">
        <v>62</v>
      </c>
      <c r="E2559" s="2" t="s">
        <v>406</v>
      </c>
      <c r="F2559" s="1"/>
      <c r="G2559" s="2">
        <v>26</v>
      </c>
      <c r="H2559" s="1"/>
      <c r="I2559" t="s">
        <v>1</v>
      </c>
      <c r="J2559" t="s">
        <v>2</v>
      </c>
      <c r="K2559" t="s">
        <v>14</v>
      </c>
      <c r="L2559" t="s">
        <v>349</v>
      </c>
      <c r="M2559" s="3" t="s">
        <v>2079</v>
      </c>
    </row>
    <row r="2560" spans="1:13" x14ac:dyDescent="0.25">
      <c r="A2560" s="1" t="str">
        <f>VLOOKUP(Table2[[#This Row],[Prod Line ]],Lists!A:E,5,0)</f>
        <v>a</v>
      </c>
      <c r="B2560" s="1">
        <v>44600</v>
      </c>
      <c r="C2560" s="1">
        <v>44598</v>
      </c>
      <c r="D2560" s="1" t="s">
        <v>56</v>
      </c>
      <c r="E2560" s="2" t="s">
        <v>406</v>
      </c>
      <c r="F2560" s="1"/>
      <c r="G2560" s="2">
        <v>16</v>
      </c>
      <c r="H2560" s="1"/>
      <c r="I2560" t="s">
        <v>0</v>
      </c>
      <c r="J2560" t="s">
        <v>65</v>
      </c>
      <c r="K2560" t="s">
        <v>3</v>
      </c>
      <c r="L2560" t="s">
        <v>70</v>
      </c>
      <c r="M2560" s="3" t="s">
        <v>2080</v>
      </c>
    </row>
    <row r="2561" spans="1:13" x14ac:dyDescent="0.25">
      <c r="A2561" s="1" t="str">
        <f>VLOOKUP(Table2[[#This Row],[Prod Line ]],Lists!A:E,5,0)</f>
        <v>a</v>
      </c>
      <c r="B2561" s="1">
        <v>44600</v>
      </c>
      <c r="C2561" s="1">
        <v>44598</v>
      </c>
      <c r="D2561" s="1" t="s">
        <v>56</v>
      </c>
      <c r="E2561" s="2" t="s">
        <v>406</v>
      </c>
      <c r="F2561" s="1"/>
      <c r="G2561" s="2">
        <v>9</v>
      </c>
      <c r="H2561" s="1"/>
      <c r="I2561" t="s">
        <v>0</v>
      </c>
      <c r="J2561" t="s">
        <v>65</v>
      </c>
      <c r="K2561" t="s">
        <v>3</v>
      </c>
      <c r="L2561" t="s">
        <v>70</v>
      </c>
      <c r="M2561" s="3" t="s">
        <v>441</v>
      </c>
    </row>
    <row r="2562" spans="1:13" hidden="1" x14ac:dyDescent="0.25">
      <c r="A2562" s="1" t="str">
        <f>VLOOKUP(Table2[[#This Row],[Prod Line ]],Lists!A:E,5,0)</f>
        <v>a</v>
      </c>
      <c r="B2562" s="1">
        <v>44600</v>
      </c>
      <c r="C2562" s="1">
        <v>44598</v>
      </c>
      <c r="D2562" s="1" t="s">
        <v>56</v>
      </c>
      <c r="E2562" s="2" t="s">
        <v>406</v>
      </c>
      <c r="F2562" s="1"/>
      <c r="G2562" s="2">
        <v>13</v>
      </c>
      <c r="H2562" s="1"/>
      <c r="I2562" t="s">
        <v>1</v>
      </c>
      <c r="J2562" t="s">
        <v>64</v>
      </c>
      <c r="K2562" t="s">
        <v>370</v>
      </c>
      <c r="L2562" t="s">
        <v>72</v>
      </c>
      <c r="M2562" s="3" t="s">
        <v>2081</v>
      </c>
    </row>
    <row r="2563" spans="1:13" hidden="1" x14ac:dyDescent="0.25">
      <c r="A2563" s="1" t="str">
        <f>VLOOKUP(Table2[[#This Row],[Prod Line ]],Lists!A:E,5,0)</f>
        <v>b</v>
      </c>
      <c r="B2563" s="1">
        <v>44600</v>
      </c>
      <c r="C2563" s="1">
        <v>44598</v>
      </c>
      <c r="D2563" s="1" t="s">
        <v>58</v>
      </c>
      <c r="E2563" s="2" t="s">
        <v>406</v>
      </c>
      <c r="F2563" s="1"/>
      <c r="G2563" s="2">
        <v>20</v>
      </c>
      <c r="H2563" s="1"/>
      <c r="I2563" t="s">
        <v>1</v>
      </c>
      <c r="J2563" t="s">
        <v>64</v>
      </c>
      <c r="L2563" t="s">
        <v>72</v>
      </c>
      <c r="M2563" s="3" t="s">
        <v>1225</v>
      </c>
    </row>
    <row r="2564" spans="1:13" ht="16.5" hidden="1" customHeight="1" x14ac:dyDescent="0.25">
      <c r="A2564" s="1" t="str">
        <f>VLOOKUP(Table2[[#This Row],[Prod Line ]],Lists!A:E,5,0)</f>
        <v>c</v>
      </c>
      <c r="B2564" s="1">
        <v>44600</v>
      </c>
      <c r="C2564" s="1">
        <v>44598</v>
      </c>
      <c r="D2564" s="1" t="s">
        <v>60</v>
      </c>
      <c r="E2564" s="2" t="s">
        <v>404</v>
      </c>
      <c r="F2564" s="1"/>
      <c r="G2564" s="2">
        <v>16</v>
      </c>
      <c r="H2564" s="1"/>
      <c r="I2564" t="s">
        <v>1</v>
      </c>
      <c r="J2564" t="s">
        <v>64</v>
      </c>
      <c r="K2564" t="s">
        <v>381</v>
      </c>
      <c r="L2564" t="s">
        <v>72</v>
      </c>
      <c r="M2564" s="3" t="s">
        <v>575</v>
      </c>
    </row>
    <row r="2565" spans="1:13" hidden="1" x14ac:dyDescent="0.25">
      <c r="A2565" s="1" t="str">
        <f>VLOOKUP(Table2[[#This Row],[Prod Line ]],Lists!A:E,5,0)</f>
        <v>c</v>
      </c>
      <c r="B2565" s="1">
        <v>44600</v>
      </c>
      <c r="C2565" s="1">
        <v>44598</v>
      </c>
      <c r="D2565" s="1" t="s">
        <v>60</v>
      </c>
      <c r="E2565" s="2" t="s">
        <v>404</v>
      </c>
      <c r="F2565" s="1"/>
      <c r="G2565" s="2">
        <v>7</v>
      </c>
      <c r="H2565" s="1"/>
      <c r="I2565" t="s">
        <v>1</v>
      </c>
      <c r="J2565" t="s">
        <v>64</v>
      </c>
      <c r="K2565" t="s">
        <v>368</v>
      </c>
      <c r="L2565" t="s">
        <v>407</v>
      </c>
      <c r="M2565" s="3" t="s">
        <v>2090</v>
      </c>
    </row>
    <row r="2566" spans="1:13" hidden="1" x14ac:dyDescent="0.25">
      <c r="A2566" s="1" t="str">
        <f>VLOOKUP(Table2[[#This Row],[Prod Line ]],Lists!A:E,5,0)</f>
        <v>d</v>
      </c>
      <c r="B2566" s="1">
        <v>44600</v>
      </c>
      <c r="C2566" s="1">
        <v>44598</v>
      </c>
      <c r="D2566" s="1" t="s">
        <v>62</v>
      </c>
      <c r="E2566" s="2" t="s">
        <v>404</v>
      </c>
      <c r="F2566" s="1"/>
      <c r="G2566" s="2">
        <v>30</v>
      </c>
      <c r="H2566" s="1"/>
      <c r="I2566" t="s">
        <v>1</v>
      </c>
      <c r="J2566" t="s">
        <v>2</v>
      </c>
      <c r="K2566" t="s">
        <v>19</v>
      </c>
      <c r="L2566" t="s">
        <v>72</v>
      </c>
      <c r="M2566" s="3" t="s">
        <v>2083</v>
      </c>
    </row>
    <row r="2567" spans="1:13" hidden="1" x14ac:dyDescent="0.25">
      <c r="A2567" s="1" t="str">
        <f>VLOOKUP(Table2[[#This Row],[Prod Line ]],Lists!A:E,5,0)</f>
        <v>d</v>
      </c>
      <c r="B2567" s="1">
        <v>44600</v>
      </c>
      <c r="C2567" s="1">
        <v>44598</v>
      </c>
      <c r="D2567" s="1" t="s">
        <v>62</v>
      </c>
      <c r="E2567" s="2" t="s">
        <v>405</v>
      </c>
      <c r="F2567" s="1"/>
      <c r="G2567" s="2">
        <v>2</v>
      </c>
      <c r="H2567" s="1"/>
      <c r="I2567" t="s">
        <v>1</v>
      </c>
      <c r="J2567" t="s">
        <v>2</v>
      </c>
      <c r="K2567" t="s">
        <v>19</v>
      </c>
      <c r="L2567" t="s">
        <v>349</v>
      </c>
      <c r="M2567" s="3" t="s">
        <v>2084</v>
      </c>
    </row>
    <row r="2568" spans="1:13" x14ac:dyDescent="0.25">
      <c r="A2568" s="1" t="str">
        <f>VLOOKUP(Table2[[#This Row],[Prod Line ]],Lists!A:E,5,0)</f>
        <v>d</v>
      </c>
      <c r="B2568" s="1">
        <v>44600</v>
      </c>
      <c r="C2568" s="1">
        <v>44598</v>
      </c>
      <c r="D2568" s="1" t="s">
        <v>62</v>
      </c>
      <c r="E2568" s="2" t="s">
        <v>405</v>
      </c>
      <c r="F2568" s="1"/>
      <c r="G2568" s="2">
        <v>10</v>
      </c>
      <c r="H2568" s="1"/>
      <c r="I2568" t="s">
        <v>0</v>
      </c>
      <c r="J2568" t="s">
        <v>5</v>
      </c>
      <c r="K2568" t="s">
        <v>397</v>
      </c>
      <c r="L2568" t="s">
        <v>70</v>
      </c>
      <c r="M2568" s="3" t="s">
        <v>2085</v>
      </c>
    </row>
    <row r="2569" spans="1:13" hidden="1" x14ac:dyDescent="0.25">
      <c r="A2569" s="1" t="str">
        <f>VLOOKUP(Table2[[#This Row],[Prod Line ]],Lists!A:E,5,0)</f>
        <v>c</v>
      </c>
      <c r="B2569" s="1">
        <v>44602</v>
      </c>
      <c r="C2569" s="1">
        <v>44600</v>
      </c>
      <c r="D2569" s="1" t="s">
        <v>60</v>
      </c>
      <c r="E2569" s="2" t="s">
        <v>404</v>
      </c>
      <c r="F2569" s="1"/>
      <c r="G2569" s="2">
        <v>8</v>
      </c>
      <c r="H2569" s="1"/>
      <c r="I2569" t="s">
        <v>1</v>
      </c>
      <c r="J2569" t="s">
        <v>2</v>
      </c>
      <c r="K2569" t="s">
        <v>377</v>
      </c>
      <c r="L2569" t="s">
        <v>349</v>
      </c>
      <c r="M2569" s="3" t="s">
        <v>2086</v>
      </c>
    </row>
    <row r="2570" spans="1:13" hidden="1" x14ac:dyDescent="0.25">
      <c r="A2570" s="1" t="str">
        <f>VLOOKUP(Table2[[#This Row],[Prod Line ]],Lists!A:E,5,0)</f>
        <v>c</v>
      </c>
      <c r="B2570" s="1">
        <v>44602</v>
      </c>
      <c r="C2570" s="1">
        <v>44600</v>
      </c>
      <c r="D2570" s="1" t="s">
        <v>60</v>
      </c>
      <c r="E2570" s="2" t="s">
        <v>404</v>
      </c>
      <c r="F2570" s="1"/>
      <c r="G2570" s="2">
        <v>21</v>
      </c>
      <c r="H2570" s="1"/>
      <c r="I2570" t="s">
        <v>1</v>
      </c>
      <c r="J2570" t="s">
        <v>64</v>
      </c>
      <c r="K2570" t="s">
        <v>381</v>
      </c>
      <c r="L2570" t="s">
        <v>407</v>
      </c>
      <c r="M2570" s="3" t="s">
        <v>750</v>
      </c>
    </row>
    <row r="2571" spans="1:13" x14ac:dyDescent="0.25">
      <c r="A2571" s="1" t="str">
        <f>VLOOKUP(Table2[[#This Row],[Prod Line ]],Lists!A:E,5,0)</f>
        <v>a</v>
      </c>
      <c r="B2571" s="1">
        <v>44602</v>
      </c>
      <c r="C2571" s="1">
        <v>44600</v>
      </c>
      <c r="D2571" s="1" t="s">
        <v>56</v>
      </c>
      <c r="E2571" s="2" t="s">
        <v>404</v>
      </c>
      <c r="F2571" s="1"/>
      <c r="G2571" s="2">
        <v>18</v>
      </c>
      <c r="H2571" s="1"/>
      <c r="I2571" t="s">
        <v>0</v>
      </c>
      <c r="J2571" t="s">
        <v>64</v>
      </c>
      <c r="K2571" t="s">
        <v>363</v>
      </c>
      <c r="L2571" t="s">
        <v>69</v>
      </c>
      <c r="M2571" s="3" t="s">
        <v>2087</v>
      </c>
    </row>
    <row r="2572" spans="1:13" x14ac:dyDescent="0.25">
      <c r="A2572" s="1" t="str">
        <f>VLOOKUP(Table2[[#This Row],[Prod Line ]],Lists!A:E,5,0)</f>
        <v>a</v>
      </c>
      <c r="B2572" s="1">
        <v>44602</v>
      </c>
      <c r="C2572" s="1">
        <v>44600</v>
      </c>
      <c r="D2572" s="1" t="s">
        <v>56</v>
      </c>
      <c r="E2572" s="2" t="s">
        <v>404</v>
      </c>
      <c r="F2572" s="1"/>
      <c r="G2572" s="2">
        <v>107</v>
      </c>
      <c r="H2572" s="1"/>
      <c r="I2572" t="s">
        <v>0</v>
      </c>
      <c r="J2572" t="s">
        <v>65</v>
      </c>
      <c r="K2572" t="s">
        <v>3</v>
      </c>
      <c r="L2572" t="s">
        <v>70</v>
      </c>
      <c r="M2572" s="3" t="s">
        <v>2088</v>
      </c>
    </row>
    <row r="2573" spans="1:13" hidden="1" x14ac:dyDescent="0.25">
      <c r="A2573" s="1" t="str">
        <f>VLOOKUP(Table2[[#This Row],[Prod Line ]],Lists!A:E,5,0)</f>
        <v>a</v>
      </c>
      <c r="B2573" s="1">
        <v>44602</v>
      </c>
      <c r="C2573" s="1">
        <v>44600</v>
      </c>
      <c r="D2573" s="1" t="s">
        <v>56</v>
      </c>
      <c r="E2573" s="2" t="s">
        <v>404</v>
      </c>
      <c r="F2573" s="1"/>
      <c r="G2573" s="2">
        <v>7</v>
      </c>
      <c r="H2573" s="1"/>
      <c r="I2573" t="s">
        <v>1</v>
      </c>
      <c r="J2573" t="s">
        <v>2</v>
      </c>
      <c r="K2573" t="s">
        <v>19</v>
      </c>
      <c r="L2573" t="s">
        <v>349</v>
      </c>
      <c r="M2573" s="3" t="s">
        <v>575</v>
      </c>
    </row>
    <row r="2574" spans="1:13" x14ac:dyDescent="0.25">
      <c r="A2574" s="1" t="str">
        <f>VLOOKUP(Table2[[#This Row],[Prod Line ]],Lists!A:E,5,0)</f>
        <v>a</v>
      </c>
      <c r="B2574" s="1">
        <v>44602</v>
      </c>
      <c r="C2574" s="1">
        <v>44600</v>
      </c>
      <c r="D2574" s="1" t="s">
        <v>56</v>
      </c>
      <c r="E2574" s="2" t="s">
        <v>404</v>
      </c>
      <c r="F2574" s="1"/>
      <c r="G2574" s="2">
        <v>19</v>
      </c>
      <c r="H2574" s="1"/>
      <c r="I2574" t="s">
        <v>0</v>
      </c>
      <c r="J2574" t="s">
        <v>64</v>
      </c>
      <c r="K2574" t="s">
        <v>365</v>
      </c>
      <c r="L2574" t="s">
        <v>70</v>
      </c>
      <c r="M2574" s="3" t="s">
        <v>2033</v>
      </c>
    </row>
    <row r="2575" spans="1:13" hidden="1" x14ac:dyDescent="0.25">
      <c r="A2575" s="1" t="str">
        <f>VLOOKUP(Table2[[#This Row],[Prod Line ]],Lists!A:E,5,0)</f>
        <v>b</v>
      </c>
      <c r="B2575" s="1">
        <v>44602</v>
      </c>
      <c r="C2575" s="1">
        <v>44600</v>
      </c>
      <c r="D2575" s="1" t="s">
        <v>58</v>
      </c>
      <c r="E2575" s="2" t="s">
        <v>404</v>
      </c>
      <c r="F2575" s="1"/>
      <c r="G2575" s="2">
        <v>8</v>
      </c>
      <c r="H2575" s="1"/>
      <c r="I2575" t="s">
        <v>1</v>
      </c>
      <c r="J2575" t="s">
        <v>64</v>
      </c>
      <c r="K2575" t="s">
        <v>23</v>
      </c>
      <c r="L2575" t="s">
        <v>407</v>
      </c>
      <c r="M2575" s="3" t="s">
        <v>2089</v>
      </c>
    </row>
    <row r="2576" spans="1:13" hidden="1" x14ac:dyDescent="0.25">
      <c r="A2576" s="1" t="str">
        <f>VLOOKUP(Table2[[#This Row],[Prod Line ]],Lists!A:E,5,0)</f>
        <v>b</v>
      </c>
      <c r="B2576" s="1">
        <v>44602</v>
      </c>
      <c r="C2576" s="1">
        <v>44600</v>
      </c>
      <c r="D2576" s="1" t="s">
        <v>58</v>
      </c>
      <c r="E2576" s="2" t="s">
        <v>404</v>
      </c>
      <c r="F2576" s="1"/>
      <c r="G2576" s="2">
        <v>12</v>
      </c>
      <c r="H2576" s="1"/>
      <c r="I2576" t="s">
        <v>1</v>
      </c>
      <c r="J2576" t="s">
        <v>64</v>
      </c>
      <c r="K2576" t="s">
        <v>22</v>
      </c>
      <c r="L2576" t="s">
        <v>407</v>
      </c>
      <c r="M2576" s="3" t="s">
        <v>1779</v>
      </c>
    </row>
    <row r="2577" spans="1:13" hidden="1" x14ac:dyDescent="0.25">
      <c r="A2577" s="1" t="str">
        <f>VLOOKUP(Table2[[#This Row],[Prod Line ]],Lists!A:E,5,0)</f>
        <v>c</v>
      </c>
      <c r="B2577" s="1">
        <v>44602</v>
      </c>
      <c r="C2577" s="1">
        <v>44600</v>
      </c>
      <c r="D2577" s="1" t="s">
        <v>60</v>
      </c>
      <c r="E2577" s="2" t="s">
        <v>404</v>
      </c>
      <c r="F2577" s="1"/>
      <c r="G2577" s="2">
        <v>7</v>
      </c>
      <c r="H2577" s="1"/>
      <c r="I2577" t="s">
        <v>1</v>
      </c>
      <c r="J2577" t="s">
        <v>67</v>
      </c>
      <c r="K2577" t="s">
        <v>67</v>
      </c>
      <c r="L2577" t="s">
        <v>407</v>
      </c>
      <c r="M2577" s="3" t="s">
        <v>2082</v>
      </c>
    </row>
    <row r="2578" spans="1:13" hidden="1" x14ac:dyDescent="0.25">
      <c r="A2578" s="1" t="str">
        <f>VLOOKUP(Table2[[#This Row],[Prod Line ]],Lists!A:E,5,0)</f>
        <v>c</v>
      </c>
      <c r="B2578" s="1">
        <v>44602</v>
      </c>
      <c r="C2578" s="1">
        <v>44600</v>
      </c>
      <c r="D2578" s="1" t="s">
        <v>60</v>
      </c>
      <c r="E2578" s="2" t="s">
        <v>404</v>
      </c>
      <c r="F2578" s="1"/>
      <c r="G2578" s="2">
        <v>8</v>
      </c>
      <c r="H2578" s="1"/>
      <c r="I2578" t="s">
        <v>1</v>
      </c>
      <c r="J2578" t="s">
        <v>2</v>
      </c>
      <c r="K2578" t="s">
        <v>14</v>
      </c>
      <c r="L2578" t="s">
        <v>349</v>
      </c>
      <c r="M2578" s="3" t="s">
        <v>575</v>
      </c>
    </row>
    <row r="2579" spans="1:13" hidden="1" x14ac:dyDescent="0.25">
      <c r="A2579" s="1" t="str">
        <f>VLOOKUP(Table2[[#This Row],[Prod Line ]],Lists!A:E,5,0)</f>
        <v>c</v>
      </c>
      <c r="B2579" s="1">
        <v>44602</v>
      </c>
      <c r="C2579" s="1">
        <v>44600</v>
      </c>
      <c r="D2579" s="1" t="s">
        <v>60</v>
      </c>
      <c r="E2579" s="2" t="s">
        <v>404</v>
      </c>
      <c r="F2579" s="1"/>
      <c r="G2579" s="2">
        <v>21</v>
      </c>
      <c r="H2579" s="1"/>
      <c r="I2579" t="s">
        <v>1</v>
      </c>
      <c r="J2579" t="s">
        <v>64</v>
      </c>
      <c r="K2579" t="s">
        <v>381</v>
      </c>
      <c r="L2579" t="s">
        <v>407</v>
      </c>
      <c r="M2579" s="3" t="s">
        <v>655</v>
      </c>
    </row>
    <row r="2580" spans="1:13" hidden="1" x14ac:dyDescent="0.25">
      <c r="A2580" s="1" t="str">
        <f>VLOOKUP(Table2[[#This Row],[Prod Line ]],Lists!A:E,5,0)</f>
        <v>c</v>
      </c>
      <c r="B2580" s="1">
        <v>44603</v>
      </c>
      <c r="C2580" s="1">
        <v>44601</v>
      </c>
      <c r="D2580" s="1" t="s">
        <v>60</v>
      </c>
      <c r="E2580" s="2" t="s">
        <v>404</v>
      </c>
      <c r="F2580" s="1"/>
      <c r="G2580" s="2">
        <v>8</v>
      </c>
      <c r="H2580" s="1"/>
      <c r="I2580" t="s">
        <v>1</v>
      </c>
      <c r="J2580" t="s">
        <v>67</v>
      </c>
      <c r="K2580" t="s">
        <v>67</v>
      </c>
      <c r="L2580" t="s">
        <v>407</v>
      </c>
      <c r="M2580" s="3" t="s">
        <v>2082</v>
      </c>
    </row>
    <row r="2581" spans="1:13" hidden="1" x14ac:dyDescent="0.25">
      <c r="A2581" s="1" t="str">
        <f>VLOOKUP(Table2[[#This Row],[Prod Line ]],Lists!A:E,5,0)</f>
        <v>c</v>
      </c>
      <c r="B2581" s="1">
        <v>44603</v>
      </c>
      <c r="C2581" s="1">
        <v>44601</v>
      </c>
      <c r="D2581" s="1" t="s">
        <v>60</v>
      </c>
      <c r="E2581" s="2" t="s">
        <v>404</v>
      </c>
      <c r="F2581" s="1"/>
      <c r="G2581" s="2">
        <v>8</v>
      </c>
      <c r="H2581" s="1"/>
      <c r="I2581" t="s">
        <v>1</v>
      </c>
      <c r="J2581" t="s">
        <v>2</v>
      </c>
      <c r="K2581" t="s">
        <v>378</v>
      </c>
      <c r="L2581" t="s">
        <v>349</v>
      </c>
      <c r="M2581" s="3" t="s">
        <v>575</v>
      </c>
    </row>
    <row r="2582" spans="1:13" x14ac:dyDescent="0.25">
      <c r="A2582" s="1" t="str">
        <f>VLOOKUP(Table2[[#This Row],[Prod Line ]],Lists!A:E,5,0)</f>
        <v>a</v>
      </c>
      <c r="B2582" s="1">
        <v>44603</v>
      </c>
      <c r="C2582" s="1">
        <v>44601</v>
      </c>
      <c r="D2582" s="1" t="s">
        <v>56</v>
      </c>
      <c r="E2582" s="2" t="s">
        <v>406</v>
      </c>
      <c r="F2582" s="1"/>
      <c r="G2582" s="2">
        <v>100</v>
      </c>
      <c r="H2582" s="1"/>
      <c r="I2582" t="s">
        <v>0</v>
      </c>
      <c r="J2582" t="s">
        <v>66</v>
      </c>
      <c r="K2582" t="s">
        <v>4</v>
      </c>
      <c r="L2582" t="s">
        <v>70</v>
      </c>
      <c r="M2582" s="3" t="s">
        <v>922</v>
      </c>
    </row>
    <row r="2583" spans="1:13" x14ac:dyDescent="0.25">
      <c r="A2583" s="1" t="str">
        <f>VLOOKUP(Table2[[#This Row],[Prod Line ]],Lists!A:E,5,0)</f>
        <v>a</v>
      </c>
      <c r="B2583" s="1">
        <v>44604</v>
      </c>
      <c r="C2583" s="1">
        <v>44602</v>
      </c>
      <c r="D2583" s="1" t="s">
        <v>56</v>
      </c>
      <c r="E2583" s="2" t="s">
        <v>405</v>
      </c>
      <c r="F2583" s="1"/>
      <c r="G2583" s="2">
        <v>10</v>
      </c>
      <c r="H2583" s="1"/>
      <c r="I2583" t="s">
        <v>0</v>
      </c>
      <c r="J2583" t="s">
        <v>2</v>
      </c>
      <c r="K2583" t="s">
        <v>14</v>
      </c>
      <c r="L2583" t="s">
        <v>70</v>
      </c>
      <c r="M2583" s="3" t="s">
        <v>2091</v>
      </c>
    </row>
    <row r="2584" spans="1:13" hidden="1" x14ac:dyDescent="0.25">
      <c r="A2584" s="1" t="str">
        <f>VLOOKUP(Table2[[#This Row],[Prod Line ]],Lists!A:E,5,0)</f>
        <v>c</v>
      </c>
      <c r="B2584" s="1">
        <v>44604</v>
      </c>
      <c r="C2584" s="1">
        <v>44602</v>
      </c>
      <c r="D2584" s="1" t="s">
        <v>60</v>
      </c>
      <c r="E2584" s="2" t="s">
        <v>404</v>
      </c>
      <c r="F2584" s="1"/>
      <c r="G2584" s="2">
        <v>6</v>
      </c>
      <c r="H2584" s="1"/>
      <c r="I2584" t="s">
        <v>1</v>
      </c>
      <c r="J2584" t="s">
        <v>2</v>
      </c>
      <c r="K2584" t="s">
        <v>14</v>
      </c>
      <c r="L2584" t="s">
        <v>349</v>
      </c>
      <c r="M2584" s="3" t="s">
        <v>575</v>
      </c>
    </row>
    <row r="2585" spans="1:13" hidden="1" x14ac:dyDescent="0.25">
      <c r="A2585" s="1" t="str">
        <f>VLOOKUP(Table2[[#This Row],[Prod Line ]],Lists!A:E,5,0)</f>
        <v>d</v>
      </c>
      <c r="B2585" s="1">
        <v>44604</v>
      </c>
      <c r="C2585" s="1">
        <v>44602</v>
      </c>
      <c r="D2585" s="1" t="s">
        <v>62</v>
      </c>
      <c r="E2585" s="2" t="s">
        <v>404</v>
      </c>
      <c r="F2585" s="1"/>
      <c r="G2585" s="2">
        <v>7</v>
      </c>
      <c r="H2585" s="1"/>
      <c r="I2585" t="s">
        <v>1</v>
      </c>
      <c r="J2585" t="s">
        <v>2</v>
      </c>
      <c r="K2585" t="s">
        <v>19</v>
      </c>
      <c r="L2585" t="s">
        <v>407</v>
      </c>
      <c r="M2585" s="3" t="s">
        <v>1779</v>
      </c>
    </row>
    <row r="2586" spans="1:13" hidden="1" x14ac:dyDescent="0.25">
      <c r="A2586" s="1" t="str">
        <f>VLOOKUP(Table2[[#This Row],[Prod Line ]],Lists!A:E,5,0)</f>
        <v>a</v>
      </c>
      <c r="B2586" s="1">
        <v>44604</v>
      </c>
      <c r="C2586" s="1">
        <v>44602</v>
      </c>
      <c r="D2586" s="1" t="s">
        <v>56</v>
      </c>
      <c r="E2586" s="2" t="s">
        <v>406</v>
      </c>
      <c r="F2586" s="1"/>
      <c r="G2586" s="2">
        <v>45</v>
      </c>
      <c r="H2586" s="1"/>
      <c r="I2586" t="s">
        <v>1</v>
      </c>
      <c r="J2586" t="s">
        <v>5</v>
      </c>
      <c r="K2586" t="s">
        <v>376</v>
      </c>
      <c r="L2586" t="s">
        <v>407</v>
      </c>
      <c r="M2586" s="3" t="s">
        <v>2092</v>
      </c>
    </row>
    <row r="2587" spans="1:13" x14ac:dyDescent="0.25">
      <c r="A2587" s="1" t="str">
        <f>VLOOKUP(Table2[[#This Row],[Prod Line ]],Lists!A:E,5,0)</f>
        <v>a</v>
      </c>
      <c r="B2587" s="1">
        <v>44604</v>
      </c>
      <c r="C2587" s="1">
        <v>44602</v>
      </c>
      <c r="D2587" s="1" t="s">
        <v>56</v>
      </c>
      <c r="E2587" s="2" t="s">
        <v>406</v>
      </c>
      <c r="F2587" s="1"/>
      <c r="G2587" s="2">
        <v>7</v>
      </c>
      <c r="H2587" s="1"/>
      <c r="I2587" t="s">
        <v>0</v>
      </c>
      <c r="J2587" t="s">
        <v>65</v>
      </c>
      <c r="K2587" t="s">
        <v>3</v>
      </c>
      <c r="L2587" t="s">
        <v>70</v>
      </c>
      <c r="M2587" s="3" t="s">
        <v>1264</v>
      </c>
    </row>
    <row r="2588" spans="1:13" hidden="1" x14ac:dyDescent="0.25">
      <c r="A2588" s="1" t="str">
        <f>VLOOKUP(Table2[[#This Row],[Prod Line ]],Lists!A:E,5,0)</f>
        <v>b</v>
      </c>
      <c r="B2588" s="1">
        <v>44604</v>
      </c>
      <c r="C2588" s="1">
        <v>44602</v>
      </c>
      <c r="D2588" s="1" t="s">
        <v>58</v>
      </c>
      <c r="E2588" s="2" t="s">
        <v>406</v>
      </c>
      <c r="F2588" s="1"/>
      <c r="G2588" s="2">
        <v>29</v>
      </c>
      <c r="H2588" s="1"/>
      <c r="I2588" t="s">
        <v>1</v>
      </c>
      <c r="J2588" t="s">
        <v>2</v>
      </c>
      <c r="K2588" t="s">
        <v>19</v>
      </c>
      <c r="L2588" t="s">
        <v>407</v>
      </c>
      <c r="M2588" s="3" t="s">
        <v>1947</v>
      </c>
    </row>
    <row r="2589" spans="1:13" hidden="1" x14ac:dyDescent="0.25">
      <c r="A2589" s="1" t="str">
        <f>VLOOKUP(Table2[[#This Row],[Prod Line ]],Lists!A:E,5,0)</f>
        <v>b</v>
      </c>
      <c r="B2589" s="1">
        <v>44604</v>
      </c>
      <c r="C2589" s="1">
        <v>44602</v>
      </c>
      <c r="D2589" s="1" t="s">
        <v>58</v>
      </c>
      <c r="E2589" s="2" t="s">
        <v>406</v>
      </c>
      <c r="F2589" s="1"/>
      <c r="G2589" s="2">
        <v>5</v>
      </c>
      <c r="H2589" s="1"/>
      <c r="I2589" t="s">
        <v>1</v>
      </c>
      <c r="J2589" t="s">
        <v>67</v>
      </c>
      <c r="K2589" t="s">
        <v>67</v>
      </c>
      <c r="L2589" t="s">
        <v>407</v>
      </c>
      <c r="M2589" s="3" t="s">
        <v>441</v>
      </c>
    </row>
    <row r="2590" spans="1:13" hidden="1" x14ac:dyDescent="0.25">
      <c r="A2590" s="1" t="str">
        <f>VLOOKUP(Table2[[#This Row],[Prod Line ]],Lists!A:E,5,0)</f>
        <v>b</v>
      </c>
      <c r="B2590" s="1">
        <v>44604</v>
      </c>
      <c r="C2590" s="1">
        <v>44602</v>
      </c>
      <c r="D2590" s="1" t="s">
        <v>58</v>
      </c>
      <c r="E2590" s="2" t="s">
        <v>406</v>
      </c>
      <c r="F2590" s="1"/>
      <c r="G2590" s="2">
        <v>10</v>
      </c>
      <c r="H2590" s="1"/>
      <c r="I2590" t="s">
        <v>1</v>
      </c>
      <c r="J2590" t="s">
        <v>67</v>
      </c>
      <c r="K2590" t="s">
        <v>67</v>
      </c>
      <c r="L2590" t="s">
        <v>407</v>
      </c>
      <c r="M2590" s="3" t="s">
        <v>2093</v>
      </c>
    </row>
    <row r="2591" spans="1:13" hidden="1" x14ac:dyDescent="0.25">
      <c r="A2591" s="1" t="str">
        <f>VLOOKUP(Table2[[#This Row],[Prod Line ]],Lists!A:E,5,0)</f>
        <v>d</v>
      </c>
      <c r="B2591" s="1">
        <v>44604</v>
      </c>
      <c r="C2591" s="1">
        <v>44602</v>
      </c>
      <c r="D2591" s="1" t="s">
        <v>62</v>
      </c>
      <c r="E2591" s="2" t="s">
        <v>406</v>
      </c>
      <c r="F2591" s="1"/>
      <c r="G2591" s="2">
        <v>8</v>
      </c>
      <c r="H2591" s="1"/>
      <c r="I2591" t="s">
        <v>1</v>
      </c>
      <c r="J2591" t="s">
        <v>64</v>
      </c>
      <c r="K2591" t="s">
        <v>379</v>
      </c>
      <c r="L2591" t="s">
        <v>72</v>
      </c>
      <c r="M2591" s="3" t="s">
        <v>573</v>
      </c>
    </row>
    <row r="2592" spans="1:13" x14ac:dyDescent="0.25">
      <c r="A2592" s="1" t="str">
        <f>VLOOKUP(Table2[[#This Row],[Prod Line ]],Lists!A:E,5,0)</f>
        <v>a</v>
      </c>
      <c r="B2592" s="1">
        <v>44604</v>
      </c>
      <c r="C2592" s="1">
        <v>44602</v>
      </c>
      <c r="D2592" s="1" t="s">
        <v>56</v>
      </c>
      <c r="E2592" s="2" t="s">
        <v>406</v>
      </c>
      <c r="F2592" s="1"/>
      <c r="G2592" s="2">
        <v>40</v>
      </c>
      <c r="H2592" s="1"/>
      <c r="I2592" t="s">
        <v>0</v>
      </c>
      <c r="J2592" t="s">
        <v>5</v>
      </c>
      <c r="K2592" t="s">
        <v>376</v>
      </c>
      <c r="L2592" t="s">
        <v>70</v>
      </c>
      <c r="M2592" s="3" t="s">
        <v>518</v>
      </c>
    </row>
    <row r="2593" spans="1:13" x14ac:dyDescent="0.25">
      <c r="A2593" s="1" t="str">
        <f>VLOOKUP(Table2[[#This Row],[Prod Line ]],Lists!A:E,5,0)</f>
        <v>a</v>
      </c>
      <c r="B2593" s="1">
        <v>44604</v>
      </c>
      <c r="C2593" s="1">
        <v>44602</v>
      </c>
      <c r="D2593" s="1" t="s">
        <v>56</v>
      </c>
      <c r="E2593" s="2" t="s">
        <v>406</v>
      </c>
      <c r="F2593" s="1"/>
      <c r="G2593" s="2">
        <v>10</v>
      </c>
      <c r="H2593" s="1"/>
      <c r="I2593" t="s">
        <v>0</v>
      </c>
      <c r="J2593" t="s">
        <v>65</v>
      </c>
      <c r="K2593" t="s">
        <v>3</v>
      </c>
      <c r="L2593" t="s">
        <v>70</v>
      </c>
      <c r="M2593" s="3" t="s">
        <v>2094</v>
      </c>
    </row>
    <row r="2594" spans="1:13" hidden="1" x14ac:dyDescent="0.25">
      <c r="A2594" s="1" t="str">
        <f>VLOOKUP(Table2[[#This Row],[Prod Line ]],Lists!A:E,5,0)</f>
        <v>a</v>
      </c>
      <c r="B2594" s="1">
        <v>44604</v>
      </c>
      <c r="C2594" s="1">
        <v>44602</v>
      </c>
      <c r="D2594" s="1" t="s">
        <v>56</v>
      </c>
      <c r="E2594" s="2" t="s">
        <v>406</v>
      </c>
      <c r="F2594" s="1"/>
      <c r="G2594" s="2">
        <v>5</v>
      </c>
      <c r="H2594" s="1"/>
      <c r="I2594" t="s">
        <v>1</v>
      </c>
      <c r="J2594" t="s">
        <v>2</v>
      </c>
      <c r="K2594" t="s">
        <v>19</v>
      </c>
      <c r="L2594" t="s">
        <v>349</v>
      </c>
      <c r="M2594" s="3" t="s">
        <v>602</v>
      </c>
    </row>
    <row r="2595" spans="1:13" x14ac:dyDescent="0.25">
      <c r="A2595" s="1" t="str">
        <f>VLOOKUP(Table2[[#This Row],[Prod Line ]],Lists!A:E,5,0)</f>
        <v>b</v>
      </c>
      <c r="B2595" s="1">
        <v>44604</v>
      </c>
      <c r="C2595" s="1">
        <v>44602</v>
      </c>
      <c r="D2595" s="1" t="s">
        <v>58</v>
      </c>
      <c r="E2595" s="2" t="s">
        <v>404</v>
      </c>
      <c r="F2595" s="1"/>
      <c r="G2595" s="2">
        <v>10</v>
      </c>
      <c r="H2595" s="1"/>
      <c r="I2595" t="s">
        <v>0</v>
      </c>
      <c r="J2595" t="s">
        <v>67</v>
      </c>
      <c r="K2595" t="s">
        <v>67</v>
      </c>
      <c r="L2595" t="s">
        <v>70</v>
      </c>
      <c r="M2595" s="3" t="s">
        <v>1264</v>
      </c>
    </row>
    <row r="2596" spans="1:13" hidden="1" x14ac:dyDescent="0.25">
      <c r="A2596" s="1" t="str">
        <f>VLOOKUP(Table2[[#This Row],[Prod Line ]],Lists!A:E,5,0)</f>
        <v>b</v>
      </c>
      <c r="B2596" s="1">
        <v>44604</v>
      </c>
      <c r="C2596" s="1">
        <v>44602</v>
      </c>
      <c r="D2596" s="1" t="s">
        <v>58</v>
      </c>
      <c r="E2596" s="2" t="s">
        <v>404</v>
      </c>
      <c r="F2596" s="1"/>
      <c r="G2596" s="2">
        <v>2</v>
      </c>
      <c r="H2596" s="1"/>
      <c r="I2596" t="s">
        <v>1</v>
      </c>
      <c r="J2596" t="s">
        <v>64</v>
      </c>
      <c r="K2596" t="s">
        <v>22</v>
      </c>
      <c r="L2596" t="s">
        <v>441</v>
      </c>
      <c r="M2596" s="3" t="s">
        <v>441</v>
      </c>
    </row>
    <row r="2597" spans="1:13" x14ac:dyDescent="0.25">
      <c r="A2597" s="1" t="str">
        <f>VLOOKUP(Table2[[#This Row],[Prod Line ]],Lists!A:E,5,0)</f>
        <v>a</v>
      </c>
      <c r="B2597" s="1">
        <v>44606</v>
      </c>
      <c r="C2597" s="1">
        <v>44604</v>
      </c>
      <c r="D2597" s="1" t="s">
        <v>56</v>
      </c>
      <c r="E2597" s="2" t="s">
        <v>404</v>
      </c>
      <c r="F2597" s="1"/>
      <c r="G2597" s="2">
        <v>18</v>
      </c>
      <c r="H2597" s="1"/>
      <c r="I2597" t="s">
        <v>0</v>
      </c>
      <c r="J2597" t="s">
        <v>64</v>
      </c>
      <c r="K2597" t="s">
        <v>366</v>
      </c>
      <c r="L2597" t="s">
        <v>70</v>
      </c>
      <c r="M2597" s="3" t="s">
        <v>2095</v>
      </c>
    </row>
    <row r="2598" spans="1:13" hidden="1" x14ac:dyDescent="0.25">
      <c r="A2598" s="1" t="str">
        <f>VLOOKUP(Table2[[#This Row],[Prod Line ]],Lists!A:E,5,0)</f>
        <v>a</v>
      </c>
      <c r="B2598" s="1">
        <v>44606</v>
      </c>
      <c r="C2598" s="1">
        <v>44604</v>
      </c>
      <c r="D2598" s="1" t="s">
        <v>56</v>
      </c>
      <c r="E2598" s="2" t="s">
        <v>405</v>
      </c>
      <c r="F2598" s="1"/>
      <c r="G2598" s="2">
        <v>10</v>
      </c>
      <c r="H2598" s="1"/>
      <c r="I2598" t="s">
        <v>1</v>
      </c>
      <c r="J2598" t="s">
        <v>2</v>
      </c>
      <c r="K2598" t="s">
        <v>19</v>
      </c>
      <c r="L2598" t="s">
        <v>407</v>
      </c>
      <c r="M2598" s="3" t="s">
        <v>1346</v>
      </c>
    </row>
    <row r="2599" spans="1:13" hidden="1" x14ac:dyDescent="0.25">
      <c r="A2599" s="1" t="str">
        <f>VLOOKUP(Table2[[#This Row],[Prod Line ]],Lists!A:E,5,0)</f>
        <v>a</v>
      </c>
      <c r="B2599" s="1">
        <v>44606</v>
      </c>
      <c r="C2599" s="1">
        <v>44604</v>
      </c>
      <c r="D2599" s="1" t="s">
        <v>56</v>
      </c>
      <c r="E2599" s="2" t="s">
        <v>406</v>
      </c>
      <c r="F2599" s="1"/>
      <c r="G2599" s="2">
        <v>2</v>
      </c>
      <c r="H2599" s="1"/>
      <c r="I2599" t="s">
        <v>1</v>
      </c>
      <c r="J2599" t="s">
        <v>2</v>
      </c>
      <c r="K2599" t="s">
        <v>19</v>
      </c>
      <c r="L2599" t="s">
        <v>349</v>
      </c>
      <c r="M2599" s="3" t="s">
        <v>575</v>
      </c>
    </row>
    <row r="2600" spans="1:13" x14ac:dyDescent="0.25">
      <c r="A2600" s="1" t="str">
        <f>VLOOKUP(Table2[[#This Row],[Prod Line ]],Lists!A:E,5,0)</f>
        <v>b</v>
      </c>
      <c r="B2600" s="1">
        <v>44606</v>
      </c>
      <c r="C2600" s="1">
        <v>44604</v>
      </c>
      <c r="D2600" s="1" t="s">
        <v>58</v>
      </c>
      <c r="E2600" s="2" t="s">
        <v>406</v>
      </c>
      <c r="F2600" s="1"/>
      <c r="G2600" s="2">
        <v>65</v>
      </c>
      <c r="H2600" s="1"/>
      <c r="I2600" t="s">
        <v>0</v>
      </c>
      <c r="J2600" t="s">
        <v>26</v>
      </c>
      <c r="K2600" t="s">
        <v>26</v>
      </c>
      <c r="L2600" t="s">
        <v>82</v>
      </c>
      <c r="M2600" s="3" t="s">
        <v>2096</v>
      </c>
    </row>
    <row r="2601" spans="1:13" x14ac:dyDescent="0.25">
      <c r="A2601" s="1" t="str">
        <f>VLOOKUP(Table2[[#This Row],[Prod Line ]],Lists!A:E,5,0)</f>
        <v>b</v>
      </c>
      <c r="B2601" s="1">
        <v>44606</v>
      </c>
      <c r="C2601" s="1">
        <v>44604</v>
      </c>
      <c r="D2601" s="1" t="s">
        <v>58</v>
      </c>
      <c r="E2601" s="2" t="s">
        <v>406</v>
      </c>
      <c r="F2601" s="1"/>
      <c r="G2601" s="2">
        <v>20</v>
      </c>
      <c r="H2601" s="1"/>
      <c r="I2601" t="s">
        <v>0</v>
      </c>
      <c r="J2601" t="s">
        <v>66</v>
      </c>
      <c r="K2601" t="s">
        <v>4</v>
      </c>
      <c r="L2601" t="s">
        <v>70</v>
      </c>
      <c r="M2601" s="3" t="s">
        <v>922</v>
      </c>
    </row>
    <row r="2602" spans="1:13" hidden="1" x14ac:dyDescent="0.25">
      <c r="A2602" s="1" t="str">
        <f>VLOOKUP(Table2[[#This Row],[Prod Line ]],Lists!A:E,5,0)</f>
        <v>b</v>
      </c>
      <c r="B2602" s="1">
        <v>44606</v>
      </c>
      <c r="C2602" s="1">
        <v>44604</v>
      </c>
      <c r="D2602" s="1" t="s">
        <v>58</v>
      </c>
      <c r="E2602" s="2" t="s">
        <v>404</v>
      </c>
      <c r="F2602" s="1"/>
      <c r="G2602" s="2">
        <v>9</v>
      </c>
      <c r="H2602" s="1"/>
      <c r="I2602" t="s">
        <v>1</v>
      </c>
      <c r="J2602" t="s">
        <v>26</v>
      </c>
      <c r="K2602" t="s">
        <v>25</v>
      </c>
      <c r="L2602" t="s">
        <v>441</v>
      </c>
      <c r="M2602" s="3" t="s">
        <v>1894</v>
      </c>
    </row>
    <row r="2603" spans="1:13" hidden="1" x14ac:dyDescent="0.25">
      <c r="A2603" s="1" t="str">
        <f>VLOOKUP(Table2[[#This Row],[Prod Line ]],Lists!A:E,5,0)</f>
        <v>d</v>
      </c>
      <c r="B2603" s="1">
        <v>44606</v>
      </c>
      <c r="C2603" s="1">
        <v>44604</v>
      </c>
      <c r="D2603" s="1" t="s">
        <v>62</v>
      </c>
      <c r="E2603" s="2" t="s">
        <v>406</v>
      </c>
      <c r="F2603" s="1"/>
      <c r="G2603" s="2">
        <v>3</v>
      </c>
      <c r="H2603" s="1"/>
      <c r="I2603" t="s">
        <v>1</v>
      </c>
      <c r="J2603" t="s">
        <v>2</v>
      </c>
      <c r="K2603" t="s">
        <v>19</v>
      </c>
      <c r="L2603" t="s">
        <v>349</v>
      </c>
      <c r="M2603" s="3" t="s">
        <v>575</v>
      </c>
    </row>
    <row r="2604" spans="1:13" x14ac:dyDescent="0.25">
      <c r="A2604" s="1" t="str">
        <f>VLOOKUP(Table2[[#This Row],[Prod Line ]],Lists!A:E,5,0)</f>
        <v>d</v>
      </c>
      <c r="B2604" s="1">
        <v>44606</v>
      </c>
      <c r="C2604" s="1">
        <v>44604</v>
      </c>
      <c r="D2604" s="1" t="s">
        <v>62</v>
      </c>
      <c r="E2604" s="2" t="s">
        <v>406</v>
      </c>
      <c r="F2604" s="1"/>
      <c r="G2604" s="2">
        <v>10</v>
      </c>
      <c r="H2604" s="1"/>
      <c r="I2604" t="s">
        <v>0</v>
      </c>
      <c r="J2604" t="s">
        <v>64</v>
      </c>
      <c r="K2604" t="s">
        <v>379</v>
      </c>
      <c r="L2604" t="s">
        <v>82</v>
      </c>
      <c r="M2604" s="3" t="s">
        <v>2097</v>
      </c>
    </row>
    <row r="2605" spans="1:13" hidden="1" x14ac:dyDescent="0.25">
      <c r="A2605" s="1" t="e">
        <f>VLOOKUP(Table2[[#This Row],[Prod Line ]],Lists!A:E,5,0)</f>
        <v>#N/A</v>
      </c>
      <c r="B2605" s="1"/>
      <c r="C2605" s="1"/>
      <c r="D2605" s="1"/>
      <c r="E2605" s="2"/>
      <c r="F2605" s="1"/>
      <c r="G2605" s="2"/>
      <c r="H2605" s="1"/>
      <c r="M2605" s="3"/>
    </row>
    <row r="2606" spans="1:13" x14ac:dyDescent="0.25">
      <c r="A2606" s="1" t="str">
        <f>VLOOKUP(Table2[[#This Row],[Prod Line ]],Lists!A:E,5,0)</f>
        <v>d</v>
      </c>
      <c r="B2606" s="1">
        <v>44607</v>
      </c>
      <c r="C2606" s="1">
        <v>44605</v>
      </c>
      <c r="D2606" s="1" t="s">
        <v>62</v>
      </c>
      <c r="E2606" s="2" t="s">
        <v>406</v>
      </c>
      <c r="F2606" s="1"/>
      <c r="G2606" s="2">
        <v>28</v>
      </c>
      <c r="H2606" s="1"/>
      <c r="I2606" t="s">
        <v>0</v>
      </c>
      <c r="J2606" t="s">
        <v>5</v>
      </c>
      <c r="K2606" t="s">
        <v>397</v>
      </c>
      <c r="L2606" t="s">
        <v>70</v>
      </c>
      <c r="M2606" s="3" t="s">
        <v>2100</v>
      </c>
    </row>
    <row r="2607" spans="1:13" x14ac:dyDescent="0.25">
      <c r="A2607" s="1" t="str">
        <f>VLOOKUP(Table2[[#This Row],[Prod Line ]],Lists!A:E,5,0)</f>
        <v>d</v>
      </c>
      <c r="B2607" s="1">
        <v>44607</v>
      </c>
      <c r="C2607" s="1">
        <v>44605</v>
      </c>
      <c r="D2607" s="1" t="s">
        <v>62</v>
      </c>
      <c r="E2607" s="2" t="s">
        <v>406</v>
      </c>
      <c r="F2607" s="1"/>
      <c r="G2607" s="2">
        <v>13</v>
      </c>
      <c r="H2607" s="1"/>
      <c r="I2607" t="s">
        <v>0</v>
      </c>
      <c r="J2607" t="s">
        <v>64</v>
      </c>
      <c r="K2607" t="s">
        <v>379</v>
      </c>
      <c r="L2607" t="s">
        <v>82</v>
      </c>
      <c r="M2607" s="3" t="s">
        <v>2098</v>
      </c>
    </row>
    <row r="2608" spans="1:13" x14ac:dyDescent="0.25">
      <c r="A2608" s="1" t="str">
        <f>VLOOKUP(Table2[[#This Row],[Prod Line ]],Lists!A:E,5,0)</f>
        <v>b</v>
      </c>
      <c r="B2608" s="1">
        <v>44607</v>
      </c>
      <c r="C2608" s="1">
        <v>44605</v>
      </c>
      <c r="D2608" s="1" t="s">
        <v>58</v>
      </c>
      <c r="E2608" s="2" t="s">
        <v>406</v>
      </c>
      <c r="F2608" s="1"/>
      <c r="G2608" s="2">
        <v>21</v>
      </c>
      <c r="H2608" s="1"/>
      <c r="I2608" t="s">
        <v>0</v>
      </c>
      <c r="J2608" t="s">
        <v>5</v>
      </c>
      <c r="K2608" t="s">
        <v>37</v>
      </c>
      <c r="L2608" t="s">
        <v>70</v>
      </c>
      <c r="M2608" s="3" t="s">
        <v>2099</v>
      </c>
    </row>
    <row r="2609" spans="1:13" hidden="1" x14ac:dyDescent="0.25">
      <c r="A2609" s="1" t="str">
        <f>VLOOKUP(Table2[[#This Row],[Prod Line ]],Lists!A:E,5,0)</f>
        <v>a</v>
      </c>
      <c r="B2609" s="1">
        <v>44609</v>
      </c>
      <c r="C2609" s="1">
        <v>44607</v>
      </c>
      <c r="D2609" s="1" t="s">
        <v>56</v>
      </c>
      <c r="E2609" s="2" t="s">
        <v>406</v>
      </c>
      <c r="F2609" s="1"/>
      <c r="G2609" s="2">
        <v>15</v>
      </c>
      <c r="H2609" s="1"/>
      <c r="I2609" t="s">
        <v>1</v>
      </c>
      <c r="J2609" t="s">
        <v>2</v>
      </c>
      <c r="K2609" t="s">
        <v>19</v>
      </c>
      <c r="L2609" t="s">
        <v>407</v>
      </c>
      <c r="M2609" s="3" t="s">
        <v>2101</v>
      </c>
    </row>
    <row r="2610" spans="1:13" hidden="1" x14ac:dyDescent="0.25">
      <c r="A2610" s="1" t="str">
        <f>VLOOKUP(Table2[[#This Row],[Prod Line ]],Lists!A:E,5,0)</f>
        <v>a</v>
      </c>
      <c r="B2610" s="1">
        <v>44609</v>
      </c>
      <c r="C2610" s="1">
        <v>44607</v>
      </c>
      <c r="D2610" s="1" t="s">
        <v>56</v>
      </c>
      <c r="E2610" s="2" t="s">
        <v>406</v>
      </c>
      <c r="F2610" s="1"/>
      <c r="G2610" s="2">
        <v>32</v>
      </c>
      <c r="H2610" s="1"/>
      <c r="I2610" t="s">
        <v>1</v>
      </c>
      <c r="J2610" t="s">
        <v>2</v>
      </c>
      <c r="K2610" t="s">
        <v>19</v>
      </c>
      <c r="L2610" t="s">
        <v>349</v>
      </c>
      <c r="M2610" s="3" t="s">
        <v>575</v>
      </c>
    </row>
    <row r="2611" spans="1:13" x14ac:dyDescent="0.25">
      <c r="A2611" s="1" t="str">
        <f>VLOOKUP(Table2[[#This Row],[Prod Line ]],Lists!A:E,5,0)</f>
        <v>a</v>
      </c>
      <c r="B2611" s="1">
        <v>44609</v>
      </c>
      <c r="C2611" s="1">
        <v>44607</v>
      </c>
      <c r="D2611" s="1" t="s">
        <v>56</v>
      </c>
      <c r="E2611" s="2" t="s">
        <v>406</v>
      </c>
      <c r="F2611" s="1"/>
      <c r="G2611" s="2">
        <v>15</v>
      </c>
      <c r="H2611" s="1"/>
      <c r="I2611" t="s">
        <v>0</v>
      </c>
      <c r="J2611" t="s">
        <v>65</v>
      </c>
      <c r="K2611" t="s">
        <v>372</v>
      </c>
      <c r="L2611" t="s">
        <v>70</v>
      </c>
      <c r="M2611" s="3" t="s">
        <v>1080</v>
      </c>
    </row>
    <row r="2612" spans="1:13" x14ac:dyDescent="0.25">
      <c r="A2612" s="1" t="str">
        <f>VLOOKUP(Table2[[#This Row],[Prod Line ]],Lists!A:E,5,0)</f>
        <v>a</v>
      </c>
      <c r="B2612" s="1">
        <v>44609</v>
      </c>
      <c r="C2612" s="1">
        <v>44607</v>
      </c>
      <c r="D2612" s="1" t="s">
        <v>56</v>
      </c>
      <c r="E2612" s="2" t="s">
        <v>406</v>
      </c>
      <c r="F2612" s="1"/>
      <c r="G2612" s="2">
        <v>7</v>
      </c>
      <c r="H2612" s="1"/>
      <c r="I2612" t="s">
        <v>0</v>
      </c>
      <c r="J2612" t="s">
        <v>65</v>
      </c>
      <c r="K2612" t="s">
        <v>27</v>
      </c>
      <c r="L2612" t="s">
        <v>70</v>
      </c>
      <c r="M2612" s="3" t="s">
        <v>1049</v>
      </c>
    </row>
    <row r="2613" spans="1:13" hidden="1" x14ac:dyDescent="0.25">
      <c r="A2613" s="1" t="str">
        <f>VLOOKUP(Table2[[#This Row],[Prod Line ]],Lists!A:E,5,0)</f>
        <v>c</v>
      </c>
      <c r="B2613" s="1">
        <v>44609</v>
      </c>
      <c r="C2613" s="1">
        <v>44607</v>
      </c>
      <c r="D2613" s="1" t="s">
        <v>60</v>
      </c>
      <c r="E2613" s="2" t="s">
        <v>405</v>
      </c>
      <c r="F2613" s="1"/>
      <c r="G2613" s="2">
        <v>11</v>
      </c>
      <c r="H2613" s="1"/>
      <c r="I2613" t="s">
        <v>1</v>
      </c>
      <c r="J2613" t="s">
        <v>2</v>
      </c>
      <c r="K2613" t="s">
        <v>377</v>
      </c>
      <c r="L2613" t="s">
        <v>407</v>
      </c>
      <c r="M2613" s="3" t="s">
        <v>1465</v>
      </c>
    </row>
    <row r="2614" spans="1:13" x14ac:dyDescent="0.25">
      <c r="A2614" s="1" t="str">
        <f>VLOOKUP(Table2[[#This Row],[Prod Line ]],Lists!A:E,5,0)</f>
        <v>b</v>
      </c>
      <c r="B2614" s="1">
        <v>44609</v>
      </c>
      <c r="C2614" s="1">
        <v>44607</v>
      </c>
      <c r="D2614" s="1" t="s">
        <v>58</v>
      </c>
      <c r="E2614" s="2" t="s">
        <v>406</v>
      </c>
      <c r="F2614" s="1"/>
      <c r="G2614" s="2">
        <v>38</v>
      </c>
      <c r="H2614" s="1"/>
      <c r="I2614" t="s">
        <v>0</v>
      </c>
      <c r="J2614" t="s">
        <v>65</v>
      </c>
      <c r="K2614" t="s">
        <v>27</v>
      </c>
      <c r="L2614" t="s">
        <v>70</v>
      </c>
      <c r="M2614" s="3" t="s">
        <v>2102</v>
      </c>
    </row>
    <row r="2615" spans="1:13" hidden="1" x14ac:dyDescent="0.25">
      <c r="A2615" s="1" t="str">
        <f>VLOOKUP(Table2[[#This Row],[Prod Line ]],Lists!A:E,5,0)</f>
        <v>a</v>
      </c>
      <c r="B2615" s="1">
        <v>44609</v>
      </c>
      <c r="C2615" s="1">
        <v>44607</v>
      </c>
      <c r="D2615" s="1" t="s">
        <v>56</v>
      </c>
      <c r="E2615" s="2" t="s">
        <v>406</v>
      </c>
      <c r="F2615" s="1"/>
      <c r="G2615" s="2">
        <v>15</v>
      </c>
      <c r="H2615" s="1"/>
      <c r="I2615" t="s">
        <v>1</v>
      </c>
      <c r="J2615" t="s">
        <v>2</v>
      </c>
      <c r="K2615" t="s">
        <v>19</v>
      </c>
      <c r="L2615" t="s">
        <v>349</v>
      </c>
      <c r="M2615" s="3" t="s">
        <v>1470</v>
      </c>
    </row>
    <row r="2616" spans="1:13" hidden="1" x14ac:dyDescent="0.25">
      <c r="A2616" s="1" t="str">
        <f>VLOOKUP(Table2[[#This Row],[Prod Line ]],Lists!A:E,5,0)</f>
        <v>a</v>
      </c>
      <c r="B2616" s="1">
        <v>44609</v>
      </c>
      <c r="C2616" s="1">
        <v>44607</v>
      </c>
      <c r="D2616" s="1" t="s">
        <v>56</v>
      </c>
      <c r="E2616" s="2" t="s">
        <v>406</v>
      </c>
      <c r="F2616" s="1"/>
      <c r="G2616" s="2">
        <v>14</v>
      </c>
      <c r="H2616" s="1"/>
      <c r="I2616" t="s">
        <v>1</v>
      </c>
      <c r="J2616" t="s">
        <v>64</v>
      </c>
      <c r="K2616" t="s">
        <v>368</v>
      </c>
      <c r="L2616" t="s">
        <v>407</v>
      </c>
      <c r="M2616" s="3" t="s">
        <v>2103</v>
      </c>
    </row>
    <row r="2617" spans="1:13" hidden="1" x14ac:dyDescent="0.25">
      <c r="A2617" s="1" t="str">
        <f>VLOOKUP(Table2[[#This Row],[Prod Line ]],Lists!A:E,5,0)</f>
        <v>b</v>
      </c>
      <c r="B2617" s="1">
        <v>44609</v>
      </c>
      <c r="C2617" s="1">
        <v>44607</v>
      </c>
      <c r="D2617" s="1" t="s">
        <v>58</v>
      </c>
      <c r="E2617" s="2" t="s">
        <v>404</v>
      </c>
      <c r="F2617" s="1"/>
      <c r="G2617" s="2">
        <v>4</v>
      </c>
      <c r="H2617" s="1"/>
      <c r="I2617" t="s">
        <v>1</v>
      </c>
      <c r="J2617" t="s">
        <v>2</v>
      </c>
      <c r="K2617" t="s">
        <v>19</v>
      </c>
      <c r="L2617" t="s">
        <v>407</v>
      </c>
      <c r="M2617" s="3" t="s">
        <v>2104</v>
      </c>
    </row>
    <row r="2618" spans="1:13" hidden="1" x14ac:dyDescent="0.25">
      <c r="A2618" s="1" t="str">
        <f>VLOOKUP(Table2[[#This Row],[Prod Line ]],Lists!A:E,5,0)</f>
        <v>b</v>
      </c>
      <c r="B2618" s="1">
        <v>44609</v>
      </c>
      <c r="C2618" s="1">
        <v>44607</v>
      </c>
      <c r="D2618" s="1" t="s">
        <v>58</v>
      </c>
      <c r="E2618" s="2" t="s">
        <v>406</v>
      </c>
      <c r="F2618" s="1"/>
      <c r="G2618" s="2">
        <v>16</v>
      </c>
      <c r="H2618" s="1"/>
      <c r="I2618" t="s">
        <v>1</v>
      </c>
      <c r="J2618" t="s">
        <v>65</v>
      </c>
      <c r="K2618" t="s">
        <v>3</v>
      </c>
      <c r="L2618" t="s">
        <v>441</v>
      </c>
      <c r="M2618" s="3" t="s">
        <v>514</v>
      </c>
    </row>
    <row r="2619" spans="1:13" x14ac:dyDescent="0.25">
      <c r="A2619" s="1" t="str">
        <f>VLOOKUP(Table2[[#This Row],[Prod Line ]],Lists!A:E,5,0)</f>
        <v>b</v>
      </c>
      <c r="B2619" s="1">
        <v>44609</v>
      </c>
      <c r="C2619" s="1">
        <v>44607</v>
      </c>
      <c r="D2619" s="1" t="s">
        <v>58</v>
      </c>
      <c r="E2619" s="2" t="s">
        <v>406</v>
      </c>
      <c r="F2619" s="1"/>
      <c r="G2619" s="2">
        <v>17</v>
      </c>
      <c r="H2619" s="1"/>
      <c r="I2619" t="s">
        <v>0</v>
      </c>
      <c r="J2619" t="s">
        <v>64</v>
      </c>
      <c r="K2619" t="s">
        <v>20</v>
      </c>
      <c r="L2619" t="s">
        <v>70</v>
      </c>
      <c r="M2619" s="3" t="s">
        <v>1533</v>
      </c>
    </row>
    <row r="2620" spans="1:13" hidden="1" x14ac:dyDescent="0.25">
      <c r="A2620" s="1" t="str">
        <f>VLOOKUP(Table2[[#This Row],[Prod Line ]],Lists!A:E,5,0)</f>
        <v>b</v>
      </c>
      <c r="B2620" s="1">
        <v>44609</v>
      </c>
      <c r="C2620" s="1">
        <v>44607</v>
      </c>
      <c r="D2620" s="1" t="s">
        <v>58</v>
      </c>
      <c r="E2620" s="2" t="s">
        <v>404</v>
      </c>
      <c r="F2620" s="1"/>
      <c r="G2620" s="2">
        <v>5</v>
      </c>
      <c r="H2620" s="1"/>
      <c r="I2620" t="s">
        <v>1</v>
      </c>
      <c r="J2620" t="s">
        <v>65</v>
      </c>
      <c r="K2620" t="s">
        <v>3</v>
      </c>
      <c r="L2620" t="s">
        <v>441</v>
      </c>
      <c r="M2620" s="3" t="s">
        <v>612</v>
      </c>
    </row>
    <row r="2621" spans="1:13" hidden="1" x14ac:dyDescent="0.25">
      <c r="A2621" s="1" t="str">
        <f>VLOOKUP(Table2[[#This Row],[Prod Line ]],Lists!A:E,5,0)</f>
        <v>a</v>
      </c>
      <c r="B2621" s="1">
        <v>44610</v>
      </c>
      <c r="C2621" s="1">
        <v>44608</v>
      </c>
      <c r="D2621" s="1" t="s">
        <v>56</v>
      </c>
      <c r="E2621" s="2" t="s">
        <v>406</v>
      </c>
      <c r="F2621" s="1"/>
      <c r="G2621" s="2">
        <v>10</v>
      </c>
      <c r="H2621" s="1"/>
      <c r="I2621" t="s">
        <v>1</v>
      </c>
      <c r="J2621" t="s">
        <v>2</v>
      </c>
      <c r="K2621" t="s">
        <v>19</v>
      </c>
      <c r="L2621" t="s">
        <v>349</v>
      </c>
      <c r="M2621" s="3" t="s">
        <v>575</v>
      </c>
    </row>
    <row r="2622" spans="1:13" x14ac:dyDescent="0.25">
      <c r="A2622" s="1" t="str">
        <f>VLOOKUP(Table2[[#This Row],[Prod Line ]],Lists!A:E,5,0)</f>
        <v>a</v>
      </c>
      <c r="B2622" s="1">
        <v>44610</v>
      </c>
      <c r="C2622" s="1">
        <v>44608</v>
      </c>
      <c r="D2622" s="1" t="s">
        <v>56</v>
      </c>
      <c r="E2622" s="2" t="s">
        <v>404</v>
      </c>
      <c r="F2622" s="1"/>
      <c r="G2622" s="2">
        <v>8</v>
      </c>
      <c r="H2622" s="1"/>
      <c r="I2622" t="s">
        <v>0</v>
      </c>
      <c r="J2622" t="s">
        <v>65</v>
      </c>
      <c r="K2622" t="s">
        <v>372</v>
      </c>
      <c r="L2622" t="s">
        <v>70</v>
      </c>
      <c r="M2622" s="3" t="s">
        <v>2105</v>
      </c>
    </row>
    <row r="2623" spans="1:13" x14ac:dyDescent="0.25">
      <c r="A2623" s="1" t="str">
        <f>VLOOKUP(Table2[[#This Row],[Prod Line ]],Lists!A:E,5,0)</f>
        <v>a</v>
      </c>
      <c r="B2623" s="1">
        <v>44610</v>
      </c>
      <c r="C2623" s="1">
        <v>44608</v>
      </c>
      <c r="D2623" s="1" t="s">
        <v>56</v>
      </c>
      <c r="E2623" s="2" t="s">
        <v>404</v>
      </c>
      <c r="F2623" s="1"/>
      <c r="G2623" s="2">
        <v>4</v>
      </c>
      <c r="H2623" s="1"/>
      <c r="I2623" t="s">
        <v>0</v>
      </c>
      <c r="J2623" t="s">
        <v>64</v>
      </c>
      <c r="K2623" t="s">
        <v>367</v>
      </c>
      <c r="L2623" t="s">
        <v>70</v>
      </c>
      <c r="M2623" s="3" t="s">
        <v>2106</v>
      </c>
    </row>
    <row r="2624" spans="1:13" hidden="1" x14ac:dyDescent="0.25">
      <c r="A2624" s="1" t="str">
        <f>VLOOKUP(Table2[[#This Row],[Prod Line ]],Lists!A:E,5,0)</f>
        <v>a</v>
      </c>
      <c r="B2624" s="1">
        <v>44610</v>
      </c>
      <c r="C2624" s="1">
        <v>44608</v>
      </c>
      <c r="D2624" s="1" t="s">
        <v>56</v>
      </c>
      <c r="E2624" s="2" t="s">
        <v>404</v>
      </c>
      <c r="F2624" s="1"/>
      <c r="G2624" s="2">
        <v>7</v>
      </c>
      <c r="H2624" s="1"/>
      <c r="I2624" t="s">
        <v>1</v>
      </c>
      <c r="J2624" t="s">
        <v>64</v>
      </c>
      <c r="K2624" t="s">
        <v>370</v>
      </c>
      <c r="L2624" t="s">
        <v>407</v>
      </c>
      <c r="M2624" s="3" t="s">
        <v>750</v>
      </c>
    </row>
    <row r="2625" spans="1:13" x14ac:dyDescent="0.25">
      <c r="A2625" s="1" t="str">
        <f>VLOOKUP(Table2[[#This Row],[Prod Line ]],Lists!A:E,5,0)</f>
        <v>b</v>
      </c>
      <c r="B2625" s="1">
        <v>44610</v>
      </c>
      <c r="C2625" s="1">
        <v>44608</v>
      </c>
      <c r="D2625" s="1" t="s">
        <v>58</v>
      </c>
      <c r="E2625" s="2" t="s">
        <v>404</v>
      </c>
      <c r="F2625" s="1"/>
      <c r="G2625" s="2">
        <v>6</v>
      </c>
      <c r="H2625" s="1"/>
      <c r="I2625" t="s">
        <v>0</v>
      </c>
      <c r="J2625" t="s">
        <v>64</v>
      </c>
      <c r="K2625" t="s">
        <v>20</v>
      </c>
      <c r="L2625" t="s">
        <v>70</v>
      </c>
      <c r="M2625" s="3" t="s">
        <v>2107</v>
      </c>
    </row>
    <row r="2626" spans="1:13" x14ac:dyDescent="0.25">
      <c r="A2626" s="1" t="str">
        <f>VLOOKUP(Table2[[#This Row],[Prod Line ]],Lists!A:E,5,0)</f>
        <v>d</v>
      </c>
      <c r="B2626" s="1">
        <v>44610</v>
      </c>
      <c r="C2626" s="1">
        <v>44608</v>
      </c>
      <c r="D2626" s="1" t="s">
        <v>62</v>
      </c>
      <c r="E2626" s="2" t="s">
        <v>404</v>
      </c>
      <c r="F2626" s="1"/>
      <c r="G2626" s="2">
        <v>20</v>
      </c>
      <c r="H2626" s="1"/>
      <c r="I2626" t="s">
        <v>0</v>
      </c>
      <c r="J2626" t="s">
        <v>5</v>
      </c>
      <c r="K2626" t="s">
        <v>396</v>
      </c>
      <c r="L2626" t="s">
        <v>70</v>
      </c>
      <c r="M2626" s="3" t="s">
        <v>1891</v>
      </c>
    </row>
    <row r="2627" spans="1:13" x14ac:dyDescent="0.25">
      <c r="A2627" s="1" t="str">
        <f>VLOOKUP(Table2[[#This Row],[Prod Line ]],Lists!A:E,5,0)</f>
        <v>d</v>
      </c>
      <c r="B2627" s="1">
        <v>44611</v>
      </c>
      <c r="C2627" s="1">
        <v>44609</v>
      </c>
      <c r="D2627" s="1" t="s">
        <v>62</v>
      </c>
      <c r="E2627" s="2" t="s">
        <v>404</v>
      </c>
      <c r="F2627" s="1"/>
      <c r="G2627" s="2">
        <v>30</v>
      </c>
      <c r="H2627" s="1"/>
      <c r="I2627" t="s">
        <v>0</v>
      </c>
      <c r="J2627" t="s">
        <v>5</v>
      </c>
      <c r="K2627" t="s">
        <v>396</v>
      </c>
      <c r="L2627" t="s">
        <v>70</v>
      </c>
      <c r="M2627" s="3" t="s">
        <v>1891</v>
      </c>
    </row>
    <row r="2628" spans="1:13" hidden="1" x14ac:dyDescent="0.25">
      <c r="A2628" s="1" t="str">
        <f>VLOOKUP(Table2[[#This Row],[Prod Line ]],Lists!A:E,5,0)</f>
        <v>d</v>
      </c>
      <c r="B2628" s="1">
        <v>44611</v>
      </c>
      <c r="C2628" s="1">
        <v>44609</v>
      </c>
      <c r="D2628" s="1" t="s">
        <v>62</v>
      </c>
      <c r="E2628" s="2" t="s">
        <v>404</v>
      </c>
      <c r="F2628" s="1"/>
      <c r="G2628" s="2">
        <v>20</v>
      </c>
      <c r="H2628" s="1"/>
      <c r="I2628" t="s">
        <v>1</v>
      </c>
      <c r="J2628" t="s">
        <v>2</v>
      </c>
      <c r="K2628" t="s">
        <v>15</v>
      </c>
      <c r="L2628" t="s">
        <v>407</v>
      </c>
      <c r="M2628" s="3" t="s">
        <v>1928</v>
      </c>
    </row>
    <row r="2629" spans="1:13" hidden="1" x14ac:dyDescent="0.25">
      <c r="A2629" s="1" t="str">
        <f>VLOOKUP(Table2[[#This Row],[Prod Line ]],Lists!A:E,5,0)</f>
        <v>b</v>
      </c>
      <c r="B2629" s="1">
        <v>44611</v>
      </c>
      <c r="C2629" s="1">
        <v>44609</v>
      </c>
      <c r="D2629" s="1" t="s">
        <v>58</v>
      </c>
      <c r="E2629" s="2" t="s">
        <v>406</v>
      </c>
      <c r="F2629" s="1"/>
      <c r="G2629" s="2">
        <v>10</v>
      </c>
      <c r="H2629" s="1"/>
      <c r="I2629" t="s">
        <v>1</v>
      </c>
      <c r="J2629" t="s">
        <v>66</v>
      </c>
      <c r="K2629" t="s">
        <v>4</v>
      </c>
      <c r="L2629" t="s">
        <v>407</v>
      </c>
      <c r="M2629" s="3" t="s">
        <v>2108</v>
      </c>
    </row>
    <row r="2630" spans="1:13" x14ac:dyDescent="0.25">
      <c r="A2630" s="1" t="str">
        <f>VLOOKUP(Table2[[#This Row],[Prod Line ]],Lists!A:E,5,0)</f>
        <v>b</v>
      </c>
      <c r="B2630" s="1">
        <v>44611</v>
      </c>
      <c r="C2630" s="1">
        <v>44609</v>
      </c>
      <c r="D2630" s="1" t="s">
        <v>58</v>
      </c>
      <c r="E2630" s="2" t="s">
        <v>405</v>
      </c>
      <c r="F2630" s="1"/>
      <c r="G2630" s="2">
        <v>10</v>
      </c>
      <c r="H2630" s="1"/>
      <c r="I2630" t="s">
        <v>0</v>
      </c>
      <c r="J2630" t="s">
        <v>5</v>
      </c>
      <c r="K2630" t="s">
        <v>38</v>
      </c>
      <c r="L2630" t="s">
        <v>70</v>
      </c>
      <c r="M2630" s="3" t="s">
        <v>2109</v>
      </c>
    </row>
    <row r="2631" spans="1:13" hidden="1" x14ac:dyDescent="0.25">
      <c r="A2631" s="1" t="str">
        <f>VLOOKUP(Table2[[#This Row],[Prod Line ]],Lists!A:E,5,0)</f>
        <v>a</v>
      </c>
      <c r="B2631" s="1">
        <v>44611</v>
      </c>
      <c r="C2631" s="1">
        <v>44609</v>
      </c>
      <c r="D2631" s="1" t="s">
        <v>56</v>
      </c>
      <c r="E2631" s="2" t="s">
        <v>406</v>
      </c>
      <c r="F2631" s="1"/>
      <c r="G2631" s="2">
        <v>8</v>
      </c>
      <c r="H2631" s="1"/>
      <c r="I2631" t="s">
        <v>1</v>
      </c>
      <c r="J2631" t="s">
        <v>2</v>
      </c>
      <c r="K2631" t="s">
        <v>19</v>
      </c>
      <c r="L2631" t="s">
        <v>349</v>
      </c>
      <c r="M2631" s="3" t="s">
        <v>1470</v>
      </c>
    </row>
    <row r="2632" spans="1:13" hidden="1" x14ac:dyDescent="0.25">
      <c r="A2632" s="1" t="str">
        <f>VLOOKUP(Table2[[#This Row],[Prod Line ]],Lists!A:E,5,0)</f>
        <v>a</v>
      </c>
      <c r="B2632" s="1">
        <v>44611</v>
      </c>
      <c r="C2632" s="1">
        <v>44609</v>
      </c>
      <c r="D2632" s="1" t="s">
        <v>56</v>
      </c>
      <c r="E2632" s="2" t="s">
        <v>406</v>
      </c>
      <c r="F2632" s="1"/>
      <c r="G2632" s="2">
        <v>3</v>
      </c>
      <c r="H2632" s="1"/>
      <c r="I2632" t="s">
        <v>1</v>
      </c>
      <c r="J2632" t="s">
        <v>64</v>
      </c>
      <c r="K2632" t="s">
        <v>370</v>
      </c>
      <c r="L2632" t="s">
        <v>407</v>
      </c>
      <c r="M2632" s="3" t="s">
        <v>939</v>
      </c>
    </row>
    <row r="2633" spans="1:13" x14ac:dyDescent="0.25">
      <c r="A2633" s="1" t="str">
        <f>VLOOKUP(Table2[[#This Row],[Prod Line ]],Lists!A:E,5,0)</f>
        <v>a</v>
      </c>
      <c r="B2633" s="1">
        <v>44611</v>
      </c>
      <c r="C2633" s="1">
        <v>44609</v>
      </c>
      <c r="D2633" s="1" t="s">
        <v>56</v>
      </c>
      <c r="E2633" s="2" t="s">
        <v>406</v>
      </c>
      <c r="F2633" s="1"/>
      <c r="G2633" s="2">
        <v>5</v>
      </c>
      <c r="H2633" s="1"/>
      <c r="I2633" t="s">
        <v>0</v>
      </c>
      <c r="J2633" t="s">
        <v>65</v>
      </c>
      <c r="K2633" t="s">
        <v>372</v>
      </c>
      <c r="L2633" t="s">
        <v>70</v>
      </c>
      <c r="M2633" s="3" t="s">
        <v>432</v>
      </c>
    </row>
    <row r="2634" spans="1:13" x14ac:dyDescent="0.25">
      <c r="A2634" s="1" t="str">
        <f>VLOOKUP(Table2[[#This Row],[Prod Line ]],Lists!A:E,5,0)</f>
        <v>a</v>
      </c>
      <c r="B2634" s="1">
        <v>44611</v>
      </c>
      <c r="C2634" s="1">
        <v>44609</v>
      </c>
      <c r="D2634" s="1" t="s">
        <v>56</v>
      </c>
      <c r="E2634" s="2" t="s">
        <v>404</v>
      </c>
      <c r="F2634" s="1"/>
      <c r="G2634" s="2">
        <v>24</v>
      </c>
      <c r="H2634" s="1"/>
      <c r="I2634" t="s">
        <v>0</v>
      </c>
      <c r="J2634" t="s">
        <v>65</v>
      </c>
      <c r="K2634" t="s">
        <v>27</v>
      </c>
      <c r="L2634" t="s">
        <v>70</v>
      </c>
      <c r="M2634" s="3" t="s">
        <v>2110</v>
      </c>
    </row>
    <row r="2635" spans="1:13" hidden="1" x14ac:dyDescent="0.25">
      <c r="A2635" s="1" t="str">
        <f>VLOOKUP(Table2[[#This Row],[Prod Line ]],Lists!A:E,5,0)</f>
        <v>c</v>
      </c>
      <c r="B2635" s="1">
        <v>44611</v>
      </c>
      <c r="C2635" s="1">
        <v>44609</v>
      </c>
      <c r="D2635" s="1" t="s">
        <v>60</v>
      </c>
      <c r="E2635" s="2" t="s">
        <v>405</v>
      </c>
      <c r="F2635" s="1"/>
      <c r="G2635" s="2">
        <v>5</v>
      </c>
      <c r="H2635" s="1"/>
      <c r="I2635" t="s">
        <v>1</v>
      </c>
      <c r="J2635" t="s">
        <v>2</v>
      </c>
      <c r="K2635" t="s">
        <v>14</v>
      </c>
      <c r="L2635" t="s">
        <v>407</v>
      </c>
      <c r="M2635" s="3" t="s">
        <v>2111</v>
      </c>
    </row>
    <row r="2636" spans="1:13" x14ac:dyDescent="0.25">
      <c r="A2636" s="1" t="str">
        <f>VLOOKUP(Table2[[#This Row],[Prod Line ]],Lists!A:E,5,0)</f>
        <v>a</v>
      </c>
      <c r="B2636" s="1">
        <v>44613</v>
      </c>
      <c r="C2636" s="1">
        <v>44611</v>
      </c>
      <c r="D2636" s="1" t="s">
        <v>56</v>
      </c>
      <c r="E2636" s="2" t="s">
        <v>404</v>
      </c>
      <c r="F2636" s="1"/>
      <c r="G2636" s="2">
        <v>21</v>
      </c>
      <c r="H2636" s="1"/>
      <c r="I2636" t="s">
        <v>0</v>
      </c>
      <c r="J2636" t="s">
        <v>65</v>
      </c>
      <c r="K2636" t="s">
        <v>372</v>
      </c>
      <c r="L2636" t="s">
        <v>70</v>
      </c>
      <c r="M2636" s="3" t="s">
        <v>1080</v>
      </c>
    </row>
    <row r="2637" spans="1:13" x14ac:dyDescent="0.25">
      <c r="A2637" s="1" t="str">
        <f>VLOOKUP(Table2[[#This Row],[Prod Line ]],Lists!A:E,5,0)</f>
        <v>a</v>
      </c>
      <c r="B2637" s="1">
        <v>44613</v>
      </c>
      <c r="C2637" s="1">
        <v>44611</v>
      </c>
      <c r="D2637" s="1" t="s">
        <v>56</v>
      </c>
      <c r="E2637" s="2" t="s">
        <v>404</v>
      </c>
      <c r="F2637" s="1"/>
      <c r="G2637" s="2">
        <v>7</v>
      </c>
      <c r="H2637" s="1"/>
      <c r="I2637" t="s">
        <v>0</v>
      </c>
      <c r="J2637" t="s">
        <v>64</v>
      </c>
      <c r="K2637" t="s">
        <v>367</v>
      </c>
      <c r="L2637" t="s">
        <v>70</v>
      </c>
      <c r="M2637" s="3" t="s">
        <v>2112</v>
      </c>
    </row>
    <row r="2638" spans="1:13" hidden="1" x14ac:dyDescent="0.25">
      <c r="A2638" s="1" t="str">
        <f>VLOOKUP(Table2[[#This Row],[Prod Line ]],Lists!A:E,5,0)</f>
        <v>a</v>
      </c>
      <c r="B2638" s="1">
        <v>44613</v>
      </c>
      <c r="C2638" s="1">
        <v>44611</v>
      </c>
      <c r="D2638" s="1" t="s">
        <v>56</v>
      </c>
      <c r="E2638" s="2" t="s">
        <v>404</v>
      </c>
      <c r="F2638" s="1"/>
      <c r="G2638" s="2">
        <v>2</v>
      </c>
      <c r="H2638" s="1"/>
      <c r="I2638" t="s">
        <v>1</v>
      </c>
      <c r="J2638" t="s">
        <v>64</v>
      </c>
      <c r="K2638" t="s">
        <v>367</v>
      </c>
      <c r="L2638" t="s">
        <v>407</v>
      </c>
      <c r="M2638" s="3" t="s">
        <v>2113</v>
      </c>
    </row>
    <row r="2639" spans="1:13" hidden="1" x14ac:dyDescent="0.25">
      <c r="A2639" s="1" t="str">
        <f>VLOOKUP(Table2[[#This Row],[Prod Line ]],Lists!A:E,5,0)</f>
        <v>b</v>
      </c>
      <c r="B2639" s="1">
        <v>44613</v>
      </c>
      <c r="C2639" s="1">
        <v>44611</v>
      </c>
      <c r="D2639" s="1" t="s">
        <v>58</v>
      </c>
      <c r="E2639" s="2" t="s">
        <v>406</v>
      </c>
      <c r="F2639" s="1"/>
      <c r="G2639" s="2">
        <v>2</v>
      </c>
      <c r="H2639" s="1"/>
      <c r="I2639" t="s">
        <v>1</v>
      </c>
      <c r="J2639" t="s">
        <v>65</v>
      </c>
      <c r="K2639" t="s">
        <v>3</v>
      </c>
      <c r="L2639" t="s">
        <v>441</v>
      </c>
      <c r="M2639" s="3" t="s">
        <v>514</v>
      </c>
    </row>
    <row r="2640" spans="1:13" hidden="1" x14ac:dyDescent="0.25">
      <c r="A2640" s="1" t="str">
        <f>VLOOKUP(Table2[[#This Row],[Prod Line ]],Lists!A:E,5,0)</f>
        <v>b</v>
      </c>
      <c r="B2640" s="1">
        <v>44613</v>
      </c>
      <c r="C2640" s="1">
        <v>44611</v>
      </c>
      <c r="D2640" s="1" t="s">
        <v>58</v>
      </c>
      <c r="E2640" s="2" t="s">
        <v>406</v>
      </c>
      <c r="F2640" s="1"/>
      <c r="G2640" s="2">
        <v>8</v>
      </c>
      <c r="H2640" s="1"/>
      <c r="I2640" t="s">
        <v>1</v>
      </c>
      <c r="J2640" t="s">
        <v>2</v>
      </c>
      <c r="K2640" t="s">
        <v>19</v>
      </c>
      <c r="L2640" t="s">
        <v>349</v>
      </c>
      <c r="M2640" s="3" t="s">
        <v>575</v>
      </c>
    </row>
    <row r="2641" spans="1:13" hidden="1" x14ac:dyDescent="0.25">
      <c r="A2641" s="1" t="str">
        <f>VLOOKUP(Table2[[#This Row],[Prod Line ]],Lists!A:E,5,0)</f>
        <v>b</v>
      </c>
      <c r="B2641" s="1">
        <v>44613</v>
      </c>
      <c r="C2641" s="1">
        <v>44611</v>
      </c>
      <c r="D2641" s="1" t="s">
        <v>58</v>
      </c>
      <c r="E2641" s="2" t="s">
        <v>404</v>
      </c>
      <c r="F2641" s="1"/>
      <c r="G2641" s="2">
        <v>30</v>
      </c>
      <c r="H2641" s="1"/>
      <c r="I2641" t="s">
        <v>1</v>
      </c>
      <c r="J2641" t="s">
        <v>65</v>
      </c>
      <c r="K2641" t="s">
        <v>3</v>
      </c>
      <c r="L2641" t="s">
        <v>441</v>
      </c>
      <c r="M2641" s="3" t="s">
        <v>441</v>
      </c>
    </row>
    <row r="2642" spans="1:13" hidden="1" x14ac:dyDescent="0.25">
      <c r="A2642" s="1" t="str">
        <f>VLOOKUP(Table2[[#This Row],[Prod Line ]],Lists!A:E,5,0)</f>
        <v>a</v>
      </c>
      <c r="B2642" s="1">
        <v>44614</v>
      </c>
      <c r="C2642" s="1">
        <v>44612</v>
      </c>
      <c r="D2642" s="1" t="s">
        <v>56</v>
      </c>
      <c r="E2642" s="2" t="s">
        <v>406</v>
      </c>
      <c r="F2642" s="1"/>
      <c r="G2642" s="2">
        <v>10</v>
      </c>
      <c r="H2642" s="1"/>
      <c r="I2642" t="s">
        <v>1</v>
      </c>
      <c r="J2642" t="s">
        <v>64</v>
      </c>
      <c r="K2642" t="s">
        <v>369</v>
      </c>
      <c r="L2642" t="s">
        <v>407</v>
      </c>
      <c r="M2642" s="3" t="s">
        <v>1779</v>
      </c>
    </row>
    <row r="2643" spans="1:13" hidden="1" x14ac:dyDescent="0.25">
      <c r="A2643" s="1" t="str">
        <f>VLOOKUP(Table2[[#This Row],[Prod Line ]],Lists!A:E,5,0)</f>
        <v>a</v>
      </c>
      <c r="B2643" s="1">
        <v>44614</v>
      </c>
      <c r="C2643" s="1">
        <v>44612</v>
      </c>
      <c r="D2643" s="1" t="s">
        <v>56</v>
      </c>
      <c r="E2643" s="2" t="s">
        <v>406</v>
      </c>
      <c r="F2643" s="1"/>
      <c r="G2643" s="2">
        <v>2</v>
      </c>
      <c r="H2643" s="1"/>
      <c r="I2643" t="s">
        <v>1</v>
      </c>
      <c r="J2643" t="s">
        <v>2</v>
      </c>
      <c r="K2643" t="s">
        <v>19</v>
      </c>
      <c r="L2643" t="s">
        <v>345</v>
      </c>
      <c r="M2643" s="3" t="s">
        <v>2114</v>
      </c>
    </row>
    <row r="2644" spans="1:13" x14ac:dyDescent="0.25">
      <c r="A2644" s="1" t="str">
        <f>VLOOKUP(Table2[[#This Row],[Prod Line ]],Lists!A:E,5,0)</f>
        <v>a</v>
      </c>
      <c r="B2644" s="1">
        <v>44614</v>
      </c>
      <c r="C2644" s="1">
        <v>44612</v>
      </c>
      <c r="D2644" s="1" t="s">
        <v>56</v>
      </c>
      <c r="E2644" s="2" t="s">
        <v>406</v>
      </c>
      <c r="F2644" s="1"/>
      <c r="G2644" s="2">
        <v>10</v>
      </c>
      <c r="H2644" s="1"/>
      <c r="I2644" t="s">
        <v>0</v>
      </c>
      <c r="J2644" t="s">
        <v>65</v>
      </c>
      <c r="K2644" t="s">
        <v>372</v>
      </c>
      <c r="L2644" t="s">
        <v>70</v>
      </c>
      <c r="M2644" s="3" t="s">
        <v>2115</v>
      </c>
    </row>
    <row r="2645" spans="1:13" x14ac:dyDescent="0.25">
      <c r="A2645" s="1" t="str">
        <f>VLOOKUP(Table2[[#This Row],[Prod Line ]],Lists!A:E,5,0)</f>
        <v>b</v>
      </c>
      <c r="B2645" s="1">
        <v>44614</v>
      </c>
      <c r="C2645" s="1">
        <v>44612</v>
      </c>
      <c r="D2645" s="1" t="s">
        <v>58</v>
      </c>
      <c r="E2645" s="2" t="s">
        <v>405</v>
      </c>
      <c r="F2645" s="1"/>
      <c r="G2645" s="2">
        <v>5</v>
      </c>
      <c r="H2645" s="1"/>
      <c r="I2645" t="s">
        <v>0</v>
      </c>
      <c r="J2645" t="s">
        <v>2</v>
      </c>
      <c r="K2645" t="s">
        <v>14</v>
      </c>
      <c r="L2645" t="s">
        <v>70</v>
      </c>
      <c r="M2645" s="3" t="s">
        <v>2116</v>
      </c>
    </row>
    <row r="2646" spans="1:13" x14ac:dyDescent="0.25">
      <c r="A2646" s="1" t="str">
        <f>VLOOKUP(Table2[[#This Row],[Prod Line ]],Lists!A:E,5,0)</f>
        <v>b</v>
      </c>
      <c r="B2646" s="1">
        <v>44614</v>
      </c>
      <c r="C2646" s="1">
        <v>44612</v>
      </c>
      <c r="D2646" s="1" t="s">
        <v>58</v>
      </c>
      <c r="E2646" s="2" t="s">
        <v>405</v>
      </c>
      <c r="F2646" s="1"/>
      <c r="G2646" s="2">
        <v>2</v>
      </c>
      <c r="H2646" s="1"/>
      <c r="I2646" t="s">
        <v>0</v>
      </c>
      <c r="J2646" t="s">
        <v>26</v>
      </c>
      <c r="K2646" t="s">
        <v>25</v>
      </c>
      <c r="L2646" t="s">
        <v>70</v>
      </c>
      <c r="M2646" s="3" t="s">
        <v>2117</v>
      </c>
    </row>
    <row r="2647" spans="1:13" hidden="1" x14ac:dyDescent="0.25">
      <c r="A2647" s="1" t="str">
        <f>VLOOKUP(Table2[[#This Row],[Prod Line ]],Lists!A:E,5,0)</f>
        <v>d</v>
      </c>
      <c r="B2647" s="1">
        <v>44614</v>
      </c>
      <c r="C2647" s="1">
        <v>44612</v>
      </c>
      <c r="D2647" s="1" t="s">
        <v>62</v>
      </c>
      <c r="E2647" s="2" t="s">
        <v>405</v>
      </c>
      <c r="F2647" s="1"/>
      <c r="G2647" s="2">
        <v>27</v>
      </c>
      <c r="H2647" s="1"/>
      <c r="I2647" t="s">
        <v>1</v>
      </c>
      <c r="J2647" t="s">
        <v>5</v>
      </c>
      <c r="K2647" t="s">
        <v>397</v>
      </c>
      <c r="L2647" t="s">
        <v>407</v>
      </c>
      <c r="M2647" s="3" t="s">
        <v>2118</v>
      </c>
    </row>
    <row r="2648" spans="1:13" x14ac:dyDescent="0.25">
      <c r="A2648" s="1" t="str">
        <f>VLOOKUP(Table2[[#This Row],[Prod Line ]],Lists!A:E,5,0)</f>
        <v>a</v>
      </c>
      <c r="B2648" s="1">
        <v>44616</v>
      </c>
      <c r="C2648" s="1">
        <v>44614</v>
      </c>
      <c r="D2648" s="1" t="s">
        <v>56</v>
      </c>
      <c r="E2648" s="2" t="s">
        <v>406</v>
      </c>
      <c r="F2648" s="1"/>
      <c r="G2648" s="2">
        <v>10</v>
      </c>
      <c r="H2648" s="1"/>
      <c r="I2648" t="s">
        <v>0</v>
      </c>
      <c r="J2648" t="s">
        <v>65</v>
      </c>
      <c r="K2648" t="s">
        <v>373</v>
      </c>
      <c r="L2648" t="s">
        <v>70</v>
      </c>
      <c r="M2648" s="3" t="s">
        <v>2119</v>
      </c>
    </row>
    <row r="2649" spans="1:13" hidden="1" x14ac:dyDescent="0.25">
      <c r="A2649" s="1" t="str">
        <f>VLOOKUP(Table2[[#This Row],[Prod Line ]],Lists!A:E,5,0)</f>
        <v>a</v>
      </c>
      <c r="B2649" s="1">
        <v>44616</v>
      </c>
      <c r="C2649" s="1">
        <v>44614</v>
      </c>
      <c r="D2649" s="1" t="s">
        <v>56</v>
      </c>
      <c r="E2649" s="2" t="s">
        <v>404</v>
      </c>
      <c r="F2649" s="1"/>
      <c r="G2649" s="2">
        <v>8</v>
      </c>
      <c r="H2649" s="1"/>
      <c r="I2649" t="s">
        <v>1</v>
      </c>
      <c r="J2649" t="s">
        <v>65</v>
      </c>
      <c r="K2649" t="s">
        <v>3</v>
      </c>
      <c r="L2649" t="s">
        <v>70</v>
      </c>
      <c r="M2649" s="3" t="s">
        <v>535</v>
      </c>
    </row>
    <row r="2650" spans="1:13" hidden="1" x14ac:dyDescent="0.25">
      <c r="A2650" s="1" t="str">
        <f>VLOOKUP(Table2[[#This Row],[Prod Line ]],Lists!A:E,5,0)</f>
        <v>a</v>
      </c>
      <c r="B2650" s="1">
        <v>44616</v>
      </c>
      <c r="C2650" s="1">
        <v>44614</v>
      </c>
      <c r="D2650" s="1" t="s">
        <v>56</v>
      </c>
      <c r="E2650" s="2" t="s">
        <v>404</v>
      </c>
      <c r="F2650" s="1"/>
      <c r="G2650" s="2">
        <v>6</v>
      </c>
      <c r="H2650" s="1"/>
      <c r="I2650" t="s">
        <v>1</v>
      </c>
      <c r="J2650" t="s">
        <v>65</v>
      </c>
      <c r="K2650" t="s">
        <v>372</v>
      </c>
      <c r="L2650" t="s">
        <v>407</v>
      </c>
      <c r="M2650" s="3" t="s">
        <v>2120</v>
      </c>
    </row>
    <row r="2651" spans="1:13" hidden="1" x14ac:dyDescent="0.25">
      <c r="A2651" s="1" t="str">
        <f>VLOOKUP(Table2[[#This Row],[Prod Line ]],Lists!A:E,5,0)</f>
        <v>a</v>
      </c>
      <c r="B2651" s="1">
        <v>44616</v>
      </c>
      <c r="C2651" s="1">
        <v>44614</v>
      </c>
      <c r="D2651" s="1" t="s">
        <v>56</v>
      </c>
      <c r="E2651" s="2" t="s">
        <v>404</v>
      </c>
      <c r="F2651" s="1"/>
      <c r="G2651" s="2">
        <v>15</v>
      </c>
      <c r="H2651" s="1"/>
      <c r="I2651" t="s">
        <v>1</v>
      </c>
      <c r="J2651" t="s">
        <v>2</v>
      </c>
      <c r="K2651" t="s">
        <v>19</v>
      </c>
      <c r="L2651" t="s">
        <v>407</v>
      </c>
      <c r="M2651" s="3" t="s">
        <v>437</v>
      </c>
    </row>
    <row r="2652" spans="1:13" hidden="1" x14ac:dyDescent="0.25">
      <c r="A2652" s="1" t="str">
        <f>VLOOKUP(Table2[[#This Row],[Prod Line ]],Lists!A:E,5,0)</f>
        <v>b</v>
      </c>
      <c r="B2652" s="1">
        <v>44616</v>
      </c>
      <c r="C2652" s="1">
        <v>44614</v>
      </c>
      <c r="D2652" s="1" t="s">
        <v>58</v>
      </c>
      <c r="E2652" s="2" t="s">
        <v>405</v>
      </c>
      <c r="F2652" s="1"/>
      <c r="G2652" s="2">
        <v>15</v>
      </c>
      <c r="H2652" s="1"/>
      <c r="I2652" t="s">
        <v>1</v>
      </c>
      <c r="J2652" t="s">
        <v>65</v>
      </c>
      <c r="K2652" t="s">
        <v>3</v>
      </c>
      <c r="L2652" t="s">
        <v>441</v>
      </c>
      <c r="M2652" s="3" t="s">
        <v>2121</v>
      </c>
    </row>
    <row r="2653" spans="1:13" hidden="1" x14ac:dyDescent="0.25">
      <c r="A2653" s="1" t="str">
        <f>VLOOKUP(Table2[[#This Row],[Prod Line ]],Lists!A:E,5,0)</f>
        <v>b</v>
      </c>
      <c r="B2653" s="1">
        <v>44616</v>
      </c>
      <c r="C2653" s="1">
        <v>44614</v>
      </c>
      <c r="D2653" s="1" t="s">
        <v>58</v>
      </c>
      <c r="E2653" s="2" t="s">
        <v>406</v>
      </c>
      <c r="F2653" s="1"/>
      <c r="G2653" s="2">
        <v>13</v>
      </c>
      <c r="H2653" s="1"/>
      <c r="I2653" t="s">
        <v>1</v>
      </c>
      <c r="J2653" t="s">
        <v>65</v>
      </c>
      <c r="K2653" t="s">
        <v>3</v>
      </c>
      <c r="L2653" t="s">
        <v>441</v>
      </c>
      <c r="M2653" s="3" t="s">
        <v>2121</v>
      </c>
    </row>
    <row r="2654" spans="1:13" x14ac:dyDescent="0.25">
      <c r="A2654" s="1" t="str">
        <f>VLOOKUP(Table2[[#This Row],[Prod Line ]],Lists!A:E,5,0)</f>
        <v>c</v>
      </c>
      <c r="B2654" s="1">
        <v>44616</v>
      </c>
      <c r="C2654" s="1">
        <v>44614</v>
      </c>
      <c r="D2654" s="1" t="s">
        <v>60</v>
      </c>
      <c r="E2654" s="2" t="s">
        <v>406</v>
      </c>
      <c r="F2654" s="1"/>
      <c r="G2654" s="2">
        <v>31</v>
      </c>
      <c r="H2654" s="1"/>
      <c r="I2654" t="s">
        <v>0</v>
      </c>
      <c r="J2654" t="s">
        <v>2</v>
      </c>
      <c r="K2654" t="s">
        <v>378</v>
      </c>
      <c r="L2654" t="s">
        <v>70</v>
      </c>
      <c r="M2654" s="3" t="s">
        <v>2122</v>
      </c>
    </row>
    <row r="2655" spans="1:13" hidden="1" x14ac:dyDescent="0.25">
      <c r="A2655" s="1" t="str">
        <f>VLOOKUP(Table2[[#This Row],[Prod Line ]],Lists!A:E,5,0)</f>
        <v>c</v>
      </c>
      <c r="B2655" s="1">
        <v>44616</v>
      </c>
      <c r="C2655" s="1">
        <v>44614</v>
      </c>
      <c r="D2655" s="1" t="s">
        <v>60</v>
      </c>
      <c r="E2655" s="2" t="s">
        <v>405</v>
      </c>
      <c r="F2655" s="1"/>
      <c r="G2655" s="2">
        <v>6</v>
      </c>
      <c r="H2655" s="1"/>
      <c r="I2655" t="s">
        <v>1</v>
      </c>
      <c r="J2655" t="s">
        <v>2</v>
      </c>
      <c r="K2655" t="s">
        <v>378</v>
      </c>
      <c r="L2655" t="s">
        <v>407</v>
      </c>
      <c r="M2655" s="3" t="s">
        <v>2111</v>
      </c>
    </row>
    <row r="2656" spans="1:13" x14ac:dyDescent="0.25">
      <c r="A2656" s="1" t="str">
        <f>VLOOKUP(Table2[[#This Row],[Prod Line ]],Lists!A:E,5,0)</f>
        <v>a</v>
      </c>
      <c r="B2656" s="1">
        <v>44617</v>
      </c>
      <c r="C2656" s="1">
        <v>44614</v>
      </c>
      <c r="D2656" s="1" t="s">
        <v>56</v>
      </c>
      <c r="E2656" s="2" t="s">
        <v>404</v>
      </c>
      <c r="F2656" s="1"/>
      <c r="G2656" s="2">
        <v>2</v>
      </c>
      <c r="H2656" s="1"/>
      <c r="I2656" t="s">
        <v>0</v>
      </c>
      <c r="J2656" t="s">
        <v>2</v>
      </c>
      <c r="K2656" t="s">
        <v>19</v>
      </c>
      <c r="L2656" t="s">
        <v>70</v>
      </c>
      <c r="M2656" s="3" t="s">
        <v>1858</v>
      </c>
    </row>
    <row r="2657" spans="1:13" hidden="1" x14ac:dyDescent="0.25">
      <c r="A2657" s="1" t="str">
        <f>VLOOKUP(Table2[[#This Row],[Prod Line ]],Lists!A:E,5,0)</f>
        <v>b</v>
      </c>
      <c r="B2657" s="1">
        <v>44617</v>
      </c>
      <c r="C2657" s="1">
        <v>44615</v>
      </c>
      <c r="D2657" s="1" t="s">
        <v>58</v>
      </c>
      <c r="E2657" s="2" t="s">
        <v>406</v>
      </c>
      <c r="F2657" s="1"/>
      <c r="G2657" s="2">
        <v>12</v>
      </c>
      <c r="H2657" s="1"/>
      <c r="I2657" t="s">
        <v>1</v>
      </c>
      <c r="J2657" t="s">
        <v>65</v>
      </c>
      <c r="K2657" t="s">
        <v>3</v>
      </c>
      <c r="L2657" t="s">
        <v>441</v>
      </c>
      <c r="M2657" s="3" t="s">
        <v>2123</v>
      </c>
    </row>
    <row r="2658" spans="1:13" hidden="1" x14ac:dyDescent="0.25">
      <c r="A2658" s="1" t="str">
        <f>VLOOKUP(Table2[[#This Row],[Prod Line ]],Lists!A:E,5,0)</f>
        <v>b</v>
      </c>
      <c r="B2658" s="1">
        <v>44617</v>
      </c>
      <c r="C2658" s="1">
        <v>44615</v>
      </c>
      <c r="D2658" s="1" t="s">
        <v>58</v>
      </c>
      <c r="E2658" s="2" t="s">
        <v>404</v>
      </c>
      <c r="F2658" s="1"/>
      <c r="G2658" s="2">
        <v>6</v>
      </c>
      <c r="H2658" s="1"/>
      <c r="I2658" t="s">
        <v>1</v>
      </c>
      <c r="J2658" t="s">
        <v>65</v>
      </c>
      <c r="K2658" t="s">
        <v>3</v>
      </c>
      <c r="L2658" t="s">
        <v>441</v>
      </c>
      <c r="M2658" s="3" t="s">
        <v>612</v>
      </c>
    </row>
    <row r="2659" spans="1:13" hidden="1" x14ac:dyDescent="0.25">
      <c r="A2659" s="1" t="str">
        <f>VLOOKUP(Table2[[#This Row],[Prod Line ]],Lists!A:E,5,0)</f>
        <v>d</v>
      </c>
      <c r="B2659" s="1">
        <v>44617</v>
      </c>
      <c r="C2659" s="1">
        <v>44615</v>
      </c>
      <c r="D2659" s="1" t="s">
        <v>62</v>
      </c>
      <c r="E2659" s="2" t="s">
        <v>405</v>
      </c>
      <c r="F2659" s="1"/>
      <c r="G2659" s="2">
        <v>10</v>
      </c>
      <c r="H2659" s="1"/>
      <c r="I2659" t="s">
        <v>1</v>
      </c>
      <c r="J2659" t="s">
        <v>64</v>
      </c>
      <c r="K2659" t="s">
        <v>379</v>
      </c>
      <c r="L2659" t="s">
        <v>407</v>
      </c>
      <c r="M2659" s="3" t="s">
        <v>655</v>
      </c>
    </row>
    <row r="2660" spans="1:13" hidden="1" x14ac:dyDescent="0.25">
      <c r="A2660" s="1" t="str">
        <f>VLOOKUP(Table2[[#This Row],[Prod Line ]],Lists!A:E,5,0)</f>
        <v>a</v>
      </c>
      <c r="B2660" s="1">
        <v>44618</v>
      </c>
      <c r="C2660" s="1">
        <v>44616</v>
      </c>
      <c r="D2660" s="1" t="s">
        <v>56</v>
      </c>
      <c r="E2660" s="2" t="s">
        <v>405</v>
      </c>
      <c r="F2660" s="1"/>
      <c r="G2660" s="2">
        <v>15</v>
      </c>
      <c r="H2660" s="1"/>
      <c r="I2660" t="s">
        <v>1</v>
      </c>
      <c r="J2660" t="s">
        <v>65</v>
      </c>
      <c r="K2660" t="s">
        <v>3</v>
      </c>
      <c r="L2660" t="s">
        <v>407</v>
      </c>
      <c r="M2660" s="3" t="s">
        <v>1615</v>
      </c>
    </row>
    <row r="2661" spans="1:13" hidden="1" x14ac:dyDescent="0.25">
      <c r="A2661" s="1" t="str">
        <f>VLOOKUP(Table2[[#This Row],[Prod Line ]],Lists!A:E,5,0)</f>
        <v>b</v>
      </c>
      <c r="B2661" s="1">
        <v>44618</v>
      </c>
      <c r="C2661" s="1">
        <v>44616</v>
      </c>
      <c r="D2661" s="1" t="s">
        <v>58</v>
      </c>
      <c r="E2661" s="2" t="s">
        <v>404</v>
      </c>
      <c r="F2661" s="1"/>
      <c r="G2661" s="2">
        <v>10</v>
      </c>
      <c r="H2661" s="1"/>
      <c r="I2661" t="s">
        <v>1</v>
      </c>
      <c r="J2661" t="s">
        <v>65</v>
      </c>
      <c r="K2661" t="s">
        <v>3</v>
      </c>
      <c r="L2661" t="s">
        <v>441</v>
      </c>
      <c r="M2661" s="3" t="s">
        <v>612</v>
      </c>
    </row>
    <row r="2662" spans="1:13" hidden="1" x14ac:dyDescent="0.25">
      <c r="A2662" s="1" t="str">
        <f>VLOOKUP(Table2[[#This Row],[Prod Line ]],Lists!A:E,5,0)</f>
        <v>b</v>
      </c>
      <c r="B2662" s="1">
        <v>44618</v>
      </c>
      <c r="C2662" s="1">
        <v>44616</v>
      </c>
      <c r="D2662" s="1" t="s">
        <v>58</v>
      </c>
      <c r="E2662" s="2" t="s">
        <v>404</v>
      </c>
      <c r="F2662" s="1"/>
      <c r="G2662" s="2">
        <v>6</v>
      </c>
      <c r="H2662" s="1"/>
      <c r="I2662" t="s">
        <v>1</v>
      </c>
      <c r="J2662" t="s">
        <v>2</v>
      </c>
      <c r="K2662" t="s">
        <v>19</v>
      </c>
      <c r="L2662" t="s">
        <v>349</v>
      </c>
      <c r="M2662" s="3" t="s">
        <v>524</v>
      </c>
    </row>
    <row r="2663" spans="1:13" hidden="1" x14ac:dyDescent="0.25">
      <c r="A2663" s="1" t="str">
        <f>VLOOKUP(Table2[[#This Row],[Prod Line ]],Lists!A:E,5,0)</f>
        <v>c</v>
      </c>
      <c r="B2663" s="1">
        <v>44618</v>
      </c>
      <c r="C2663" s="1">
        <v>44616</v>
      </c>
      <c r="D2663" s="1" t="s">
        <v>60</v>
      </c>
      <c r="E2663" s="2" t="s">
        <v>405</v>
      </c>
      <c r="F2663" s="1"/>
      <c r="G2663" s="2">
        <v>10</v>
      </c>
      <c r="H2663" s="1"/>
      <c r="I2663" t="s">
        <v>1</v>
      </c>
      <c r="J2663" t="s">
        <v>2</v>
      </c>
      <c r="K2663" t="s">
        <v>378</v>
      </c>
      <c r="L2663" t="s">
        <v>349</v>
      </c>
      <c r="M2663" s="3" t="s">
        <v>575</v>
      </c>
    </row>
    <row r="2664" spans="1:13" hidden="1" x14ac:dyDescent="0.25">
      <c r="A2664" s="1" t="str">
        <f>VLOOKUP(Table2[[#This Row],[Prod Line ]],Lists!A:E,5,0)</f>
        <v>d</v>
      </c>
      <c r="B2664" s="1">
        <v>44618</v>
      </c>
      <c r="C2664" s="1">
        <v>44616</v>
      </c>
      <c r="D2664" s="1" t="s">
        <v>62</v>
      </c>
      <c r="E2664" s="2" t="s">
        <v>405</v>
      </c>
      <c r="F2664" s="1"/>
      <c r="G2664" s="2">
        <v>34</v>
      </c>
      <c r="H2664" s="1"/>
      <c r="I2664" t="s">
        <v>1</v>
      </c>
      <c r="J2664" t="s">
        <v>64</v>
      </c>
      <c r="K2664" t="s">
        <v>379</v>
      </c>
      <c r="L2664" t="s">
        <v>407</v>
      </c>
      <c r="M2664" s="3" t="s">
        <v>2124</v>
      </c>
    </row>
    <row r="2665" spans="1:13" hidden="1" x14ac:dyDescent="0.25">
      <c r="A2665" s="1" t="str">
        <f>VLOOKUP(Table2[[#This Row],[Prod Line ]],Lists!A:E,5,0)</f>
        <v>d</v>
      </c>
      <c r="B2665" s="1">
        <v>44618</v>
      </c>
      <c r="C2665" s="1">
        <v>44616</v>
      </c>
      <c r="D2665" s="1" t="s">
        <v>62</v>
      </c>
      <c r="E2665" s="2" t="s">
        <v>406</v>
      </c>
      <c r="F2665" s="1"/>
      <c r="G2665" s="2">
        <v>3</v>
      </c>
      <c r="H2665" s="1"/>
      <c r="I2665" t="s">
        <v>1</v>
      </c>
      <c r="J2665" t="s">
        <v>64</v>
      </c>
      <c r="K2665" t="s">
        <v>379</v>
      </c>
      <c r="L2665" t="s">
        <v>349</v>
      </c>
      <c r="M2665" s="3" t="s">
        <v>2125</v>
      </c>
    </row>
    <row r="2666" spans="1:13" hidden="1" x14ac:dyDescent="0.25">
      <c r="A2666" s="1" t="str">
        <f>VLOOKUP(Table2[[#This Row],[Prod Line ]],Lists!A:E,5,0)</f>
        <v>a</v>
      </c>
      <c r="B2666" s="1">
        <v>44620</v>
      </c>
      <c r="C2666" s="1">
        <v>44618</v>
      </c>
      <c r="D2666" s="1" t="s">
        <v>56</v>
      </c>
      <c r="E2666" s="2" t="s">
        <v>404</v>
      </c>
      <c r="F2666" s="1"/>
      <c r="G2666" s="2">
        <v>20</v>
      </c>
      <c r="H2666" s="1"/>
      <c r="I2666" t="s">
        <v>1</v>
      </c>
      <c r="J2666" t="s">
        <v>64</v>
      </c>
      <c r="K2666" t="s">
        <v>369</v>
      </c>
      <c r="L2666" t="s">
        <v>407</v>
      </c>
      <c r="M2666" s="3" t="s">
        <v>750</v>
      </c>
    </row>
    <row r="2667" spans="1:13" hidden="1" x14ac:dyDescent="0.25">
      <c r="A2667" s="1" t="str">
        <f>VLOOKUP(Table2[[#This Row],[Prod Line ]],Lists!A:E,5,0)</f>
        <v>a</v>
      </c>
      <c r="B2667" s="1">
        <v>44620</v>
      </c>
      <c r="C2667" s="1">
        <v>44618</v>
      </c>
      <c r="D2667" s="1" t="s">
        <v>56</v>
      </c>
      <c r="E2667" s="2" t="s">
        <v>404</v>
      </c>
      <c r="F2667" s="1"/>
      <c r="G2667" s="2">
        <v>6</v>
      </c>
      <c r="H2667" s="1"/>
      <c r="I2667" t="s">
        <v>1</v>
      </c>
      <c r="J2667" t="s">
        <v>64</v>
      </c>
      <c r="K2667" t="s">
        <v>367</v>
      </c>
      <c r="L2667" t="s">
        <v>407</v>
      </c>
      <c r="M2667" s="3" t="s">
        <v>2126</v>
      </c>
    </row>
    <row r="2668" spans="1:13" x14ac:dyDescent="0.25">
      <c r="A2668" s="1" t="str">
        <f>VLOOKUP(Table2[[#This Row],[Prod Line ]],Lists!A:E,5,0)</f>
        <v>a</v>
      </c>
      <c r="B2668" s="1">
        <v>44620</v>
      </c>
      <c r="C2668" s="1">
        <v>44618</v>
      </c>
      <c r="D2668" s="1" t="s">
        <v>56</v>
      </c>
      <c r="E2668" s="2" t="s">
        <v>404</v>
      </c>
      <c r="F2668" s="1"/>
      <c r="G2668" s="2">
        <v>18</v>
      </c>
      <c r="H2668" s="1"/>
      <c r="I2668" t="s">
        <v>0</v>
      </c>
      <c r="J2668" t="s">
        <v>65</v>
      </c>
      <c r="K2668" t="s">
        <v>372</v>
      </c>
      <c r="L2668" t="s">
        <v>70</v>
      </c>
      <c r="M2668" s="3" t="s">
        <v>1080</v>
      </c>
    </row>
    <row r="2669" spans="1:13" x14ac:dyDescent="0.25">
      <c r="A2669" s="1" t="str">
        <f>VLOOKUP(Table2[[#This Row],[Prod Line ]],Lists!A:E,5,0)</f>
        <v>a</v>
      </c>
      <c r="B2669" s="1">
        <v>44620</v>
      </c>
      <c r="C2669" s="1">
        <v>44618</v>
      </c>
      <c r="D2669" s="1" t="s">
        <v>56</v>
      </c>
      <c r="E2669" s="2" t="s">
        <v>404</v>
      </c>
      <c r="F2669" s="1"/>
      <c r="G2669" s="2">
        <v>12</v>
      </c>
      <c r="H2669" s="1"/>
      <c r="I2669" t="s">
        <v>0</v>
      </c>
      <c r="J2669" t="s">
        <v>65</v>
      </c>
      <c r="K2669" t="s">
        <v>27</v>
      </c>
      <c r="L2669" t="s">
        <v>70</v>
      </c>
      <c r="M2669" s="3" t="s">
        <v>2075</v>
      </c>
    </row>
    <row r="2670" spans="1:13" x14ac:dyDescent="0.25">
      <c r="A2670" s="1" t="str">
        <f>VLOOKUP(Table2[[#This Row],[Prod Line ]],Lists!A:E,5,0)</f>
        <v>a</v>
      </c>
      <c r="B2670" s="1">
        <v>44620</v>
      </c>
      <c r="C2670" s="1">
        <v>44618</v>
      </c>
      <c r="D2670" s="1" t="s">
        <v>56</v>
      </c>
      <c r="E2670" s="2" t="s">
        <v>404</v>
      </c>
      <c r="F2670" s="1"/>
      <c r="G2670" s="2">
        <v>15</v>
      </c>
      <c r="H2670" s="1"/>
      <c r="I2670" t="s">
        <v>0</v>
      </c>
      <c r="J2670" t="s">
        <v>64</v>
      </c>
      <c r="K2670" t="s">
        <v>365</v>
      </c>
      <c r="L2670" t="s">
        <v>70</v>
      </c>
      <c r="M2670" s="3" t="s">
        <v>990</v>
      </c>
    </row>
    <row r="2671" spans="1:13" x14ac:dyDescent="0.25">
      <c r="A2671" s="1" t="str">
        <f>VLOOKUP(Table2[[#This Row],[Prod Line ]],Lists!A:E,5,0)</f>
        <v>a</v>
      </c>
      <c r="B2671" s="1">
        <v>44620</v>
      </c>
      <c r="C2671" s="1">
        <v>44618</v>
      </c>
      <c r="D2671" s="1" t="s">
        <v>56</v>
      </c>
      <c r="E2671" s="2" t="s">
        <v>404</v>
      </c>
      <c r="F2671" s="1"/>
      <c r="G2671" s="2">
        <v>28</v>
      </c>
      <c r="H2671" s="1"/>
      <c r="I2671" t="s">
        <v>0</v>
      </c>
      <c r="J2671" t="s">
        <v>64</v>
      </c>
      <c r="K2671" t="s">
        <v>368</v>
      </c>
      <c r="L2671" t="s">
        <v>70</v>
      </c>
      <c r="M2671" s="3" t="s">
        <v>2127</v>
      </c>
    </row>
    <row r="2672" spans="1:13" hidden="1" x14ac:dyDescent="0.25">
      <c r="A2672" s="1" t="str">
        <f>VLOOKUP(Table2[[#This Row],[Prod Line ]],Lists!A:E,5,0)</f>
        <v>a</v>
      </c>
      <c r="B2672" s="1">
        <v>44620</v>
      </c>
      <c r="C2672" s="1">
        <v>44618</v>
      </c>
      <c r="D2672" s="1" t="s">
        <v>56</v>
      </c>
      <c r="E2672" s="2" t="s">
        <v>404</v>
      </c>
      <c r="F2672" s="1"/>
      <c r="G2672" s="2">
        <v>6</v>
      </c>
      <c r="H2672" s="1"/>
      <c r="I2672" t="s">
        <v>1</v>
      </c>
      <c r="J2672" t="s">
        <v>2</v>
      </c>
      <c r="K2672" t="s">
        <v>19</v>
      </c>
      <c r="L2672" t="s">
        <v>349</v>
      </c>
      <c r="M2672" s="3" t="s">
        <v>575</v>
      </c>
    </row>
    <row r="2673" spans="1:13" hidden="1" x14ac:dyDescent="0.25">
      <c r="A2673" s="1" t="str">
        <f>VLOOKUP(Table2[[#This Row],[Prod Line ]],Lists!A:E,5,0)</f>
        <v>a</v>
      </c>
      <c r="B2673" s="1">
        <v>44620</v>
      </c>
      <c r="C2673" s="1">
        <v>44618</v>
      </c>
      <c r="D2673" s="1" t="s">
        <v>56</v>
      </c>
      <c r="E2673" s="2" t="s">
        <v>404</v>
      </c>
      <c r="F2673" s="1"/>
      <c r="G2673" s="2">
        <v>10</v>
      </c>
      <c r="H2673" s="1"/>
      <c r="I2673" t="s">
        <v>1</v>
      </c>
      <c r="J2673" t="s">
        <v>65</v>
      </c>
      <c r="K2673" t="s">
        <v>3</v>
      </c>
      <c r="L2673" t="s">
        <v>441</v>
      </c>
      <c r="M2673" s="3" t="s">
        <v>2128</v>
      </c>
    </row>
    <row r="2674" spans="1:13" hidden="1" x14ac:dyDescent="0.25">
      <c r="A2674" s="1" t="str">
        <f>VLOOKUP(Table2[[#This Row],[Prod Line ]],Lists!A:E,5,0)</f>
        <v>a</v>
      </c>
      <c r="B2674" s="1">
        <v>44620</v>
      </c>
      <c r="C2674" s="1">
        <v>44618</v>
      </c>
      <c r="D2674" s="1" t="s">
        <v>56</v>
      </c>
      <c r="E2674" s="2" t="s">
        <v>404</v>
      </c>
      <c r="F2674" s="1"/>
      <c r="G2674" s="2">
        <v>25</v>
      </c>
      <c r="H2674" s="1"/>
      <c r="I2674" t="s">
        <v>1</v>
      </c>
      <c r="J2674" t="s">
        <v>2</v>
      </c>
      <c r="K2674" t="s">
        <v>19</v>
      </c>
      <c r="L2674" t="s">
        <v>349</v>
      </c>
      <c r="M2674" s="3" t="s">
        <v>575</v>
      </c>
    </row>
    <row r="2675" spans="1:13" hidden="1" x14ac:dyDescent="0.25">
      <c r="A2675" s="1" t="str">
        <f>VLOOKUP(Table2[[#This Row],[Prod Line ]],Lists!A:E,5,0)</f>
        <v>a</v>
      </c>
      <c r="B2675" s="1">
        <v>44620</v>
      </c>
      <c r="C2675" s="1">
        <v>44618</v>
      </c>
      <c r="D2675" s="1" t="s">
        <v>56</v>
      </c>
      <c r="E2675" s="2" t="s">
        <v>404</v>
      </c>
      <c r="F2675" s="1"/>
      <c r="G2675" s="2">
        <v>14</v>
      </c>
      <c r="H2675" s="1"/>
      <c r="I2675" t="s">
        <v>1</v>
      </c>
      <c r="J2675" t="s">
        <v>64</v>
      </c>
      <c r="K2675" t="s">
        <v>369</v>
      </c>
      <c r="L2675" t="s">
        <v>407</v>
      </c>
      <c r="M2675" s="3" t="s">
        <v>750</v>
      </c>
    </row>
    <row r="2676" spans="1:13" hidden="1" x14ac:dyDescent="0.25">
      <c r="A2676" s="1" t="str">
        <f>VLOOKUP(Table2[[#This Row],[Prod Line ]],Lists!A:E,5,0)</f>
        <v>d</v>
      </c>
      <c r="B2676" s="1">
        <v>44620</v>
      </c>
      <c r="C2676" s="1">
        <v>44618</v>
      </c>
      <c r="D2676" s="1" t="s">
        <v>62</v>
      </c>
      <c r="E2676" s="2" t="s">
        <v>404</v>
      </c>
      <c r="F2676" s="1"/>
      <c r="G2676" s="2">
        <v>23</v>
      </c>
      <c r="H2676" s="1"/>
      <c r="I2676" t="s">
        <v>1</v>
      </c>
      <c r="J2676" t="s">
        <v>2</v>
      </c>
      <c r="K2676" t="s">
        <v>19</v>
      </c>
      <c r="L2676" t="s">
        <v>407</v>
      </c>
      <c r="M2676" s="3" t="s">
        <v>834</v>
      </c>
    </row>
    <row r="2677" spans="1:13" hidden="1" x14ac:dyDescent="0.25">
      <c r="A2677" s="1" t="str">
        <f>VLOOKUP(Table2[[#This Row],[Prod Line ]],Lists!A:E,5,0)</f>
        <v>a</v>
      </c>
      <c r="B2677" s="1">
        <v>44621</v>
      </c>
      <c r="C2677" s="1">
        <v>44619</v>
      </c>
      <c r="D2677" s="1" t="s">
        <v>56</v>
      </c>
      <c r="E2677" s="2" t="s">
        <v>405</v>
      </c>
      <c r="F2677" s="1"/>
      <c r="G2677" s="2">
        <v>20</v>
      </c>
      <c r="H2677" s="1"/>
      <c r="I2677" t="s">
        <v>1</v>
      </c>
      <c r="J2677" t="s">
        <v>65</v>
      </c>
      <c r="K2677" t="s">
        <v>372</v>
      </c>
      <c r="L2677" t="s">
        <v>407</v>
      </c>
      <c r="M2677" s="3" t="s">
        <v>2129</v>
      </c>
    </row>
    <row r="2678" spans="1:13" x14ac:dyDescent="0.25">
      <c r="A2678" s="1" t="str">
        <f>VLOOKUP(Table2[[#This Row],[Prod Line ]],Lists!A:E,5,0)</f>
        <v>a</v>
      </c>
      <c r="B2678" s="1">
        <v>44621</v>
      </c>
      <c r="C2678" s="1">
        <v>44619</v>
      </c>
      <c r="D2678" s="1" t="s">
        <v>56</v>
      </c>
      <c r="E2678" s="2" t="s">
        <v>406</v>
      </c>
      <c r="F2678" s="1"/>
      <c r="G2678" s="2">
        <v>14</v>
      </c>
      <c r="H2678" s="1"/>
      <c r="I2678" t="s">
        <v>0</v>
      </c>
      <c r="J2678" t="s">
        <v>65</v>
      </c>
      <c r="K2678" t="s">
        <v>372</v>
      </c>
      <c r="L2678" t="s">
        <v>70</v>
      </c>
      <c r="M2678" s="3" t="s">
        <v>2130</v>
      </c>
    </row>
    <row r="2679" spans="1:13" hidden="1" x14ac:dyDescent="0.25">
      <c r="A2679" s="1" t="str">
        <f>VLOOKUP(Table2[[#This Row],[Prod Line ]],Lists!A:E,5,0)</f>
        <v>a</v>
      </c>
      <c r="B2679" s="1">
        <v>44621</v>
      </c>
      <c r="C2679" s="1">
        <v>44619</v>
      </c>
      <c r="D2679" s="1" t="s">
        <v>56</v>
      </c>
      <c r="E2679" s="2" t="s">
        <v>406</v>
      </c>
      <c r="F2679" s="1"/>
      <c r="G2679" s="2">
        <v>5</v>
      </c>
      <c r="H2679" s="1"/>
      <c r="I2679" t="s">
        <v>1</v>
      </c>
      <c r="J2679" t="s">
        <v>64</v>
      </c>
      <c r="K2679" t="s">
        <v>367</v>
      </c>
      <c r="L2679" t="s">
        <v>349</v>
      </c>
      <c r="M2679" s="3" t="s">
        <v>575</v>
      </c>
    </row>
    <row r="2680" spans="1:13" hidden="1" x14ac:dyDescent="0.25">
      <c r="A2680" s="1" t="str">
        <f>VLOOKUP(Table2[[#This Row],[Prod Line ]],Lists!A:E,5,0)</f>
        <v>b</v>
      </c>
      <c r="B2680" s="1">
        <v>44621</v>
      </c>
      <c r="C2680" s="1">
        <v>44619</v>
      </c>
      <c r="D2680" s="1" t="s">
        <v>58</v>
      </c>
      <c r="E2680" s="2" t="s">
        <v>405</v>
      </c>
      <c r="F2680" s="1"/>
      <c r="G2680" s="2">
        <v>5</v>
      </c>
      <c r="H2680" s="1"/>
      <c r="I2680" t="s">
        <v>1</v>
      </c>
      <c r="J2680" t="s">
        <v>65</v>
      </c>
      <c r="K2680" t="s">
        <v>3</v>
      </c>
      <c r="L2680" t="s">
        <v>441</v>
      </c>
      <c r="M2680" s="3" t="s">
        <v>612</v>
      </c>
    </row>
    <row r="2681" spans="1:13" hidden="1" x14ac:dyDescent="0.25">
      <c r="A2681" s="1" t="str">
        <f>VLOOKUP(Table2[[#This Row],[Prod Line ]],Lists!A:E,5,0)</f>
        <v>b</v>
      </c>
      <c r="B2681" s="1">
        <v>44621</v>
      </c>
      <c r="C2681" s="1">
        <v>44619</v>
      </c>
      <c r="D2681" s="1" t="s">
        <v>58</v>
      </c>
      <c r="E2681" s="2" t="s">
        <v>406</v>
      </c>
      <c r="F2681" s="1"/>
      <c r="G2681" s="2">
        <v>33</v>
      </c>
      <c r="H2681" s="1"/>
      <c r="I2681" t="s">
        <v>1</v>
      </c>
      <c r="J2681" t="s">
        <v>67</v>
      </c>
      <c r="K2681" t="s">
        <v>67</v>
      </c>
      <c r="L2681" t="s">
        <v>407</v>
      </c>
      <c r="M2681" s="3" t="s">
        <v>48</v>
      </c>
    </row>
    <row r="2682" spans="1:13" hidden="1" x14ac:dyDescent="0.25">
      <c r="A2682" s="1" t="str">
        <f>VLOOKUP(Table2[[#This Row],[Prod Line ]],Lists!A:E,5,0)</f>
        <v>c</v>
      </c>
      <c r="B2682" s="1">
        <v>44621</v>
      </c>
      <c r="C2682" s="1">
        <v>44619</v>
      </c>
      <c r="D2682" s="1" t="s">
        <v>60</v>
      </c>
      <c r="E2682" s="2" t="s">
        <v>405</v>
      </c>
      <c r="F2682" s="1"/>
      <c r="G2682" s="2">
        <v>3</v>
      </c>
      <c r="H2682" s="1"/>
      <c r="I2682" t="s">
        <v>1</v>
      </c>
      <c r="J2682" t="s">
        <v>2</v>
      </c>
      <c r="K2682" t="s">
        <v>378</v>
      </c>
      <c r="L2682" t="s">
        <v>349</v>
      </c>
      <c r="M2682" s="3" t="s">
        <v>575</v>
      </c>
    </row>
    <row r="2683" spans="1:13" hidden="1" x14ac:dyDescent="0.25">
      <c r="A2683" s="1" t="str">
        <f>VLOOKUP(Table2[[#This Row],[Prod Line ]],Lists!A:E,5,0)</f>
        <v>d</v>
      </c>
      <c r="B2683" s="1">
        <v>44621</v>
      </c>
      <c r="C2683" s="1">
        <v>44619</v>
      </c>
      <c r="D2683" s="1" t="s">
        <v>62</v>
      </c>
      <c r="E2683" s="2" t="s">
        <v>405</v>
      </c>
      <c r="F2683" s="1"/>
      <c r="G2683" s="2">
        <v>28</v>
      </c>
      <c r="H2683" s="1"/>
      <c r="I2683" t="s">
        <v>1</v>
      </c>
      <c r="J2683" t="s">
        <v>67</v>
      </c>
      <c r="K2683" t="s">
        <v>67</v>
      </c>
      <c r="L2683" t="s">
        <v>407</v>
      </c>
      <c r="M2683" s="3" t="s">
        <v>48</v>
      </c>
    </row>
    <row r="2684" spans="1:13" hidden="1" x14ac:dyDescent="0.25">
      <c r="A2684" s="1" t="str">
        <f>VLOOKUP(Table2[[#This Row],[Prod Line ]],Lists!A:E,5,0)</f>
        <v>d</v>
      </c>
      <c r="B2684" s="1">
        <v>44623</v>
      </c>
      <c r="C2684" s="1">
        <v>44621</v>
      </c>
      <c r="D2684" s="1" t="s">
        <v>62</v>
      </c>
      <c r="E2684" s="2" t="s">
        <v>404</v>
      </c>
      <c r="F2684" s="1"/>
      <c r="G2684" s="2">
        <v>10</v>
      </c>
      <c r="H2684" s="1"/>
      <c r="I2684" t="s">
        <v>1</v>
      </c>
      <c r="J2684" t="s">
        <v>2</v>
      </c>
      <c r="K2684" t="s">
        <v>19</v>
      </c>
      <c r="L2684" t="s">
        <v>407</v>
      </c>
      <c r="M2684" s="3" t="s">
        <v>2131</v>
      </c>
    </row>
    <row r="2685" spans="1:13" hidden="1" x14ac:dyDescent="0.25">
      <c r="A2685" s="1" t="str">
        <f>VLOOKUP(Table2[[#This Row],[Prod Line ]],Lists!A:E,5,0)</f>
        <v>d</v>
      </c>
      <c r="B2685" s="1">
        <v>44623</v>
      </c>
      <c r="C2685" s="1">
        <v>44621</v>
      </c>
      <c r="D2685" s="1" t="s">
        <v>62</v>
      </c>
      <c r="E2685" s="2" t="s">
        <v>404</v>
      </c>
      <c r="F2685" s="1"/>
      <c r="G2685" s="2">
        <v>10</v>
      </c>
      <c r="H2685" s="1"/>
      <c r="I2685" t="s">
        <v>1</v>
      </c>
      <c r="J2685" t="s">
        <v>5</v>
      </c>
      <c r="K2685" t="s">
        <v>396</v>
      </c>
      <c r="L2685" t="s">
        <v>407</v>
      </c>
      <c r="M2685" s="3" t="s">
        <v>1875</v>
      </c>
    </row>
    <row r="2686" spans="1:13" hidden="1" x14ac:dyDescent="0.25">
      <c r="A2686" s="1" t="str">
        <f>VLOOKUP(Table2[[#This Row],[Prod Line ]],Lists!A:E,5,0)</f>
        <v>d</v>
      </c>
      <c r="B2686" s="1">
        <v>44623</v>
      </c>
      <c r="C2686" s="1">
        <v>44621</v>
      </c>
      <c r="D2686" s="1" t="s">
        <v>62</v>
      </c>
      <c r="E2686" s="2" t="s">
        <v>404</v>
      </c>
      <c r="F2686" s="1"/>
      <c r="G2686" s="2">
        <v>12</v>
      </c>
      <c r="H2686" s="1"/>
      <c r="I2686" t="s">
        <v>1</v>
      </c>
      <c r="J2686" t="s">
        <v>64</v>
      </c>
      <c r="K2686" t="s">
        <v>379</v>
      </c>
      <c r="L2686" t="s">
        <v>407</v>
      </c>
      <c r="M2686" s="3" t="s">
        <v>750</v>
      </c>
    </row>
    <row r="2687" spans="1:13" hidden="1" x14ac:dyDescent="0.25">
      <c r="A2687" s="1" t="str">
        <f>VLOOKUP(Table2[[#This Row],[Prod Line ]],Lists!A:E,5,0)</f>
        <v>c</v>
      </c>
      <c r="B2687" s="1">
        <v>44623</v>
      </c>
      <c r="C2687" s="1">
        <v>44621</v>
      </c>
      <c r="D2687" s="1" t="s">
        <v>60</v>
      </c>
      <c r="E2687" s="2" t="s">
        <v>405</v>
      </c>
      <c r="F2687" s="1"/>
      <c r="G2687" s="2">
        <v>5</v>
      </c>
      <c r="H2687" s="1"/>
      <c r="I2687" t="s">
        <v>1</v>
      </c>
      <c r="J2687" t="s">
        <v>2</v>
      </c>
      <c r="K2687" t="s">
        <v>378</v>
      </c>
      <c r="L2687" t="s">
        <v>407</v>
      </c>
      <c r="M2687" s="3" t="s">
        <v>1465</v>
      </c>
    </row>
    <row r="2688" spans="1:13" hidden="1" x14ac:dyDescent="0.25">
      <c r="A2688" s="1" t="str">
        <f>VLOOKUP(Table2[[#This Row],[Prod Line ]],Lists!A:E,5,0)</f>
        <v>c</v>
      </c>
      <c r="B2688" s="1">
        <v>44623</v>
      </c>
      <c r="C2688" s="1">
        <v>44621</v>
      </c>
      <c r="D2688" s="1" t="s">
        <v>60</v>
      </c>
      <c r="E2688" s="2" t="s">
        <v>405</v>
      </c>
      <c r="F2688" s="1"/>
      <c r="G2688" s="2">
        <v>5</v>
      </c>
      <c r="H2688" s="1"/>
      <c r="I2688" t="s">
        <v>1</v>
      </c>
      <c r="J2688" t="s">
        <v>64</v>
      </c>
      <c r="K2688" t="s">
        <v>368</v>
      </c>
      <c r="L2688" t="s">
        <v>407</v>
      </c>
      <c r="M2688" s="3" t="s">
        <v>2132</v>
      </c>
    </row>
    <row r="2689" spans="1:13" x14ac:dyDescent="0.25">
      <c r="A2689" s="1" t="str">
        <f>VLOOKUP(Table2[[#This Row],[Prod Line ]],Lists!A:E,5,0)</f>
        <v>b</v>
      </c>
      <c r="B2689" s="1">
        <v>44623</v>
      </c>
      <c r="C2689" s="1">
        <v>44621</v>
      </c>
      <c r="D2689" s="1" t="s">
        <v>58</v>
      </c>
      <c r="E2689" s="2" t="s">
        <v>406</v>
      </c>
      <c r="F2689" s="1"/>
      <c r="G2689" s="2">
        <v>11</v>
      </c>
      <c r="H2689" s="1"/>
      <c r="I2689" t="s">
        <v>0</v>
      </c>
      <c r="J2689" t="s">
        <v>65</v>
      </c>
      <c r="K2689" t="s">
        <v>28</v>
      </c>
      <c r="L2689" t="s">
        <v>70</v>
      </c>
      <c r="M2689" s="3" t="s">
        <v>2119</v>
      </c>
    </row>
    <row r="2690" spans="1:13" hidden="1" x14ac:dyDescent="0.25">
      <c r="A2690" s="1" t="str">
        <f>VLOOKUP(Table2[[#This Row],[Prod Line ]],Lists!A:E,5,0)</f>
        <v>b</v>
      </c>
      <c r="B2690" s="1">
        <v>44623</v>
      </c>
      <c r="C2690" s="1">
        <v>44621</v>
      </c>
      <c r="D2690" s="1" t="s">
        <v>58</v>
      </c>
      <c r="E2690" s="2" t="s">
        <v>406</v>
      </c>
      <c r="F2690" s="1"/>
      <c r="G2690" s="2">
        <v>20</v>
      </c>
      <c r="H2690" s="1"/>
      <c r="I2690" t="s">
        <v>1</v>
      </c>
      <c r="J2690" t="s">
        <v>65</v>
      </c>
      <c r="K2690" t="s">
        <v>3</v>
      </c>
      <c r="L2690" t="s">
        <v>441</v>
      </c>
      <c r="M2690" s="3" t="s">
        <v>2133</v>
      </c>
    </row>
    <row r="2691" spans="1:13" hidden="1" x14ac:dyDescent="0.25">
      <c r="A2691" s="1" t="str">
        <f>VLOOKUP(Table2[[#This Row],[Prod Line ]],Lists!A:E,5,0)</f>
        <v>a</v>
      </c>
      <c r="B2691" s="1">
        <v>44623</v>
      </c>
      <c r="C2691" s="1">
        <v>44621</v>
      </c>
      <c r="D2691" s="1" t="s">
        <v>56</v>
      </c>
      <c r="E2691" s="2" t="s">
        <v>406</v>
      </c>
      <c r="F2691" s="1"/>
      <c r="G2691" s="2">
        <v>9</v>
      </c>
      <c r="H2691" s="1"/>
      <c r="I2691" t="s">
        <v>1</v>
      </c>
      <c r="J2691" t="s">
        <v>2</v>
      </c>
      <c r="K2691" t="s">
        <v>19</v>
      </c>
      <c r="L2691" t="s">
        <v>349</v>
      </c>
      <c r="M2691" s="3" t="s">
        <v>575</v>
      </c>
    </row>
    <row r="2692" spans="1:13" x14ac:dyDescent="0.25">
      <c r="A2692" s="1" t="str">
        <f>VLOOKUP(Table2[[#This Row],[Prod Line ]],Lists!A:E,5,0)</f>
        <v>a</v>
      </c>
      <c r="B2692" s="1">
        <v>44623</v>
      </c>
      <c r="C2692" s="1">
        <v>44621</v>
      </c>
      <c r="D2692" s="1" t="s">
        <v>56</v>
      </c>
      <c r="E2692" s="2" t="s">
        <v>406</v>
      </c>
      <c r="F2692" s="1"/>
      <c r="G2692" s="2">
        <v>20</v>
      </c>
      <c r="H2692" s="1"/>
      <c r="I2692" t="s">
        <v>0</v>
      </c>
      <c r="J2692" t="s">
        <v>65</v>
      </c>
      <c r="K2692" t="s">
        <v>27</v>
      </c>
      <c r="L2692" t="s">
        <v>70</v>
      </c>
      <c r="M2692" s="3" t="s">
        <v>1607</v>
      </c>
    </row>
    <row r="2693" spans="1:13" x14ac:dyDescent="0.25">
      <c r="A2693" s="1" t="str">
        <f>VLOOKUP(Table2[[#This Row],[Prod Line ]],Lists!A:E,5,0)</f>
        <v>a</v>
      </c>
      <c r="B2693" s="1">
        <v>44623</v>
      </c>
      <c r="C2693" s="1">
        <v>44621</v>
      </c>
      <c r="D2693" s="1" t="s">
        <v>56</v>
      </c>
      <c r="E2693" s="2" t="s">
        <v>404</v>
      </c>
      <c r="F2693" s="1"/>
      <c r="G2693" s="2">
        <v>38</v>
      </c>
      <c r="H2693" s="1"/>
      <c r="I2693" t="s">
        <v>0</v>
      </c>
      <c r="J2693" t="s">
        <v>65</v>
      </c>
      <c r="K2693" t="s">
        <v>27</v>
      </c>
      <c r="L2693" t="s">
        <v>69</v>
      </c>
      <c r="M2693" s="3" t="s">
        <v>2134</v>
      </c>
    </row>
    <row r="2694" spans="1:13" x14ac:dyDescent="0.25">
      <c r="A2694" s="1" t="str">
        <f>VLOOKUP(Table2[[#This Row],[Prod Line ]],Lists!A:E,5,0)</f>
        <v>a</v>
      </c>
      <c r="B2694" s="1">
        <v>44624</v>
      </c>
      <c r="C2694" s="1">
        <v>44622</v>
      </c>
      <c r="D2694" s="1" t="s">
        <v>56</v>
      </c>
      <c r="E2694" s="2" t="s">
        <v>404</v>
      </c>
      <c r="F2694" s="1"/>
      <c r="G2694" s="2">
        <v>12</v>
      </c>
      <c r="H2694" s="1"/>
      <c r="I2694" t="s">
        <v>0</v>
      </c>
      <c r="J2694" t="s">
        <v>64</v>
      </c>
      <c r="K2694" t="s">
        <v>363</v>
      </c>
      <c r="L2694" t="s">
        <v>70</v>
      </c>
      <c r="M2694" s="3" t="s">
        <v>990</v>
      </c>
    </row>
    <row r="2695" spans="1:13" hidden="1" x14ac:dyDescent="0.25">
      <c r="A2695" s="1" t="str">
        <f>VLOOKUP(Table2[[#This Row],[Prod Line ]],Lists!A:E,5,0)</f>
        <v>a</v>
      </c>
      <c r="B2695" s="1">
        <v>44624</v>
      </c>
      <c r="C2695" s="1">
        <v>44622</v>
      </c>
      <c r="D2695" s="1" t="s">
        <v>56</v>
      </c>
      <c r="E2695" s="2" t="s">
        <v>404</v>
      </c>
      <c r="F2695" s="1"/>
      <c r="G2695" s="2">
        <v>6</v>
      </c>
      <c r="H2695" s="1"/>
      <c r="I2695" t="s">
        <v>1</v>
      </c>
      <c r="J2695" t="s">
        <v>64</v>
      </c>
      <c r="K2695" t="s">
        <v>368</v>
      </c>
      <c r="L2695" t="s">
        <v>407</v>
      </c>
      <c r="M2695" s="3" t="s">
        <v>939</v>
      </c>
    </row>
    <row r="2696" spans="1:13" x14ac:dyDescent="0.25">
      <c r="A2696" s="1" t="str">
        <f>VLOOKUP(Table2[[#This Row],[Prod Line ]],Lists!A:E,5,0)</f>
        <v>a</v>
      </c>
      <c r="B2696" s="1">
        <v>44624</v>
      </c>
      <c r="C2696" s="1">
        <v>44622</v>
      </c>
      <c r="D2696" s="1" t="s">
        <v>56</v>
      </c>
      <c r="E2696" s="2" t="s">
        <v>405</v>
      </c>
      <c r="F2696" s="1"/>
      <c r="G2696" s="2">
        <v>76</v>
      </c>
      <c r="H2696" s="1"/>
      <c r="I2696" t="s">
        <v>0</v>
      </c>
      <c r="J2696" t="s">
        <v>5</v>
      </c>
      <c r="K2696" t="s">
        <v>375</v>
      </c>
      <c r="L2696" t="s">
        <v>70</v>
      </c>
      <c r="M2696" s="3" t="s">
        <v>2135</v>
      </c>
    </row>
    <row r="2697" spans="1:13" hidden="1" x14ac:dyDescent="0.25">
      <c r="A2697" s="1" t="str">
        <f>VLOOKUP(Table2[[#This Row],[Prod Line ]],Lists!A:E,5,0)</f>
        <v>a</v>
      </c>
      <c r="B2697" s="1">
        <v>44624</v>
      </c>
      <c r="C2697" s="1">
        <v>44622</v>
      </c>
      <c r="D2697" s="1" t="s">
        <v>56</v>
      </c>
      <c r="E2697" s="2" t="s">
        <v>405</v>
      </c>
      <c r="F2697" s="1"/>
      <c r="G2697" s="2">
        <v>15</v>
      </c>
      <c r="H2697" s="1"/>
      <c r="I2697" t="s">
        <v>1</v>
      </c>
      <c r="J2697" t="s">
        <v>64</v>
      </c>
      <c r="K2697" t="s">
        <v>370</v>
      </c>
      <c r="L2697" t="s">
        <v>407</v>
      </c>
      <c r="M2697" s="3" t="s">
        <v>939</v>
      </c>
    </row>
    <row r="2698" spans="1:13" hidden="1" x14ac:dyDescent="0.25">
      <c r="A2698" s="1" t="str">
        <f>VLOOKUP(Table2[[#This Row],[Prod Line ]],Lists!A:E,5,0)</f>
        <v>a</v>
      </c>
      <c r="B2698" s="1">
        <v>44624</v>
      </c>
      <c r="C2698" s="1">
        <v>44622</v>
      </c>
      <c r="D2698" s="1" t="s">
        <v>56</v>
      </c>
      <c r="E2698" s="2" t="s">
        <v>406</v>
      </c>
      <c r="F2698" s="1"/>
      <c r="G2698" s="2">
        <v>24</v>
      </c>
      <c r="H2698" s="1"/>
      <c r="I2698" t="s">
        <v>1</v>
      </c>
      <c r="J2698" t="s">
        <v>64</v>
      </c>
      <c r="K2698" t="s">
        <v>370</v>
      </c>
      <c r="L2698" t="s">
        <v>407</v>
      </c>
      <c r="M2698" s="3" t="s">
        <v>939</v>
      </c>
    </row>
    <row r="2699" spans="1:13" hidden="1" x14ac:dyDescent="0.25">
      <c r="A2699" s="1" t="str">
        <f>VLOOKUP(Table2[[#This Row],[Prod Line ]],Lists!A:E,5,0)</f>
        <v>a</v>
      </c>
      <c r="B2699" s="1">
        <v>44624</v>
      </c>
      <c r="C2699" s="1">
        <v>44622</v>
      </c>
      <c r="D2699" s="1" t="s">
        <v>56</v>
      </c>
      <c r="E2699" s="2" t="s">
        <v>406</v>
      </c>
      <c r="F2699" s="1"/>
      <c r="G2699" s="2">
        <v>7</v>
      </c>
      <c r="H2699" s="1"/>
      <c r="I2699" t="s">
        <v>1</v>
      </c>
      <c r="J2699" t="s">
        <v>65</v>
      </c>
      <c r="K2699" t="s">
        <v>27</v>
      </c>
      <c r="L2699" t="s">
        <v>407</v>
      </c>
      <c r="M2699" s="3" t="s">
        <v>1058</v>
      </c>
    </row>
    <row r="2700" spans="1:13" hidden="1" x14ac:dyDescent="0.25">
      <c r="A2700" s="1" t="str">
        <f>VLOOKUP(Table2[[#This Row],[Prod Line ]],Lists!A:E,5,0)</f>
        <v>b</v>
      </c>
      <c r="B2700" s="1">
        <v>44624</v>
      </c>
      <c r="C2700" s="1">
        <v>44622</v>
      </c>
      <c r="D2700" s="1" t="s">
        <v>58</v>
      </c>
      <c r="E2700" s="2" t="s">
        <v>404</v>
      </c>
      <c r="F2700" s="1"/>
      <c r="G2700" s="2">
        <v>22</v>
      </c>
      <c r="H2700" s="1"/>
      <c r="I2700" t="s">
        <v>1</v>
      </c>
      <c r="J2700" t="s">
        <v>65</v>
      </c>
      <c r="K2700" t="s">
        <v>27</v>
      </c>
      <c r="L2700" t="s">
        <v>441</v>
      </c>
      <c r="M2700" s="3" t="s">
        <v>2136</v>
      </c>
    </row>
    <row r="2701" spans="1:13" hidden="1" x14ac:dyDescent="0.25">
      <c r="A2701" s="1" t="str">
        <f>VLOOKUP(Table2[[#This Row],[Prod Line ]],Lists!A:E,5,0)</f>
        <v>b</v>
      </c>
      <c r="B2701" s="1">
        <v>44624</v>
      </c>
      <c r="C2701" s="1">
        <v>44622</v>
      </c>
      <c r="D2701" s="1" t="s">
        <v>58</v>
      </c>
      <c r="E2701" s="2" t="s">
        <v>404</v>
      </c>
      <c r="F2701" s="1"/>
      <c r="G2701" s="2">
        <v>6</v>
      </c>
      <c r="H2701" s="1"/>
      <c r="I2701" t="s">
        <v>1</v>
      </c>
      <c r="J2701" t="s">
        <v>64</v>
      </c>
      <c r="K2701" t="s">
        <v>20</v>
      </c>
      <c r="L2701" t="s">
        <v>407</v>
      </c>
      <c r="M2701" s="3" t="s">
        <v>939</v>
      </c>
    </row>
    <row r="2702" spans="1:13" x14ac:dyDescent="0.25">
      <c r="A2702" s="1" t="str">
        <f>VLOOKUP(Table2[[#This Row],[Prod Line ]],Lists!A:E,5,0)</f>
        <v>c</v>
      </c>
      <c r="B2702" s="1">
        <v>44624</v>
      </c>
      <c r="C2702" s="1">
        <v>44622</v>
      </c>
      <c r="D2702" s="1" t="s">
        <v>60</v>
      </c>
      <c r="E2702" s="2" t="s">
        <v>405</v>
      </c>
      <c r="F2702" s="1"/>
      <c r="G2702" s="2">
        <v>16</v>
      </c>
      <c r="H2702" s="1"/>
      <c r="I2702" t="s">
        <v>0</v>
      </c>
      <c r="J2702" t="s">
        <v>2</v>
      </c>
      <c r="K2702" t="s">
        <v>378</v>
      </c>
      <c r="L2702" t="s">
        <v>69</v>
      </c>
      <c r="M2702" s="3" t="s">
        <v>2137</v>
      </c>
    </row>
    <row r="2703" spans="1:13" x14ac:dyDescent="0.25">
      <c r="A2703" s="1" t="str">
        <f>VLOOKUP(Table2[[#This Row],[Prod Line ]],Lists!A:E,5,0)</f>
        <v>d</v>
      </c>
      <c r="B2703" s="1">
        <v>44624</v>
      </c>
      <c r="C2703" s="1">
        <v>44622</v>
      </c>
      <c r="D2703" s="1" t="s">
        <v>62</v>
      </c>
      <c r="E2703" s="2" t="s">
        <v>404</v>
      </c>
      <c r="F2703" s="1"/>
      <c r="G2703" s="2">
        <v>61</v>
      </c>
      <c r="H2703" s="1"/>
      <c r="I2703" t="s">
        <v>0</v>
      </c>
      <c r="J2703" t="s">
        <v>5</v>
      </c>
      <c r="K2703" t="s">
        <v>396</v>
      </c>
      <c r="L2703" t="s">
        <v>70</v>
      </c>
      <c r="M2703" s="3" t="s">
        <v>2138</v>
      </c>
    </row>
    <row r="2704" spans="1:13" hidden="1" x14ac:dyDescent="0.25">
      <c r="A2704" s="1" t="str">
        <f>VLOOKUP(Table2[[#This Row],[Prod Line ]],Lists!A:E,5,0)</f>
        <v>d</v>
      </c>
      <c r="B2704" s="1">
        <v>44624</v>
      </c>
      <c r="C2704" s="1">
        <v>44622</v>
      </c>
      <c r="D2704" s="1" t="s">
        <v>62</v>
      </c>
      <c r="E2704" s="2" t="s">
        <v>405</v>
      </c>
      <c r="F2704" s="1"/>
      <c r="G2704" s="2">
        <v>15</v>
      </c>
      <c r="H2704" s="1"/>
      <c r="I2704" t="s">
        <v>1</v>
      </c>
      <c r="J2704" t="s">
        <v>5</v>
      </c>
      <c r="K2704" t="s">
        <v>397</v>
      </c>
      <c r="L2704" t="s">
        <v>407</v>
      </c>
      <c r="M2704" s="3" t="s">
        <v>790</v>
      </c>
    </row>
    <row r="2705" spans="1:13" hidden="1" x14ac:dyDescent="0.25">
      <c r="A2705" s="1" t="str">
        <f>VLOOKUP(Table2[[#This Row],[Prod Line ]],Lists!A:E,5,0)</f>
        <v>d</v>
      </c>
      <c r="B2705" s="1">
        <v>44625</v>
      </c>
      <c r="C2705" s="1">
        <v>44623</v>
      </c>
      <c r="D2705" s="1" t="s">
        <v>62</v>
      </c>
      <c r="E2705" s="2" t="s">
        <v>406</v>
      </c>
      <c r="F2705" s="1"/>
      <c r="G2705" s="2">
        <v>56</v>
      </c>
      <c r="H2705" s="1"/>
      <c r="I2705" t="s">
        <v>1</v>
      </c>
      <c r="J2705" t="s">
        <v>2</v>
      </c>
      <c r="K2705" t="s">
        <v>19</v>
      </c>
      <c r="L2705" t="s">
        <v>407</v>
      </c>
      <c r="M2705" s="3" t="s">
        <v>2139</v>
      </c>
    </row>
    <row r="2706" spans="1:13" hidden="1" x14ac:dyDescent="0.25">
      <c r="A2706" s="1" t="str">
        <f>VLOOKUP(Table2[[#This Row],[Prod Line ]],Lists!A:E,5,0)</f>
        <v>d</v>
      </c>
      <c r="B2706" s="1">
        <v>44625</v>
      </c>
      <c r="C2706" s="1">
        <v>44623</v>
      </c>
      <c r="D2706" s="1" t="s">
        <v>62</v>
      </c>
      <c r="E2706" s="2" t="s">
        <v>404</v>
      </c>
      <c r="F2706" s="1"/>
      <c r="G2706" s="2">
        <v>22</v>
      </c>
      <c r="H2706" s="1"/>
      <c r="I2706" t="s">
        <v>1</v>
      </c>
      <c r="J2706" t="s">
        <v>2</v>
      </c>
      <c r="K2706" t="s">
        <v>19</v>
      </c>
      <c r="L2706" t="s">
        <v>72</v>
      </c>
      <c r="M2706" s="3" t="s">
        <v>2140</v>
      </c>
    </row>
    <row r="2707" spans="1:13" x14ac:dyDescent="0.25">
      <c r="A2707" s="1" t="str">
        <f>VLOOKUP(Table2[[#This Row],[Prod Line ]],Lists!A:E,5,0)</f>
        <v>d</v>
      </c>
      <c r="B2707" s="1">
        <v>44625</v>
      </c>
      <c r="C2707" s="1">
        <v>44623</v>
      </c>
      <c r="D2707" s="1" t="s">
        <v>62</v>
      </c>
      <c r="E2707" s="2" t="s">
        <v>406</v>
      </c>
      <c r="F2707" s="1"/>
      <c r="G2707" s="2">
        <v>3</v>
      </c>
      <c r="H2707" s="1"/>
      <c r="I2707" t="s">
        <v>0</v>
      </c>
      <c r="J2707" t="s">
        <v>64</v>
      </c>
      <c r="K2707" t="s">
        <v>379</v>
      </c>
      <c r="L2707" t="s">
        <v>82</v>
      </c>
      <c r="M2707" s="3" t="s">
        <v>2098</v>
      </c>
    </row>
    <row r="2708" spans="1:13" hidden="1" x14ac:dyDescent="0.25">
      <c r="A2708" s="1" t="str">
        <f>VLOOKUP(Table2[[#This Row],[Prod Line ]],Lists!A:E,5,0)</f>
        <v>b</v>
      </c>
      <c r="B2708" s="1">
        <v>44625</v>
      </c>
      <c r="C2708" s="1">
        <v>44623</v>
      </c>
      <c r="D2708" s="1" t="s">
        <v>58</v>
      </c>
      <c r="E2708" s="2" t="s">
        <v>404</v>
      </c>
      <c r="F2708" s="1"/>
      <c r="G2708" s="2">
        <v>8</v>
      </c>
      <c r="H2708" s="1"/>
      <c r="I2708" t="s">
        <v>1</v>
      </c>
      <c r="J2708" t="s">
        <v>65</v>
      </c>
      <c r="K2708" t="s">
        <v>3</v>
      </c>
      <c r="L2708" t="s">
        <v>441</v>
      </c>
      <c r="M2708" s="3" t="s">
        <v>612</v>
      </c>
    </row>
    <row r="2709" spans="1:13" x14ac:dyDescent="0.25">
      <c r="A2709" s="1" t="str">
        <f>VLOOKUP(Table2[[#This Row],[Prod Line ]],Lists!A:E,5,0)</f>
        <v>a</v>
      </c>
      <c r="B2709" s="1">
        <v>44625</v>
      </c>
      <c r="C2709" s="1">
        <v>44623</v>
      </c>
      <c r="D2709" s="1" t="s">
        <v>56</v>
      </c>
      <c r="E2709" s="2" t="s">
        <v>405</v>
      </c>
      <c r="F2709" s="1"/>
      <c r="G2709" s="2">
        <v>20</v>
      </c>
      <c r="H2709" s="1"/>
      <c r="I2709" t="s">
        <v>0</v>
      </c>
      <c r="J2709" t="s">
        <v>65</v>
      </c>
      <c r="K2709" t="s">
        <v>27</v>
      </c>
      <c r="L2709" t="s">
        <v>70</v>
      </c>
      <c r="M2709" s="3" t="s">
        <v>469</v>
      </c>
    </row>
    <row r="2710" spans="1:13" hidden="1" x14ac:dyDescent="0.25">
      <c r="A2710" s="1" t="str">
        <f>VLOOKUP(Table2[[#This Row],[Prod Line ]],Lists!A:E,5,0)</f>
        <v>a</v>
      </c>
      <c r="B2710" s="1">
        <v>44625</v>
      </c>
      <c r="C2710" s="1">
        <v>44623</v>
      </c>
      <c r="D2710" s="1" t="s">
        <v>56</v>
      </c>
      <c r="E2710" s="2" t="s">
        <v>406</v>
      </c>
      <c r="F2710" s="1"/>
      <c r="G2710" s="2">
        <v>6</v>
      </c>
      <c r="H2710" s="1"/>
      <c r="I2710" t="s">
        <v>1</v>
      </c>
      <c r="J2710" t="s">
        <v>64</v>
      </c>
      <c r="K2710" t="s">
        <v>370</v>
      </c>
      <c r="L2710" t="s">
        <v>407</v>
      </c>
      <c r="M2710" s="3" t="s">
        <v>939</v>
      </c>
    </row>
    <row r="2711" spans="1:13" hidden="1" x14ac:dyDescent="0.25">
      <c r="A2711" s="1" t="str">
        <f>VLOOKUP(Table2[[#This Row],[Prod Line ]],Lists!A:E,5,0)</f>
        <v>a</v>
      </c>
      <c r="B2711" s="1">
        <v>44627</v>
      </c>
      <c r="C2711" s="1">
        <v>44625</v>
      </c>
      <c r="D2711" s="1" t="s">
        <v>56</v>
      </c>
      <c r="E2711" s="2" t="s">
        <v>404</v>
      </c>
      <c r="F2711" s="1"/>
      <c r="G2711" s="2">
        <v>20</v>
      </c>
      <c r="H2711" s="1"/>
      <c r="I2711" t="s">
        <v>1</v>
      </c>
      <c r="J2711" t="s">
        <v>64</v>
      </c>
      <c r="K2711" t="s">
        <v>366</v>
      </c>
      <c r="L2711" t="s">
        <v>350</v>
      </c>
      <c r="M2711" s="3" t="s">
        <v>2141</v>
      </c>
    </row>
    <row r="2712" spans="1:13" hidden="1" x14ac:dyDescent="0.25">
      <c r="A2712" s="1" t="str">
        <f>VLOOKUP(Table2[[#This Row],[Prod Line ]],Lists!A:E,5,0)</f>
        <v>b</v>
      </c>
      <c r="B2712" s="1">
        <v>44627</v>
      </c>
      <c r="C2712" s="1">
        <v>44625</v>
      </c>
      <c r="D2712" s="1" t="s">
        <v>58</v>
      </c>
      <c r="E2712" s="2" t="s">
        <v>404</v>
      </c>
      <c r="F2712" s="1"/>
      <c r="G2712" s="2">
        <v>6</v>
      </c>
      <c r="H2712" s="1"/>
      <c r="I2712" t="s">
        <v>1</v>
      </c>
      <c r="J2712" t="s">
        <v>2</v>
      </c>
      <c r="K2712" t="s">
        <v>19</v>
      </c>
      <c r="L2712" t="s">
        <v>407</v>
      </c>
      <c r="M2712" s="3" t="s">
        <v>759</v>
      </c>
    </row>
    <row r="2713" spans="1:13" hidden="1" x14ac:dyDescent="0.25">
      <c r="A2713" s="1" t="str">
        <f>VLOOKUP(Table2[[#This Row],[Prod Line ]],Lists!A:E,5,0)</f>
        <v>b</v>
      </c>
      <c r="B2713" s="1">
        <v>44627</v>
      </c>
      <c r="C2713" s="1">
        <v>44625</v>
      </c>
      <c r="D2713" s="1" t="s">
        <v>58</v>
      </c>
      <c r="E2713" s="2" t="s">
        <v>404</v>
      </c>
      <c r="F2713" s="1"/>
      <c r="G2713" s="2">
        <v>9</v>
      </c>
      <c r="H2713" s="1"/>
      <c r="I2713" t="s">
        <v>1</v>
      </c>
      <c r="J2713" t="s">
        <v>26</v>
      </c>
      <c r="K2713" t="s">
        <v>25</v>
      </c>
      <c r="L2713" t="s">
        <v>441</v>
      </c>
      <c r="M2713" s="3" t="s">
        <v>1489</v>
      </c>
    </row>
    <row r="2714" spans="1:13" hidden="1" x14ac:dyDescent="0.25">
      <c r="A2714" s="1" t="str">
        <f>VLOOKUP(Table2[[#This Row],[Prod Line ]],Lists!A:E,5,0)</f>
        <v>b</v>
      </c>
      <c r="B2714" s="1">
        <v>44627</v>
      </c>
      <c r="C2714" s="1">
        <v>44625</v>
      </c>
      <c r="D2714" s="1" t="s">
        <v>58</v>
      </c>
      <c r="E2714" s="2" t="s">
        <v>404</v>
      </c>
      <c r="F2714" s="1"/>
      <c r="G2714" s="2">
        <v>32</v>
      </c>
      <c r="H2714" s="1"/>
      <c r="I2714" t="s">
        <v>1</v>
      </c>
      <c r="J2714" t="s">
        <v>26</v>
      </c>
      <c r="K2714" t="s">
        <v>25</v>
      </c>
      <c r="L2714" t="s">
        <v>441</v>
      </c>
      <c r="M2714" s="3" t="s">
        <v>1771</v>
      </c>
    </row>
    <row r="2715" spans="1:13" x14ac:dyDescent="0.25">
      <c r="A2715" s="1" t="str">
        <f>VLOOKUP(Table2[[#This Row],[Prod Line ]],Lists!A:E,5,0)</f>
        <v>b</v>
      </c>
      <c r="B2715" s="1">
        <v>44628</v>
      </c>
      <c r="C2715" s="1">
        <v>44626</v>
      </c>
      <c r="D2715" s="1" t="s">
        <v>58</v>
      </c>
      <c r="E2715" s="2" t="s">
        <v>405</v>
      </c>
      <c r="F2715" s="1"/>
      <c r="G2715" s="2">
        <v>12</v>
      </c>
      <c r="H2715" s="1"/>
      <c r="I2715" t="s">
        <v>0</v>
      </c>
      <c r="J2715" t="s">
        <v>66</v>
      </c>
      <c r="K2715" t="s">
        <v>34</v>
      </c>
      <c r="L2715" t="s">
        <v>70</v>
      </c>
      <c r="M2715" s="3" t="s">
        <v>2142</v>
      </c>
    </row>
    <row r="2716" spans="1:13" hidden="1" x14ac:dyDescent="0.25">
      <c r="A2716" s="1" t="str">
        <f>VLOOKUP(Table2[[#This Row],[Prod Line ]],Lists!A:E,5,0)</f>
        <v>c</v>
      </c>
      <c r="B2716" s="1">
        <v>44628</v>
      </c>
      <c r="C2716" s="1">
        <v>44626</v>
      </c>
      <c r="D2716" s="1" t="s">
        <v>60</v>
      </c>
      <c r="E2716" s="2" t="s">
        <v>405</v>
      </c>
      <c r="F2716" s="1"/>
      <c r="G2716" s="2">
        <v>2</v>
      </c>
      <c r="H2716" s="1"/>
      <c r="I2716" t="s">
        <v>1</v>
      </c>
      <c r="J2716" t="s">
        <v>64</v>
      </c>
      <c r="K2716" t="s">
        <v>368</v>
      </c>
      <c r="L2716" t="s">
        <v>349</v>
      </c>
      <c r="M2716" s="3" t="s">
        <v>575</v>
      </c>
    </row>
    <row r="2717" spans="1:13" hidden="1" x14ac:dyDescent="0.25">
      <c r="A2717" s="1" t="str">
        <f>VLOOKUP(Table2[[#This Row],[Prod Line ]],Lists!A:E,5,0)</f>
        <v>c</v>
      </c>
      <c r="B2717" s="1">
        <v>44628</v>
      </c>
      <c r="C2717" s="1">
        <v>44626</v>
      </c>
      <c r="D2717" s="1" t="s">
        <v>60</v>
      </c>
      <c r="E2717" s="2" t="s">
        <v>405</v>
      </c>
      <c r="F2717" s="1"/>
      <c r="G2717" s="2">
        <v>16</v>
      </c>
      <c r="H2717" s="1"/>
      <c r="I2717" t="s">
        <v>1</v>
      </c>
      <c r="J2717" t="s">
        <v>2</v>
      </c>
      <c r="K2717" t="s">
        <v>14</v>
      </c>
      <c r="L2717" t="s">
        <v>407</v>
      </c>
      <c r="M2717" s="3" t="s">
        <v>2143</v>
      </c>
    </row>
    <row r="2718" spans="1:13" x14ac:dyDescent="0.25">
      <c r="A2718" s="1" t="str">
        <f>VLOOKUP(Table2[[#This Row],[Prod Line ]],Lists!A:E,5,0)</f>
        <v>d</v>
      </c>
      <c r="B2718" s="1">
        <v>44628</v>
      </c>
      <c r="C2718" s="1">
        <v>44626</v>
      </c>
      <c r="D2718" s="1" t="s">
        <v>62</v>
      </c>
      <c r="E2718" s="2" t="s">
        <v>406</v>
      </c>
      <c r="F2718" s="1"/>
      <c r="G2718" s="2">
        <v>12</v>
      </c>
      <c r="H2718" s="1"/>
      <c r="I2718" t="s">
        <v>0</v>
      </c>
      <c r="J2718" t="s">
        <v>5</v>
      </c>
      <c r="K2718" t="s">
        <v>397</v>
      </c>
      <c r="L2718" t="s">
        <v>70</v>
      </c>
      <c r="M2718" s="3" t="s">
        <v>2144</v>
      </c>
    </row>
    <row r="2719" spans="1:13" hidden="1" x14ac:dyDescent="0.25">
      <c r="A2719" s="1" t="str">
        <f>VLOOKUP(Table2[[#This Row],[Prod Line ]],Lists!A:E,5,0)</f>
        <v>c</v>
      </c>
      <c r="B2719" s="1">
        <v>44628</v>
      </c>
      <c r="C2719" s="1">
        <v>44626</v>
      </c>
      <c r="D2719" s="1" t="s">
        <v>60</v>
      </c>
      <c r="E2719" s="2" t="s">
        <v>405</v>
      </c>
      <c r="F2719" s="1"/>
      <c r="G2719" s="2">
        <v>2</v>
      </c>
      <c r="H2719" s="1"/>
      <c r="I2719" t="s">
        <v>1</v>
      </c>
      <c r="J2719" t="s">
        <v>2</v>
      </c>
      <c r="K2719" t="s">
        <v>378</v>
      </c>
      <c r="L2719" t="s">
        <v>349</v>
      </c>
      <c r="M2719" s="3" t="s">
        <v>575</v>
      </c>
    </row>
    <row r="2720" spans="1:13" hidden="1" x14ac:dyDescent="0.25">
      <c r="A2720" s="1" t="str">
        <f>VLOOKUP(Table2[[#This Row],[Prod Line ]],Lists!A:E,5,0)</f>
        <v>c</v>
      </c>
      <c r="B2720" s="1">
        <v>44628</v>
      </c>
      <c r="C2720" s="1">
        <v>44626</v>
      </c>
      <c r="D2720" s="1" t="s">
        <v>60</v>
      </c>
      <c r="E2720" s="2" t="s">
        <v>405</v>
      </c>
      <c r="F2720" s="1"/>
      <c r="G2720" s="2">
        <v>16</v>
      </c>
      <c r="H2720" s="1"/>
      <c r="I2720" t="s">
        <v>1</v>
      </c>
      <c r="J2720" t="s">
        <v>2</v>
      </c>
      <c r="K2720" t="s">
        <v>378</v>
      </c>
      <c r="L2720" t="s">
        <v>407</v>
      </c>
      <c r="M2720" s="3" t="s">
        <v>759</v>
      </c>
    </row>
    <row r="2721" spans="1:14" hidden="1" x14ac:dyDescent="0.25">
      <c r="A2721" s="1" t="str">
        <f>VLOOKUP(Table2[[#This Row],[Prod Line ]],Lists!A:E,5,0)</f>
        <v>a</v>
      </c>
      <c r="B2721" s="1">
        <v>44628</v>
      </c>
      <c r="C2721" s="1">
        <v>44626</v>
      </c>
      <c r="D2721" s="1" t="s">
        <v>56</v>
      </c>
      <c r="E2721" s="2" t="s">
        <v>405</v>
      </c>
      <c r="F2721" s="1"/>
      <c r="G2721" s="2">
        <v>11</v>
      </c>
      <c r="H2721" s="1"/>
      <c r="I2721" t="s">
        <v>1</v>
      </c>
      <c r="J2721" t="s">
        <v>5</v>
      </c>
      <c r="K2721" t="s">
        <v>375</v>
      </c>
      <c r="L2721" t="s">
        <v>407</v>
      </c>
      <c r="M2721" s="3" t="s">
        <v>2145</v>
      </c>
    </row>
    <row r="2722" spans="1:14" hidden="1" x14ac:dyDescent="0.25">
      <c r="A2722" s="1" t="str">
        <f>VLOOKUP(Table2[[#This Row],[Prod Line ]],Lists!A:E,5,0)</f>
        <v>a</v>
      </c>
      <c r="B2722" s="1">
        <v>44628</v>
      </c>
      <c r="C2722" s="1">
        <v>44626</v>
      </c>
      <c r="D2722" s="1" t="s">
        <v>56</v>
      </c>
      <c r="E2722" s="2" t="s">
        <v>405</v>
      </c>
      <c r="F2722" s="1"/>
      <c r="G2722" s="2">
        <v>13</v>
      </c>
      <c r="H2722" s="1"/>
      <c r="I2722" t="s">
        <v>1</v>
      </c>
      <c r="J2722" t="s">
        <v>5</v>
      </c>
      <c r="K2722" t="s">
        <v>375</v>
      </c>
      <c r="L2722" t="s">
        <v>407</v>
      </c>
      <c r="M2722" s="3" t="s">
        <v>2146</v>
      </c>
    </row>
    <row r="2723" spans="1:14" x14ac:dyDescent="0.25">
      <c r="A2723" s="1" t="str">
        <f>VLOOKUP(Table2[[#This Row],[Prod Line ]],Lists!A:E,5,0)</f>
        <v>a</v>
      </c>
      <c r="B2723" s="1">
        <v>44628</v>
      </c>
      <c r="C2723" s="1">
        <v>44626</v>
      </c>
      <c r="D2723" s="1" t="s">
        <v>56</v>
      </c>
      <c r="E2723" s="2" t="s">
        <v>406</v>
      </c>
      <c r="F2723" s="1"/>
      <c r="G2723" s="2">
        <v>28</v>
      </c>
      <c r="H2723" s="1"/>
      <c r="I2723" t="s">
        <v>0</v>
      </c>
      <c r="J2723" t="s">
        <v>64</v>
      </c>
      <c r="K2723" t="s">
        <v>369</v>
      </c>
      <c r="L2723" t="s">
        <v>70</v>
      </c>
      <c r="M2723" s="3" t="s">
        <v>2147</v>
      </c>
    </row>
    <row r="2724" spans="1:14" hidden="1" x14ac:dyDescent="0.25">
      <c r="A2724" s="1" t="str">
        <f>VLOOKUP(Table2[[#This Row],[Prod Line ]],Lists!A:E,5,0)</f>
        <v>b</v>
      </c>
      <c r="B2724" s="1">
        <v>44630</v>
      </c>
      <c r="C2724" s="1">
        <v>44628</v>
      </c>
      <c r="D2724" s="1" t="s">
        <v>58</v>
      </c>
      <c r="E2724" s="2" t="s">
        <v>404</v>
      </c>
      <c r="F2724" s="1"/>
      <c r="G2724" s="2">
        <v>19</v>
      </c>
      <c r="H2724" s="1"/>
      <c r="I2724" t="s">
        <v>1</v>
      </c>
      <c r="J2724" t="s">
        <v>64</v>
      </c>
      <c r="K2724" t="s">
        <v>21</v>
      </c>
      <c r="L2724" t="s">
        <v>407</v>
      </c>
      <c r="M2724" s="3" t="s">
        <v>2148</v>
      </c>
    </row>
    <row r="2725" spans="1:14" hidden="1" x14ac:dyDescent="0.25">
      <c r="A2725" s="1" t="str">
        <f>VLOOKUP(Table2[[#This Row],[Prod Line ]],Lists!A:E,5,0)</f>
        <v>b</v>
      </c>
      <c r="B2725" s="1">
        <v>44630</v>
      </c>
      <c r="C2725" s="1">
        <v>44628</v>
      </c>
      <c r="D2725" s="1" t="s">
        <v>58</v>
      </c>
      <c r="E2725" s="2" t="s">
        <v>404</v>
      </c>
      <c r="F2725" s="1"/>
      <c r="G2725" s="2">
        <v>25</v>
      </c>
      <c r="H2725" s="1"/>
      <c r="I2725" t="s">
        <v>1</v>
      </c>
      <c r="J2725" t="s">
        <v>65</v>
      </c>
      <c r="K2725" t="s">
        <v>27</v>
      </c>
      <c r="L2725" t="s">
        <v>441</v>
      </c>
      <c r="M2725" s="3" t="s">
        <v>1920</v>
      </c>
    </row>
    <row r="2726" spans="1:14" hidden="1" x14ac:dyDescent="0.25">
      <c r="A2726" s="1" t="str">
        <f>VLOOKUP(Table2[[#This Row],[Prod Line ]],Lists!A:E,5,0)</f>
        <v>b</v>
      </c>
      <c r="B2726" s="1">
        <v>44630</v>
      </c>
      <c r="C2726" s="1">
        <v>44628</v>
      </c>
      <c r="D2726" s="1" t="s">
        <v>58</v>
      </c>
      <c r="E2726" s="2" t="s">
        <v>404</v>
      </c>
      <c r="F2726" s="1"/>
      <c r="G2726" s="2">
        <v>8</v>
      </c>
      <c r="H2726" s="1"/>
      <c r="I2726" t="s">
        <v>1</v>
      </c>
      <c r="J2726" t="s">
        <v>2</v>
      </c>
      <c r="K2726" t="s">
        <v>19</v>
      </c>
      <c r="L2726" t="s">
        <v>349</v>
      </c>
      <c r="M2726" s="3" t="s">
        <v>2149</v>
      </c>
    </row>
    <row r="2727" spans="1:14" x14ac:dyDescent="0.25">
      <c r="A2727" s="1" t="str">
        <f>VLOOKUP(Table2[[#This Row],[Prod Line ]],Lists!A:E,5,0)</f>
        <v>a</v>
      </c>
      <c r="B2727" s="1">
        <v>44630</v>
      </c>
      <c r="C2727" s="1">
        <v>44628</v>
      </c>
      <c r="D2727" s="1" t="s">
        <v>56</v>
      </c>
      <c r="E2727" s="2" t="s">
        <v>404</v>
      </c>
      <c r="F2727" s="1"/>
      <c r="G2727" s="2">
        <v>20</v>
      </c>
      <c r="H2727" s="1"/>
      <c r="I2727" t="s">
        <v>0</v>
      </c>
      <c r="J2727" t="s">
        <v>64</v>
      </c>
      <c r="K2727" t="s">
        <v>365</v>
      </c>
      <c r="L2727" t="s">
        <v>69</v>
      </c>
      <c r="M2727" s="3" t="s">
        <v>2150</v>
      </c>
    </row>
    <row r="2728" spans="1:14" x14ac:dyDescent="0.25">
      <c r="A2728" s="1" t="str">
        <f>VLOOKUP(Table2[[#This Row],[Prod Line ]],Lists!A:E,5,0)</f>
        <v>a</v>
      </c>
      <c r="B2728" s="1">
        <v>44630</v>
      </c>
      <c r="C2728" s="1">
        <v>44628</v>
      </c>
      <c r="D2728" s="1" t="s">
        <v>56</v>
      </c>
      <c r="E2728" s="2" t="s">
        <v>404</v>
      </c>
      <c r="F2728" s="1"/>
      <c r="G2728" s="2">
        <v>6</v>
      </c>
      <c r="H2728" s="1"/>
      <c r="I2728" t="s">
        <v>0</v>
      </c>
      <c r="J2728" t="s">
        <v>64</v>
      </c>
      <c r="K2728" t="s">
        <v>367</v>
      </c>
      <c r="L2728" t="s">
        <v>82</v>
      </c>
      <c r="M2728" s="3" t="s">
        <v>1118</v>
      </c>
    </row>
    <row r="2729" spans="1:14" hidden="1" x14ac:dyDescent="0.25">
      <c r="A2729" s="1" t="str">
        <f>VLOOKUP(Table2[[#This Row],[Prod Line ]],Lists!A:E,5,0)</f>
        <v>a</v>
      </c>
      <c r="B2729" s="1">
        <v>44630</v>
      </c>
      <c r="C2729" s="1">
        <v>44628</v>
      </c>
      <c r="D2729" s="1" t="s">
        <v>56</v>
      </c>
      <c r="E2729" s="2" t="s">
        <v>404</v>
      </c>
      <c r="F2729" s="1"/>
      <c r="G2729" s="2">
        <v>8</v>
      </c>
      <c r="H2729" s="1"/>
      <c r="I2729" t="s">
        <v>1</v>
      </c>
      <c r="J2729" t="s">
        <v>64</v>
      </c>
      <c r="K2729" t="s">
        <v>368</v>
      </c>
      <c r="L2729" t="s">
        <v>407</v>
      </c>
      <c r="M2729" s="3" t="s">
        <v>2151</v>
      </c>
    </row>
    <row r="2730" spans="1:14" hidden="1" x14ac:dyDescent="0.25">
      <c r="A2730" s="1" t="str">
        <f>VLOOKUP(Table2[[#This Row],[Prod Line ]],Lists!A:E,5,0)</f>
        <v>d</v>
      </c>
      <c r="B2730" s="1">
        <v>44630</v>
      </c>
      <c r="C2730" s="1">
        <v>44628</v>
      </c>
      <c r="D2730" s="1" t="s">
        <v>62</v>
      </c>
      <c r="E2730" s="2" t="s">
        <v>405</v>
      </c>
      <c r="F2730" s="1"/>
      <c r="G2730" s="2">
        <v>10</v>
      </c>
      <c r="H2730" s="1"/>
      <c r="I2730" t="s">
        <v>1</v>
      </c>
      <c r="J2730" t="s">
        <v>5</v>
      </c>
      <c r="K2730" t="s">
        <v>397</v>
      </c>
      <c r="L2730" t="s">
        <v>407</v>
      </c>
      <c r="M2730" s="3" t="s">
        <v>1217</v>
      </c>
    </row>
    <row r="2731" spans="1:14" x14ac:dyDescent="0.25">
      <c r="A2731" s="1" t="str">
        <f>VLOOKUP(Table2[[#This Row],[Prod Line ]],Lists!A:E,5,0)</f>
        <v>a</v>
      </c>
      <c r="B2731" s="1">
        <v>44631</v>
      </c>
      <c r="C2731" s="1">
        <v>44629</v>
      </c>
      <c r="D2731" s="1" t="s">
        <v>56</v>
      </c>
      <c r="E2731" s="2" t="s">
        <v>404</v>
      </c>
      <c r="F2731" s="1"/>
      <c r="G2731" s="2">
        <v>6</v>
      </c>
      <c r="H2731" s="1"/>
      <c r="I2731" t="s">
        <v>0</v>
      </c>
      <c r="J2731" t="s">
        <v>64</v>
      </c>
      <c r="K2731" t="s">
        <v>368</v>
      </c>
      <c r="L2731" t="s">
        <v>70</v>
      </c>
      <c r="M2731" s="3" t="s">
        <v>2126</v>
      </c>
    </row>
    <row r="2732" spans="1:14" hidden="1" x14ac:dyDescent="0.25">
      <c r="A2732" s="1" t="str">
        <f>VLOOKUP(Table2[[#This Row],[Prod Line ]],Lists!A:E,5,0)</f>
        <v>a</v>
      </c>
      <c r="B2732" s="1">
        <v>44631</v>
      </c>
      <c r="C2732" s="1">
        <v>44629</v>
      </c>
      <c r="D2732" s="1" t="s">
        <v>56</v>
      </c>
      <c r="E2732" s="2" t="s">
        <v>404</v>
      </c>
      <c r="F2732" s="1"/>
      <c r="G2732" s="2">
        <v>7</v>
      </c>
      <c r="H2732" s="1"/>
      <c r="I2732" t="s">
        <v>1</v>
      </c>
      <c r="J2732" t="s">
        <v>64</v>
      </c>
      <c r="K2732" t="s">
        <v>369</v>
      </c>
      <c r="L2732" t="s">
        <v>407</v>
      </c>
      <c r="M2732" s="3" t="s">
        <v>655</v>
      </c>
    </row>
    <row r="2733" spans="1:14" hidden="1" x14ac:dyDescent="0.25">
      <c r="A2733" s="1" t="str">
        <f>VLOOKUP(Table2[[#This Row],[Prod Line ]],Lists!A:E,5,0)</f>
        <v>a</v>
      </c>
      <c r="B2733" s="1">
        <v>44631</v>
      </c>
      <c r="C2733" s="1">
        <v>44629</v>
      </c>
      <c r="D2733" s="1" t="s">
        <v>56</v>
      </c>
      <c r="E2733" s="2" t="s">
        <v>405</v>
      </c>
      <c r="F2733" s="1"/>
      <c r="G2733" s="2">
        <v>22</v>
      </c>
      <c r="H2733" s="1"/>
      <c r="I2733" t="s">
        <v>1</v>
      </c>
      <c r="J2733" t="s">
        <v>5</v>
      </c>
      <c r="K2733" t="s">
        <v>376</v>
      </c>
      <c r="L2733" t="s">
        <v>407</v>
      </c>
      <c r="M2733" s="3" t="s">
        <v>48</v>
      </c>
    </row>
    <row r="2734" spans="1:14" hidden="1" x14ac:dyDescent="0.25">
      <c r="A2734" s="1" t="str">
        <f>VLOOKUP(Table2[[#This Row],[Prod Line ]],Lists!A:E,5,0)</f>
        <v>b</v>
      </c>
      <c r="B2734" s="1">
        <v>44631</v>
      </c>
      <c r="C2734" s="1">
        <v>44629</v>
      </c>
      <c r="D2734" s="1" t="s">
        <v>58</v>
      </c>
      <c r="E2734" s="2" t="s">
        <v>404</v>
      </c>
      <c r="F2734" s="1"/>
      <c r="G2734" s="2">
        <v>5</v>
      </c>
      <c r="H2734" s="1"/>
      <c r="I2734" t="s">
        <v>1</v>
      </c>
      <c r="J2734" t="s">
        <v>26</v>
      </c>
      <c r="K2734" t="s">
        <v>25</v>
      </c>
      <c r="L2734" t="s">
        <v>441</v>
      </c>
      <c r="M2734" s="3" t="s">
        <v>441</v>
      </c>
    </row>
    <row r="2735" spans="1:14" hidden="1" x14ac:dyDescent="0.25">
      <c r="A2735" s="1" t="str">
        <f>VLOOKUP(Table2[[#This Row],[Prod Line ]],Lists!A:E,5,0)</f>
        <v>b</v>
      </c>
      <c r="B2735" s="1">
        <v>44631</v>
      </c>
      <c r="C2735" s="1">
        <v>44629</v>
      </c>
      <c r="D2735" s="1" t="s">
        <v>58</v>
      </c>
      <c r="E2735" s="2" t="s">
        <v>404</v>
      </c>
      <c r="F2735" s="1"/>
      <c r="G2735" s="2">
        <v>7</v>
      </c>
      <c r="H2735" s="1"/>
      <c r="I2735" t="s">
        <v>1</v>
      </c>
      <c r="J2735" t="s">
        <v>64</v>
      </c>
      <c r="K2735" t="s">
        <v>21</v>
      </c>
      <c r="L2735" t="s">
        <v>407</v>
      </c>
      <c r="M2735" s="3" t="s">
        <v>2152</v>
      </c>
    </row>
    <row r="2736" spans="1:14" x14ac:dyDescent="0.25">
      <c r="A2736" s="1" t="str">
        <f>VLOOKUP(Table2[[#This Row],[Prod Line ]],Lists!A:E,5,0)</f>
        <v>c</v>
      </c>
      <c r="B2736" s="1">
        <v>44631</v>
      </c>
      <c r="C2736" s="1">
        <v>44629</v>
      </c>
      <c r="D2736" s="1" t="s">
        <v>60</v>
      </c>
      <c r="E2736" s="2" t="s">
        <v>405</v>
      </c>
      <c r="F2736" s="1"/>
      <c r="G2736" s="2">
        <v>59</v>
      </c>
      <c r="H2736" s="1"/>
      <c r="I2736" t="s">
        <v>0</v>
      </c>
      <c r="J2736" t="s">
        <v>2</v>
      </c>
      <c r="K2736" t="s">
        <v>13</v>
      </c>
      <c r="L2736" t="s">
        <v>69</v>
      </c>
      <c r="M2736" s="3" t="s">
        <v>2153</v>
      </c>
      <c r="N2736" s="20" t="s">
        <v>2200</v>
      </c>
    </row>
    <row r="2737" spans="1:14" hidden="1" x14ac:dyDescent="0.25">
      <c r="A2737" s="1" t="str">
        <f>VLOOKUP(Table2[[#This Row],[Prod Line ]],Lists!A:E,5,0)</f>
        <v>c</v>
      </c>
      <c r="B2737" s="1">
        <v>44631</v>
      </c>
      <c r="C2737" s="1">
        <v>44629</v>
      </c>
      <c r="D2737" s="1" t="s">
        <v>60</v>
      </c>
      <c r="E2737" s="2" t="s">
        <v>405</v>
      </c>
      <c r="F2737" s="1"/>
      <c r="G2737" s="2">
        <v>24</v>
      </c>
      <c r="H2737" s="1"/>
      <c r="I2737" t="s">
        <v>1</v>
      </c>
      <c r="J2737" t="s">
        <v>2</v>
      </c>
      <c r="K2737" t="s">
        <v>378</v>
      </c>
      <c r="L2737" t="s">
        <v>349</v>
      </c>
      <c r="M2737" s="3" t="s">
        <v>575</v>
      </c>
    </row>
    <row r="2738" spans="1:14" x14ac:dyDescent="0.25">
      <c r="A2738" s="1" t="str">
        <f>VLOOKUP(Table2[[#This Row],[Prod Line ]],Lists!A:E,5,0)</f>
        <v>d</v>
      </c>
      <c r="B2738" s="1">
        <v>44631</v>
      </c>
      <c r="C2738" s="1">
        <v>44629</v>
      </c>
      <c r="D2738" s="1" t="s">
        <v>62</v>
      </c>
      <c r="E2738" s="2" t="s">
        <v>404</v>
      </c>
      <c r="F2738" s="1"/>
      <c r="G2738" s="2">
        <v>55</v>
      </c>
      <c r="H2738" s="1"/>
      <c r="I2738" t="s">
        <v>0</v>
      </c>
      <c r="J2738" t="s">
        <v>64</v>
      </c>
      <c r="K2738" t="s">
        <v>379</v>
      </c>
      <c r="L2738" t="s">
        <v>82</v>
      </c>
      <c r="M2738" s="3" t="s">
        <v>2154</v>
      </c>
      <c r="N2738" s="20" t="s">
        <v>2201</v>
      </c>
    </row>
    <row r="2739" spans="1:14" x14ac:dyDescent="0.25">
      <c r="A2739" s="1" t="str">
        <f>VLOOKUP(Table2[[#This Row],[Prod Line ]],Lists!A:E,5,0)</f>
        <v>d</v>
      </c>
      <c r="B2739" s="1">
        <v>44631</v>
      </c>
      <c r="C2739" s="1">
        <v>44629</v>
      </c>
      <c r="D2739" s="1" t="s">
        <v>62</v>
      </c>
      <c r="E2739" s="2" t="s">
        <v>404</v>
      </c>
      <c r="F2739" s="1"/>
      <c r="G2739" s="2">
        <v>8</v>
      </c>
      <c r="H2739" s="1"/>
      <c r="I2739" t="s">
        <v>0</v>
      </c>
      <c r="J2739" t="s">
        <v>64</v>
      </c>
      <c r="K2739" t="s">
        <v>379</v>
      </c>
      <c r="L2739" t="s">
        <v>82</v>
      </c>
      <c r="M2739" s="3" t="s">
        <v>2155</v>
      </c>
    </row>
    <row r="2740" spans="1:14" hidden="1" x14ac:dyDescent="0.25">
      <c r="A2740" s="1" t="str">
        <f>VLOOKUP(Table2[[#This Row],[Prod Line ]],Lists!A:E,5,0)</f>
        <v>d</v>
      </c>
      <c r="B2740" s="1">
        <v>44631</v>
      </c>
      <c r="C2740" s="1">
        <v>44629</v>
      </c>
      <c r="D2740" s="1" t="s">
        <v>62</v>
      </c>
      <c r="E2740" s="2" t="s">
        <v>404</v>
      </c>
      <c r="F2740" s="1"/>
      <c r="G2740" s="2">
        <v>4</v>
      </c>
      <c r="H2740" s="1"/>
      <c r="I2740" t="s">
        <v>1</v>
      </c>
      <c r="J2740" t="s">
        <v>2</v>
      </c>
      <c r="K2740" t="s">
        <v>19</v>
      </c>
      <c r="L2740" t="s">
        <v>72</v>
      </c>
      <c r="M2740" s="3" t="s">
        <v>2156</v>
      </c>
    </row>
    <row r="2741" spans="1:14" hidden="1" x14ac:dyDescent="0.25">
      <c r="A2741" s="1" t="str">
        <f>VLOOKUP(Table2[[#This Row],[Prod Line ]],Lists!A:E,5,0)</f>
        <v>c</v>
      </c>
      <c r="B2741" s="1">
        <v>44632</v>
      </c>
      <c r="C2741" s="1">
        <v>44630</v>
      </c>
      <c r="D2741" s="1" t="s">
        <v>60</v>
      </c>
      <c r="E2741" s="2" t="s">
        <v>405</v>
      </c>
      <c r="F2741" s="1"/>
      <c r="G2741" s="2">
        <v>10</v>
      </c>
      <c r="H2741" s="1"/>
      <c r="I2741" t="s">
        <v>1</v>
      </c>
      <c r="J2741" t="s">
        <v>2</v>
      </c>
      <c r="K2741" t="s">
        <v>378</v>
      </c>
      <c r="L2741" t="s">
        <v>349</v>
      </c>
      <c r="M2741" s="3" t="s">
        <v>575</v>
      </c>
    </row>
    <row r="2742" spans="1:14" hidden="1" x14ac:dyDescent="0.25">
      <c r="A2742" s="1" t="str">
        <f>VLOOKUP(Table2[[#This Row],[Prod Line ]],Lists!A:E,5,0)</f>
        <v>b</v>
      </c>
      <c r="B2742" s="1">
        <v>44632</v>
      </c>
      <c r="C2742" s="1">
        <v>44630</v>
      </c>
      <c r="D2742" s="1" t="s">
        <v>58</v>
      </c>
      <c r="E2742" s="2" t="s">
        <v>404</v>
      </c>
      <c r="F2742" s="1"/>
      <c r="G2742" s="2">
        <v>7</v>
      </c>
      <c r="H2742" s="1"/>
      <c r="I2742" t="s">
        <v>1</v>
      </c>
      <c r="J2742" t="s">
        <v>65</v>
      </c>
      <c r="K2742" t="s">
        <v>27</v>
      </c>
      <c r="L2742" t="s">
        <v>441</v>
      </c>
      <c r="M2742" s="3" t="s">
        <v>612</v>
      </c>
    </row>
    <row r="2743" spans="1:14" hidden="1" x14ac:dyDescent="0.25">
      <c r="A2743" s="1" t="str">
        <f>VLOOKUP(Table2[[#This Row],[Prod Line ]],Lists!A:E,5,0)</f>
        <v>b</v>
      </c>
      <c r="B2743" s="1">
        <v>44632</v>
      </c>
      <c r="C2743" s="1">
        <v>44630</v>
      </c>
      <c r="D2743" s="1" t="s">
        <v>58</v>
      </c>
      <c r="E2743" s="2" t="s">
        <v>404</v>
      </c>
      <c r="F2743" s="1"/>
      <c r="G2743" s="2">
        <v>6</v>
      </c>
      <c r="H2743" s="1"/>
      <c r="I2743" t="s">
        <v>1</v>
      </c>
      <c r="J2743" t="s">
        <v>64</v>
      </c>
      <c r="K2743" t="s">
        <v>21</v>
      </c>
      <c r="L2743" t="s">
        <v>407</v>
      </c>
      <c r="M2743" s="3" t="s">
        <v>750</v>
      </c>
    </row>
    <row r="2744" spans="1:14" x14ac:dyDescent="0.25">
      <c r="A2744" s="1" t="str">
        <f>VLOOKUP(Table2[[#This Row],[Prod Line ]],Lists!A:E,5,0)</f>
        <v>b</v>
      </c>
      <c r="B2744" s="1">
        <v>44632</v>
      </c>
      <c r="C2744" s="1">
        <v>44630</v>
      </c>
      <c r="D2744" s="1" t="s">
        <v>58</v>
      </c>
      <c r="E2744" s="2" t="s">
        <v>406</v>
      </c>
      <c r="F2744" s="1"/>
      <c r="G2744" s="2">
        <v>18</v>
      </c>
      <c r="H2744" s="1"/>
      <c r="I2744" t="s">
        <v>0</v>
      </c>
      <c r="J2744" t="s">
        <v>2</v>
      </c>
      <c r="K2744" t="s">
        <v>19</v>
      </c>
      <c r="L2744" t="s">
        <v>70</v>
      </c>
      <c r="M2744" s="3" t="s">
        <v>2157</v>
      </c>
    </row>
    <row r="2745" spans="1:14" hidden="1" x14ac:dyDescent="0.25">
      <c r="A2745" s="1" t="str">
        <f>VLOOKUP(Table2[[#This Row],[Prod Line ]],Lists!A:E,5,0)</f>
        <v>a</v>
      </c>
      <c r="B2745" s="1">
        <v>44632</v>
      </c>
      <c r="C2745" s="1">
        <v>44630</v>
      </c>
      <c r="D2745" s="1" t="s">
        <v>56</v>
      </c>
      <c r="E2745" s="2" t="s">
        <v>404</v>
      </c>
      <c r="F2745" s="1"/>
      <c r="G2745" s="2">
        <v>3</v>
      </c>
      <c r="H2745" s="1"/>
      <c r="I2745" t="s">
        <v>1</v>
      </c>
      <c r="J2745" t="s">
        <v>65</v>
      </c>
      <c r="K2745" t="s">
        <v>27</v>
      </c>
      <c r="L2745" t="s">
        <v>407</v>
      </c>
      <c r="M2745" s="3" t="s">
        <v>2158</v>
      </c>
    </row>
    <row r="2746" spans="1:14" x14ac:dyDescent="0.25">
      <c r="A2746" s="1" t="str">
        <f>VLOOKUP(Table2[[#This Row],[Prod Line ]],Lists!A:E,5,0)</f>
        <v>a</v>
      </c>
      <c r="B2746" s="1">
        <v>44632</v>
      </c>
      <c r="C2746" s="1">
        <v>44630</v>
      </c>
      <c r="D2746" s="1" t="s">
        <v>56</v>
      </c>
      <c r="E2746" s="2" t="s">
        <v>405</v>
      </c>
      <c r="F2746" s="1"/>
      <c r="G2746" s="2">
        <v>16</v>
      </c>
      <c r="H2746" s="1"/>
      <c r="I2746" t="s">
        <v>0</v>
      </c>
      <c r="J2746" t="s">
        <v>65</v>
      </c>
      <c r="K2746" t="s">
        <v>372</v>
      </c>
      <c r="L2746" t="s">
        <v>70</v>
      </c>
      <c r="M2746" s="3" t="s">
        <v>1080</v>
      </c>
    </row>
    <row r="2747" spans="1:14" hidden="1" x14ac:dyDescent="0.25">
      <c r="A2747" s="1" t="str">
        <f>VLOOKUP(Table2[[#This Row],[Prod Line ]],Lists!A:E,5,0)</f>
        <v>a</v>
      </c>
      <c r="B2747" s="1">
        <v>44632</v>
      </c>
      <c r="C2747" s="1">
        <v>44630</v>
      </c>
      <c r="D2747" s="1" t="s">
        <v>56</v>
      </c>
      <c r="E2747" s="2" t="s">
        <v>405</v>
      </c>
      <c r="F2747" s="1"/>
      <c r="G2747" s="2">
        <v>44</v>
      </c>
      <c r="H2747" s="1"/>
      <c r="I2747" t="s">
        <v>1</v>
      </c>
      <c r="J2747" t="s">
        <v>2</v>
      </c>
      <c r="K2747" t="s">
        <v>19</v>
      </c>
      <c r="L2747" t="s">
        <v>407</v>
      </c>
      <c r="M2747" s="3" t="s">
        <v>48</v>
      </c>
    </row>
    <row r="2748" spans="1:14" hidden="1" x14ac:dyDescent="0.25">
      <c r="A2748" s="1" t="str">
        <f>VLOOKUP(Table2[[#This Row],[Prod Line ]],Lists!A:E,5,0)</f>
        <v>a</v>
      </c>
      <c r="B2748" s="1">
        <v>44632</v>
      </c>
      <c r="C2748" s="1">
        <v>44630</v>
      </c>
      <c r="D2748" s="1" t="s">
        <v>56</v>
      </c>
      <c r="E2748" s="2" t="s">
        <v>405</v>
      </c>
      <c r="F2748" s="1"/>
      <c r="G2748" s="2">
        <v>7</v>
      </c>
      <c r="H2748" s="1"/>
      <c r="I2748" t="s">
        <v>1</v>
      </c>
      <c r="J2748" t="s">
        <v>64</v>
      </c>
      <c r="K2748" t="s">
        <v>370</v>
      </c>
      <c r="L2748" t="s">
        <v>407</v>
      </c>
      <c r="M2748" s="3" t="s">
        <v>750</v>
      </c>
    </row>
    <row r="2749" spans="1:14" x14ac:dyDescent="0.25">
      <c r="A2749" s="1" t="str">
        <f>VLOOKUP(Table2[[#This Row],[Prod Line ]],Lists!A:E,5,0)</f>
        <v>d</v>
      </c>
      <c r="B2749" s="1">
        <v>44632</v>
      </c>
      <c r="C2749" s="1">
        <v>44630</v>
      </c>
      <c r="D2749" s="1" t="s">
        <v>62</v>
      </c>
      <c r="E2749" s="2" t="s">
        <v>406</v>
      </c>
      <c r="F2749" s="1"/>
      <c r="G2749" s="2">
        <v>15</v>
      </c>
      <c r="H2749" s="1"/>
      <c r="I2749" t="s">
        <v>0</v>
      </c>
      <c r="J2749" t="s">
        <v>5</v>
      </c>
      <c r="K2749" t="s">
        <v>397</v>
      </c>
      <c r="L2749" t="s">
        <v>70</v>
      </c>
      <c r="M2749" s="3" t="s">
        <v>2159</v>
      </c>
    </row>
    <row r="2750" spans="1:14" hidden="1" x14ac:dyDescent="0.25">
      <c r="A2750" s="1" t="str">
        <f>VLOOKUP(Table2[[#This Row],[Prod Line ]],Lists!A:E,5,0)</f>
        <v>d</v>
      </c>
      <c r="B2750" s="1">
        <v>44632</v>
      </c>
      <c r="C2750" s="1">
        <v>44630</v>
      </c>
      <c r="D2750" s="1" t="s">
        <v>62</v>
      </c>
      <c r="E2750" s="2" t="s">
        <v>406</v>
      </c>
      <c r="F2750" s="1"/>
      <c r="G2750" s="2">
        <v>10</v>
      </c>
      <c r="H2750" s="1"/>
      <c r="I2750" t="s">
        <v>1</v>
      </c>
      <c r="J2750" t="s">
        <v>64</v>
      </c>
      <c r="K2750" t="s">
        <v>379</v>
      </c>
      <c r="L2750" t="s">
        <v>407</v>
      </c>
      <c r="M2750" s="3" t="s">
        <v>939</v>
      </c>
    </row>
    <row r="2751" spans="1:14" x14ac:dyDescent="0.25">
      <c r="A2751" s="1" t="str">
        <f>VLOOKUP(Table2[[#This Row],[Prod Line ]],Lists!A:E,5,0)</f>
        <v>d</v>
      </c>
      <c r="B2751" s="1">
        <v>44632</v>
      </c>
      <c r="C2751" s="1">
        <v>44630</v>
      </c>
      <c r="D2751" s="1" t="s">
        <v>62</v>
      </c>
      <c r="E2751" s="2" t="s">
        <v>404</v>
      </c>
      <c r="F2751" s="1"/>
      <c r="G2751" s="2">
        <v>15</v>
      </c>
      <c r="H2751" s="1"/>
      <c r="I2751" t="s">
        <v>0</v>
      </c>
      <c r="J2751" t="s">
        <v>5</v>
      </c>
      <c r="K2751" t="s">
        <v>397</v>
      </c>
      <c r="L2751" t="s">
        <v>70</v>
      </c>
      <c r="M2751" s="3" t="s">
        <v>2159</v>
      </c>
    </row>
    <row r="2752" spans="1:14" hidden="1" x14ac:dyDescent="0.25">
      <c r="A2752" s="1" t="str">
        <f>VLOOKUP(Table2[[#This Row],[Prod Line ]],Lists!A:E,5,0)</f>
        <v>a</v>
      </c>
      <c r="B2752" s="1">
        <v>44634</v>
      </c>
      <c r="C2752" s="1">
        <v>44632</v>
      </c>
      <c r="D2752" s="1" t="s">
        <v>56</v>
      </c>
      <c r="E2752" s="2" t="s">
        <v>404</v>
      </c>
      <c r="F2752" s="1"/>
      <c r="G2752" s="2">
        <v>12</v>
      </c>
      <c r="H2752" s="1"/>
      <c r="I2752" t="s">
        <v>1</v>
      </c>
      <c r="J2752" t="s">
        <v>64</v>
      </c>
      <c r="K2752" t="s">
        <v>363</v>
      </c>
      <c r="L2752" t="s">
        <v>349</v>
      </c>
      <c r="M2752" s="3" t="s">
        <v>2160</v>
      </c>
    </row>
    <row r="2753" spans="1:14" hidden="1" x14ac:dyDescent="0.25">
      <c r="A2753" s="1" t="str">
        <f>VLOOKUP(Table2[[#This Row],[Prod Line ]],Lists!A:E,5,0)</f>
        <v>a</v>
      </c>
      <c r="B2753" s="1">
        <v>44634</v>
      </c>
      <c r="C2753" s="1">
        <v>44632</v>
      </c>
      <c r="D2753" s="1" t="s">
        <v>56</v>
      </c>
      <c r="E2753" s="2" t="s">
        <v>404</v>
      </c>
      <c r="F2753" s="1"/>
      <c r="G2753" s="2">
        <v>11</v>
      </c>
      <c r="H2753" s="1"/>
      <c r="I2753" t="s">
        <v>1</v>
      </c>
      <c r="J2753" t="s">
        <v>64</v>
      </c>
      <c r="K2753" t="s">
        <v>363</v>
      </c>
      <c r="L2753" t="s">
        <v>407</v>
      </c>
      <c r="M2753" s="3" t="s">
        <v>2113</v>
      </c>
    </row>
    <row r="2754" spans="1:14" x14ac:dyDescent="0.25">
      <c r="A2754" s="1" t="str">
        <f>VLOOKUP(Table2[[#This Row],[Prod Line ]],Lists!A:E,5,0)</f>
        <v>a</v>
      </c>
      <c r="B2754" s="1">
        <v>44634</v>
      </c>
      <c r="C2754" s="1">
        <v>44632</v>
      </c>
      <c r="D2754" s="1" t="s">
        <v>56</v>
      </c>
      <c r="E2754" s="2" t="s">
        <v>406</v>
      </c>
      <c r="F2754" s="1"/>
      <c r="G2754" s="2">
        <v>10</v>
      </c>
      <c r="H2754" s="1"/>
      <c r="I2754" t="s">
        <v>0</v>
      </c>
      <c r="J2754" t="s">
        <v>64</v>
      </c>
      <c r="K2754" t="s">
        <v>370</v>
      </c>
      <c r="L2754" t="s">
        <v>69</v>
      </c>
      <c r="M2754" s="3" t="s">
        <v>2161</v>
      </c>
    </row>
    <row r="2755" spans="1:14" x14ac:dyDescent="0.25">
      <c r="A2755" s="1" t="str">
        <f>VLOOKUP(Table2[[#This Row],[Prod Line ]],Lists!A:E,5,0)</f>
        <v>a</v>
      </c>
      <c r="B2755" s="1">
        <v>44634</v>
      </c>
      <c r="C2755" s="1">
        <v>44632</v>
      </c>
      <c r="D2755" s="1" t="s">
        <v>56</v>
      </c>
      <c r="E2755" s="2" t="s">
        <v>406</v>
      </c>
      <c r="F2755" s="1"/>
      <c r="G2755" s="2">
        <v>16</v>
      </c>
      <c r="H2755" s="1"/>
      <c r="I2755" t="s">
        <v>0</v>
      </c>
      <c r="J2755" t="s">
        <v>66</v>
      </c>
      <c r="K2755" t="s">
        <v>4</v>
      </c>
      <c r="L2755" t="s">
        <v>70</v>
      </c>
      <c r="M2755" s="3" t="s">
        <v>922</v>
      </c>
    </row>
    <row r="2756" spans="1:14" x14ac:dyDescent="0.25">
      <c r="A2756" s="1" t="str">
        <f>VLOOKUP(Table2[[#This Row],[Prod Line ]],Lists!A:E,5,0)</f>
        <v>a</v>
      </c>
      <c r="B2756" s="1">
        <v>44634</v>
      </c>
      <c r="C2756" s="1">
        <v>44632</v>
      </c>
      <c r="D2756" s="1" t="s">
        <v>56</v>
      </c>
      <c r="E2756" s="2" t="s">
        <v>406</v>
      </c>
      <c r="F2756" s="1"/>
      <c r="G2756" s="2">
        <v>5</v>
      </c>
      <c r="H2756" s="1"/>
      <c r="I2756" t="s">
        <v>0</v>
      </c>
      <c r="J2756" t="s">
        <v>65</v>
      </c>
      <c r="K2756" t="s">
        <v>372</v>
      </c>
      <c r="L2756" t="s">
        <v>70</v>
      </c>
      <c r="M2756" s="3" t="s">
        <v>1080</v>
      </c>
    </row>
    <row r="2757" spans="1:14" hidden="1" x14ac:dyDescent="0.25">
      <c r="A2757" s="1" t="str">
        <f>VLOOKUP(Table2[[#This Row],[Prod Line ]],Lists!A:E,5,0)</f>
        <v>a</v>
      </c>
      <c r="B2757" s="1">
        <v>44634</v>
      </c>
      <c r="C2757" s="1">
        <v>44632</v>
      </c>
      <c r="D2757" s="1" t="s">
        <v>56</v>
      </c>
      <c r="E2757" s="2" t="s">
        <v>406</v>
      </c>
      <c r="F2757" s="1"/>
      <c r="G2757" s="2">
        <v>12</v>
      </c>
      <c r="H2757" s="1"/>
      <c r="I2757" t="s">
        <v>1</v>
      </c>
      <c r="J2757" t="s">
        <v>64</v>
      </c>
      <c r="K2757" t="s">
        <v>369</v>
      </c>
      <c r="L2757" t="s">
        <v>407</v>
      </c>
      <c r="M2757" s="3" t="s">
        <v>750</v>
      </c>
    </row>
    <row r="2758" spans="1:14" hidden="1" x14ac:dyDescent="0.25">
      <c r="A2758" s="1" t="str">
        <f>VLOOKUP(Table2[[#This Row],[Prod Line ]],Lists!A:E,5,0)</f>
        <v>a</v>
      </c>
      <c r="B2758" s="1">
        <v>44634</v>
      </c>
      <c r="C2758" s="1">
        <v>44632</v>
      </c>
      <c r="D2758" s="1" t="s">
        <v>56</v>
      </c>
      <c r="E2758" s="2" t="s">
        <v>404</v>
      </c>
      <c r="F2758" s="1"/>
      <c r="G2758" s="2">
        <v>20</v>
      </c>
      <c r="H2758" s="1"/>
      <c r="I2758" t="s">
        <v>67</v>
      </c>
      <c r="J2758" t="s">
        <v>67</v>
      </c>
      <c r="K2758" t="s">
        <v>67</v>
      </c>
      <c r="L2758" t="s">
        <v>71</v>
      </c>
      <c r="M2758" s="3" t="s">
        <v>756</v>
      </c>
    </row>
    <row r="2759" spans="1:14" x14ac:dyDescent="0.25">
      <c r="A2759" s="1" t="str">
        <f>VLOOKUP(Table2[[#This Row],[Prod Line ]],Lists!A:E,5,0)</f>
        <v>b</v>
      </c>
      <c r="B2759" s="1">
        <v>44634</v>
      </c>
      <c r="C2759" s="1">
        <v>44632</v>
      </c>
      <c r="D2759" s="1" t="s">
        <v>58</v>
      </c>
      <c r="E2759" s="2" t="s">
        <v>404</v>
      </c>
      <c r="F2759" s="1"/>
      <c r="G2759" s="2">
        <v>27</v>
      </c>
      <c r="H2759" s="1"/>
      <c r="I2759" t="s">
        <v>0</v>
      </c>
      <c r="J2759" t="s">
        <v>64</v>
      </c>
      <c r="K2759" t="s">
        <v>20</v>
      </c>
      <c r="L2759" t="s">
        <v>70</v>
      </c>
      <c r="M2759" s="3" t="s">
        <v>1369</v>
      </c>
    </row>
    <row r="2760" spans="1:14" x14ac:dyDescent="0.25">
      <c r="A2760" s="1" t="str">
        <f>VLOOKUP(Table2[[#This Row],[Prod Line ]],Lists!A:E,5,0)</f>
        <v>b</v>
      </c>
      <c r="B2760" s="1">
        <v>44634</v>
      </c>
      <c r="C2760" s="1">
        <v>44632</v>
      </c>
      <c r="D2760" s="1" t="s">
        <v>58</v>
      </c>
      <c r="E2760" s="2" t="s">
        <v>404</v>
      </c>
      <c r="F2760" s="1"/>
      <c r="G2760" s="2">
        <v>8</v>
      </c>
      <c r="H2760" s="1"/>
      <c r="I2760" t="s">
        <v>0</v>
      </c>
      <c r="J2760" t="s">
        <v>64</v>
      </c>
      <c r="K2760" t="s">
        <v>23</v>
      </c>
      <c r="L2760" t="s">
        <v>70</v>
      </c>
      <c r="M2760" s="3" t="s">
        <v>2162</v>
      </c>
    </row>
    <row r="2761" spans="1:14" hidden="1" x14ac:dyDescent="0.25">
      <c r="A2761" s="1" t="str">
        <f>VLOOKUP(Table2[[#This Row],[Prod Line ]],Lists!A:E,5,0)</f>
        <v>b</v>
      </c>
      <c r="B2761" s="1">
        <v>44634</v>
      </c>
      <c r="C2761" s="1">
        <v>44632</v>
      </c>
      <c r="D2761" s="1" t="s">
        <v>58</v>
      </c>
      <c r="E2761" s="2" t="s">
        <v>404</v>
      </c>
      <c r="F2761" s="1"/>
      <c r="G2761" s="2">
        <v>2</v>
      </c>
      <c r="H2761" s="1"/>
      <c r="I2761" t="s">
        <v>1</v>
      </c>
      <c r="J2761" t="s">
        <v>64</v>
      </c>
      <c r="K2761" t="s">
        <v>21</v>
      </c>
      <c r="L2761" t="s">
        <v>407</v>
      </c>
      <c r="M2761" s="3" t="s">
        <v>2168</v>
      </c>
    </row>
    <row r="2762" spans="1:14" hidden="1" x14ac:dyDescent="0.25">
      <c r="A2762" s="1" t="str">
        <f>VLOOKUP(Table2[[#This Row],[Prod Line ]],Lists!A:E,5,0)</f>
        <v>b</v>
      </c>
      <c r="B2762" s="1">
        <v>44634</v>
      </c>
      <c r="C2762" s="1">
        <v>44632</v>
      </c>
      <c r="D2762" s="1" t="s">
        <v>58</v>
      </c>
      <c r="E2762" s="2" t="s">
        <v>404</v>
      </c>
      <c r="F2762" s="1"/>
      <c r="G2762" s="2">
        <v>30</v>
      </c>
      <c r="H2762" s="1"/>
      <c r="I2762" t="s">
        <v>1</v>
      </c>
      <c r="J2762" t="s">
        <v>65</v>
      </c>
      <c r="K2762" t="s">
        <v>3</v>
      </c>
      <c r="L2762" t="s">
        <v>441</v>
      </c>
      <c r="M2762" s="3" t="s">
        <v>2169</v>
      </c>
    </row>
    <row r="2763" spans="1:14" hidden="1" x14ac:dyDescent="0.25">
      <c r="A2763" s="1" t="str">
        <f>VLOOKUP(Table2[[#This Row],[Prod Line ]],Lists!A:E,5,0)</f>
        <v>c</v>
      </c>
      <c r="B2763" s="1">
        <v>44634</v>
      </c>
      <c r="C2763" s="1">
        <v>44632</v>
      </c>
      <c r="D2763" s="1" t="s">
        <v>60</v>
      </c>
      <c r="E2763" s="2" t="s">
        <v>405</v>
      </c>
      <c r="F2763" s="1"/>
      <c r="G2763" s="2">
        <v>14</v>
      </c>
      <c r="H2763" s="1"/>
      <c r="I2763" t="s">
        <v>1</v>
      </c>
      <c r="J2763" t="s">
        <v>67</v>
      </c>
      <c r="K2763" t="s">
        <v>67</v>
      </c>
      <c r="L2763" t="s">
        <v>349</v>
      </c>
      <c r="M2763" s="3" t="s">
        <v>1897</v>
      </c>
    </row>
    <row r="2764" spans="1:14" x14ac:dyDescent="0.25">
      <c r="A2764" s="1" t="str">
        <f>VLOOKUP(Table2[[#This Row],[Prod Line ]],Lists!A:E,5,0)</f>
        <v>d</v>
      </c>
      <c r="B2764" s="1">
        <v>44634</v>
      </c>
      <c r="C2764" s="1">
        <v>44632</v>
      </c>
      <c r="D2764" s="1" t="s">
        <v>62</v>
      </c>
      <c r="E2764" s="2" t="s">
        <v>406</v>
      </c>
      <c r="F2764" s="1"/>
      <c r="G2764" s="2">
        <v>39</v>
      </c>
      <c r="H2764" s="1"/>
      <c r="I2764" t="s">
        <v>0</v>
      </c>
      <c r="J2764" t="s">
        <v>64</v>
      </c>
      <c r="K2764" t="s">
        <v>379</v>
      </c>
      <c r="L2764" t="s">
        <v>82</v>
      </c>
      <c r="M2764" s="3" t="s">
        <v>2163</v>
      </c>
      <c r="N2764" s="20" t="s">
        <v>2201</v>
      </c>
    </row>
    <row r="2765" spans="1:14" x14ac:dyDescent="0.25">
      <c r="A2765" s="1" t="str">
        <f>VLOOKUP(Table2[[#This Row],[Prod Line ]],Lists!A:E,5,0)</f>
        <v>d</v>
      </c>
      <c r="B2765" s="1">
        <v>44634</v>
      </c>
      <c r="C2765" s="1">
        <v>44632</v>
      </c>
      <c r="D2765" s="1" t="s">
        <v>62</v>
      </c>
      <c r="E2765" s="2" t="s">
        <v>404</v>
      </c>
      <c r="F2765" s="1"/>
      <c r="G2765" s="2">
        <v>35</v>
      </c>
      <c r="H2765" s="1"/>
      <c r="I2765" t="s">
        <v>0</v>
      </c>
      <c r="J2765" t="s">
        <v>65</v>
      </c>
      <c r="K2765" t="s">
        <v>394</v>
      </c>
      <c r="L2765" t="s">
        <v>69</v>
      </c>
      <c r="M2765" s="3" t="s">
        <v>2164</v>
      </c>
      <c r="N2765" s="20" t="s">
        <v>2202</v>
      </c>
    </row>
    <row r="2766" spans="1:14" hidden="1" x14ac:dyDescent="0.25">
      <c r="A2766" s="1" t="str">
        <f>VLOOKUP(Table2[[#This Row],[Prod Line ]],Lists!A:E,5,0)</f>
        <v>d</v>
      </c>
      <c r="B2766" s="1">
        <v>44634</v>
      </c>
      <c r="C2766" s="1">
        <v>44632</v>
      </c>
      <c r="D2766" s="1" t="s">
        <v>62</v>
      </c>
      <c r="E2766" s="2" t="s">
        <v>406</v>
      </c>
      <c r="F2766" s="1"/>
      <c r="G2766" s="2">
        <v>35</v>
      </c>
      <c r="H2766" s="1"/>
      <c r="I2766" t="s">
        <v>67</v>
      </c>
      <c r="J2766" t="s">
        <v>67</v>
      </c>
      <c r="K2766" t="s">
        <v>67</v>
      </c>
      <c r="L2766" t="s">
        <v>71</v>
      </c>
      <c r="M2766" s="3" t="s">
        <v>756</v>
      </c>
    </row>
    <row r="2767" spans="1:14" hidden="1" x14ac:dyDescent="0.25">
      <c r="A2767" s="1" t="str">
        <f>VLOOKUP(Table2[[#This Row],[Prod Line ]],Lists!A:E,5,0)</f>
        <v>a</v>
      </c>
      <c r="B2767" s="1">
        <v>44635</v>
      </c>
      <c r="C2767" s="1">
        <v>44633</v>
      </c>
      <c r="D2767" s="1" t="s">
        <v>56</v>
      </c>
      <c r="E2767" s="2" t="s">
        <v>404</v>
      </c>
      <c r="F2767" s="1"/>
      <c r="G2767" s="2">
        <v>14</v>
      </c>
      <c r="H2767" s="1"/>
      <c r="I2767" t="s">
        <v>1</v>
      </c>
      <c r="J2767" t="s">
        <v>65</v>
      </c>
      <c r="K2767" t="s">
        <v>372</v>
      </c>
      <c r="L2767" t="s">
        <v>407</v>
      </c>
      <c r="M2767" s="3" t="s">
        <v>2165</v>
      </c>
    </row>
    <row r="2768" spans="1:14" x14ac:dyDescent="0.25">
      <c r="A2768" s="1" t="str">
        <f>VLOOKUP(Table2[[#This Row],[Prod Line ]],Lists!A:E,5,0)</f>
        <v>a</v>
      </c>
      <c r="B2768" s="1">
        <v>44635</v>
      </c>
      <c r="C2768" s="1">
        <v>44633</v>
      </c>
      <c r="D2768" s="1" t="s">
        <v>56</v>
      </c>
      <c r="E2768" s="2" t="s">
        <v>404</v>
      </c>
      <c r="F2768" s="1"/>
      <c r="G2768" s="2">
        <v>6</v>
      </c>
      <c r="H2768" s="1"/>
      <c r="I2768" t="s">
        <v>0</v>
      </c>
      <c r="J2768" t="s">
        <v>64</v>
      </c>
      <c r="K2768" t="s">
        <v>370</v>
      </c>
      <c r="L2768" t="s">
        <v>69</v>
      </c>
      <c r="M2768" s="3" t="s">
        <v>2166</v>
      </c>
    </row>
    <row r="2769" spans="1:14" hidden="1" x14ac:dyDescent="0.25">
      <c r="A2769" s="1" t="str">
        <f>VLOOKUP(Table2[[#This Row],[Prod Line ]],Lists!A:E,5,0)</f>
        <v>b</v>
      </c>
      <c r="B2769" s="1">
        <v>44635</v>
      </c>
      <c r="C2769" s="1">
        <v>44633</v>
      </c>
      <c r="D2769" s="1" t="s">
        <v>58</v>
      </c>
      <c r="E2769" s="2" t="s">
        <v>406</v>
      </c>
      <c r="F2769" s="1"/>
      <c r="G2769" s="2">
        <v>5</v>
      </c>
      <c r="H2769" s="1"/>
      <c r="I2769" t="s">
        <v>1</v>
      </c>
      <c r="J2769" t="s">
        <v>65</v>
      </c>
      <c r="K2769" t="s">
        <v>3</v>
      </c>
      <c r="L2769" t="s">
        <v>441</v>
      </c>
      <c r="M2769" s="3" t="s">
        <v>2170</v>
      </c>
    </row>
    <row r="2770" spans="1:14" hidden="1" x14ac:dyDescent="0.25">
      <c r="A2770" s="1" t="str">
        <f>VLOOKUP(Table2[[#This Row],[Prod Line ]],Lists!A:E,5,0)</f>
        <v>c</v>
      </c>
      <c r="B2770" s="1">
        <v>44635</v>
      </c>
      <c r="C2770" s="1">
        <v>44633</v>
      </c>
      <c r="D2770" s="1" t="s">
        <v>60</v>
      </c>
      <c r="E2770" s="2" t="s">
        <v>404</v>
      </c>
      <c r="F2770" s="1"/>
      <c r="G2770" s="2">
        <v>25</v>
      </c>
      <c r="H2770" s="1"/>
      <c r="I2770" t="s">
        <v>67</v>
      </c>
      <c r="J2770" t="s">
        <v>67</v>
      </c>
      <c r="K2770" t="s">
        <v>67</v>
      </c>
      <c r="L2770" t="s">
        <v>71</v>
      </c>
      <c r="M2770" s="3" t="s">
        <v>756</v>
      </c>
    </row>
    <row r="2771" spans="1:14" x14ac:dyDescent="0.25">
      <c r="A2771" s="1" t="str">
        <f>VLOOKUP(Table2[[#This Row],[Prod Line ]],Lists!A:E,5,0)</f>
        <v>c</v>
      </c>
      <c r="B2771" s="1">
        <v>44635</v>
      </c>
      <c r="C2771" s="1">
        <v>44633</v>
      </c>
      <c r="D2771" s="1" t="s">
        <v>60</v>
      </c>
      <c r="E2771" s="2" t="s">
        <v>406</v>
      </c>
      <c r="F2771" s="1"/>
      <c r="G2771" s="2">
        <v>10</v>
      </c>
      <c r="H2771" s="1"/>
      <c r="I2771" t="s">
        <v>0</v>
      </c>
      <c r="J2771" t="s">
        <v>64</v>
      </c>
      <c r="K2771" t="s">
        <v>381</v>
      </c>
      <c r="L2771" t="s">
        <v>70</v>
      </c>
      <c r="M2771" s="3" t="s">
        <v>2167</v>
      </c>
    </row>
    <row r="2772" spans="1:14" x14ac:dyDescent="0.25">
      <c r="A2772" s="1" t="str">
        <f>VLOOKUP(Table2[[#This Row],[Prod Line ]],Lists!A:E,5,0)</f>
        <v>a</v>
      </c>
      <c r="B2772" s="1">
        <v>44635</v>
      </c>
      <c r="C2772" s="1">
        <v>44633</v>
      </c>
      <c r="D2772" s="1" t="s">
        <v>56</v>
      </c>
      <c r="E2772" s="2" t="s">
        <v>406</v>
      </c>
      <c r="F2772" s="1"/>
      <c r="G2772" s="2">
        <v>20</v>
      </c>
      <c r="H2772" s="1"/>
      <c r="I2772" t="s">
        <v>0</v>
      </c>
      <c r="J2772" t="s">
        <v>64</v>
      </c>
      <c r="K2772" t="s">
        <v>370</v>
      </c>
      <c r="L2772" t="s">
        <v>69</v>
      </c>
      <c r="M2772" s="3" t="s">
        <v>2171</v>
      </c>
    </row>
    <row r="2773" spans="1:14" x14ac:dyDescent="0.25">
      <c r="A2773" s="1" t="str">
        <f>VLOOKUP(Table2[[#This Row],[Prod Line ]],Lists!A:E,5,0)</f>
        <v>a</v>
      </c>
      <c r="B2773" s="1">
        <v>44635</v>
      </c>
      <c r="C2773" s="1">
        <v>44633</v>
      </c>
      <c r="D2773" s="1" t="s">
        <v>56</v>
      </c>
      <c r="E2773" s="2" t="s">
        <v>406</v>
      </c>
      <c r="F2773" s="1"/>
      <c r="G2773" s="2">
        <v>7</v>
      </c>
      <c r="H2773" s="1"/>
      <c r="I2773" t="s">
        <v>0</v>
      </c>
      <c r="J2773" t="s">
        <v>65</v>
      </c>
      <c r="K2773" t="s">
        <v>27</v>
      </c>
      <c r="L2773" t="s">
        <v>70</v>
      </c>
      <c r="M2773" s="3" t="s">
        <v>2172</v>
      </c>
    </row>
    <row r="2774" spans="1:14" x14ac:dyDescent="0.25">
      <c r="A2774" s="1" t="str">
        <f>VLOOKUP(Table2[[#This Row],[Prod Line ]],Lists!A:E,5,0)</f>
        <v>b</v>
      </c>
      <c r="B2774" s="1">
        <v>44635</v>
      </c>
      <c r="C2774" s="1">
        <v>44634</v>
      </c>
      <c r="D2774" s="1" t="s">
        <v>58</v>
      </c>
      <c r="E2774" s="2" t="s">
        <v>406</v>
      </c>
      <c r="F2774" s="1"/>
      <c r="G2774" s="2">
        <v>23</v>
      </c>
      <c r="H2774" s="1"/>
      <c r="I2774" t="s">
        <v>0</v>
      </c>
      <c r="J2774" t="s">
        <v>65</v>
      </c>
      <c r="K2774" t="s">
        <v>27</v>
      </c>
      <c r="L2774" t="s">
        <v>69</v>
      </c>
      <c r="M2774" s="3" t="s">
        <v>2173</v>
      </c>
    </row>
    <row r="2775" spans="1:14" hidden="1" x14ac:dyDescent="0.25">
      <c r="A2775" s="1" t="str">
        <f>VLOOKUP(Table2[[#This Row],[Prod Line ]],Lists!A:E,5,0)</f>
        <v>b</v>
      </c>
      <c r="B2775" s="1">
        <v>44635</v>
      </c>
      <c r="C2775" s="1">
        <v>44633</v>
      </c>
      <c r="D2775" s="1" t="s">
        <v>58</v>
      </c>
      <c r="E2775" s="2" t="s">
        <v>404</v>
      </c>
      <c r="F2775" s="1"/>
      <c r="G2775" s="2">
        <v>55</v>
      </c>
      <c r="H2775" s="1"/>
      <c r="I2775" t="s">
        <v>67</v>
      </c>
      <c r="J2775" t="s">
        <v>67</v>
      </c>
      <c r="K2775" t="s">
        <v>67</v>
      </c>
      <c r="L2775" t="s">
        <v>71</v>
      </c>
      <c r="M2775" s="3" t="s">
        <v>756</v>
      </c>
    </row>
    <row r="2776" spans="1:14" hidden="1" x14ac:dyDescent="0.25">
      <c r="A2776" s="1" t="str">
        <f>VLOOKUP(Table2[[#This Row],[Prod Line ]],Lists!A:E,5,0)</f>
        <v>b</v>
      </c>
      <c r="B2776" s="1">
        <v>44635</v>
      </c>
      <c r="C2776" s="1">
        <v>44634</v>
      </c>
      <c r="D2776" s="1" t="s">
        <v>58</v>
      </c>
      <c r="E2776" s="2" t="s">
        <v>406</v>
      </c>
      <c r="F2776" s="1"/>
      <c r="G2776" s="2">
        <v>8</v>
      </c>
      <c r="H2776" s="1"/>
      <c r="I2776" t="s">
        <v>1</v>
      </c>
      <c r="J2776" t="s">
        <v>26</v>
      </c>
      <c r="K2776" t="s">
        <v>26</v>
      </c>
      <c r="L2776" t="s">
        <v>70</v>
      </c>
      <c r="M2776" s="3" t="s">
        <v>2174</v>
      </c>
    </row>
    <row r="2777" spans="1:14" x14ac:dyDescent="0.25">
      <c r="A2777" s="1" t="str">
        <f>VLOOKUP(Table2[[#This Row],[Prod Line ]],Lists!A:E,5,0)</f>
        <v>b</v>
      </c>
      <c r="B2777" s="1">
        <v>44635</v>
      </c>
      <c r="C2777" s="1">
        <v>44634</v>
      </c>
      <c r="D2777" s="1" t="s">
        <v>58</v>
      </c>
      <c r="E2777" s="2" t="s">
        <v>404</v>
      </c>
      <c r="F2777" s="1"/>
      <c r="G2777" s="2">
        <v>14</v>
      </c>
      <c r="H2777" s="1"/>
      <c r="I2777" t="s">
        <v>0</v>
      </c>
      <c r="J2777" t="s">
        <v>64</v>
      </c>
      <c r="K2777" t="s">
        <v>23</v>
      </c>
      <c r="L2777" t="s">
        <v>70</v>
      </c>
      <c r="M2777" s="3" t="s">
        <v>2175</v>
      </c>
    </row>
    <row r="2778" spans="1:14" hidden="1" x14ac:dyDescent="0.25">
      <c r="A2778" s="1" t="str">
        <f>VLOOKUP(Table2[[#This Row],[Prod Line ]],Lists!A:E,5,0)</f>
        <v>b</v>
      </c>
      <c r="B2778" s="1">
        <v>44637</v>
      </c>
      <c r="C2778" s="1">
        <v>44635</v>
      </c>
      <c r="D2778" s="1" t="s">
        <v>58</v>
      </c>
      <c r="E2778" s="2" t="s">
        <v>405</v>
      </c>
      <c r="F2778" s="1"/>
      <c r="G2778" s="2">
        <v>30</v>
      </c>
      <c r="H2778" s="1"/>
      <c r="I2778" t="s">
        <v>1</v>
      </c>
      <c r="J2778" t="s">
        <v>65</v>
      </c>
      <c r="K2778" t="s">
        <v>27</v>
      </c>
      <c r="L2778" t="s">
        <v>441</v>
      </c>
      <c r="M2778" s="3" t="s">
        <v>1920</v>
      </c>
    </row>
    <row r="2779" spans="1:14" x14ac:dyDescent="0.25">
      <c r="A2779" s="1" t="str">
        <f>VLOOKUP(Table2[[#This Row],[Prod Line ]],Lists!A:E,5,0)</f>
        <v>d</v>
      </c>
      <c r="B2779" s="1">
        <v>44637</v>
      </c>
      <c r="C2779" s="1">
        <v>44635</v>
      </c>
      <c r="D2779" s="1" t="s">
        <v>62</v>
      </c>
      <c r="E2779" s="2" t="s">
        <v>406</v>
      </c>
      <c r="F2779" s="1"/>
      <c r="G2779" s="2">
        <v>152</v>
      </c>
      <c r="H2779" s="1"/>
      <c r="I2779" t="s">
        <v>0</v>
      </c>
      <c r="J2779" t="s">
        <v>65</v>
      </c>
      <c r="K2779" t="s">
        <v>394</v>
      </c>
      <c r="L2779" t="s">
        <v>69</v>
      </c>
      <c r="M2779" s="3" t="s">
        <v>2176</v>
      </c>
      <c r="N2779" s="20" t="s">
        <v>2202</v>
      </c>
    </row>
    <row r="2780" spans="1:14" hidden="1" x14ac:dyDescent="0.25">
      <c r="A2780" s="1" t="str">
        <f>VLOOKUP(Table2[[#This Row],[Prod Line ]],Lists!A:E,5,0)</f>
        <v>d</v>
      </c>
      <c r="B2780" s="1">
        <v>44637</v>
      </c>
      <c r="C2780" s="1">
        <v>44635</v>
      </c>
      <c r="D2780" s="1" t="s">
        <v>62</v>
      </c>
      <c r="E2780" s="2" t="s">
        <v>405</v>
      </c>
      <c r="F2780" s="1"/>
      <c r="G2780" s="2">
        <v>7</v>
      </c>
      <c r="H2780" s="1"/>
      <c r="I2780" t="s">
        <v>1</v>
      </c>
      <c r="J2780" t="s">
        <v>5</v>
      </c>
      <c r="K2780" t="s">
        <v>396</v>
      </c>
      <c r="L2780" t="s">
        <v>407</v>
      </c>
      <c r="M2780" s="3" t="s">
        <v>790</v>
      </c>
    </row>
    <row r="2781" spans="1:14" hidden="1" x14ac:dyDescent="0.25">
      <c r="A2781" s="1" t="str">
        <f>VLOOKUP(Table2[[#This Row],[Prod Line ]],Lists!A:E,5,0)</f>
        <v>c</v>
      </c>
      <c r="B2781" s="1">
        <v>44637</v>
      </c>
      <c r="C2781" s="1">
        <v>44635</v>
      </c>
      <c r="D2781" s="1" t="s">
        <v>60</v>
      </c>
      <c r="E2781" s="2" t="s">
        <v>404</v>
      </c>
      <c r="F2781" s="1"/>
      <c r="G2781" s="2">
        <v>8</v>
      </c>
      <c r="H2781" s="1"/>
      <c r="I2781" t="s">
        <v>1</v>
      </c>
      <c r="J2781" t="s">
        <v>64</v>
      </c>
      <c r="K2781" t="s">
        <v>381</v>
      </c>
      <c r="L2781" t="s">
        <v>407</v>
      </c>
      <c r="M2781" s="3" t="s">
        <v>939</v>
      </c>
    </row>
    <row r="2782" spans="1:14" x14ac:dyDescent="0.25">
      <c r="A2782" s="1" t="str">
        <f>VLOOKUP(Table2[[#This Row],[Prod Line ]],Lists!A:E,5,0)</f>
        <v>a</v>
      </c>
      <c r="B2782" s="1">
        <v>44637</v>
      </c>
      <c r="C2782" s="1">
        <v>44635</v>
      </c>
      <c r="D2782" s="1" t="s">
        <v>56</v>
      </c>
      <c r="E2782" s="2" t="s">
        <v>404</v>
      </c>
      <c r="F2782" s="1"/>
      <c r="G2782" s="2">
        <v>27</v>
      </c>
      <c r="H2782" s="1"/>
      <c r="I2782" t="s">
        <v>0</v>
      </c>
      <c r="J2782" t="s">
        <v>64</v>
      </c>
      <c r="K2782" t="s">
        <v>370</v>
      </c>
      <c r="L2782" t="s">
        <v>70</v>
      </c>
      <c r="M2782" s="3" t="s">
        <v>2177</v>
      </c>
    </row>
    <row r="2783" spans="1:14" x14ac:dyDescent="0.25">
      <c r="A2783" s="1" t="str">
        <f>VLOOKUP(Table2[[#This Row],[Prod Line ]],Lists!A:E,5,0)</f>
        <v>a</v>
      </c>
      <c r="B2783" s="1">
        <v>44637</v>
      </c>
      <c r="C2783" s="1">
        <v>44635</v>
      </c>
      <c r="D2783" s="1" t="s">
        <v>56</v>
      </c>
      <c r="E2783" s="2" t="s">
        <v>405</v>
      </c>
      <c r="F2783" s="1"/>
      <c r="G2783" s="2">
        <v>10</v>
      </c>
      <c r="H2783" s="1"/>
      <c r="I2783" t="s">
        <v>0</v>
      </c>
      <c r="J2783" t="s">
        <v>64</v>
      </c>
      <c r="K2783" t="s">
        <v>370</v>
      </c>
      <c r="L2783" t="s">
        <v>69</v>
      </c>
      <c r="M2783" s="3" t="s">
        <v>2171</v>
      </c>
    </row>
    <row r="2784" spans="1:14" x14ac:dyDescent="0.25">
      <c r="A2784" s="1" t="str">
        <f>VLOOKUP(Table2[[#This Row],[Prod Line ]],Lists!A:E,5,0)</f>
        <v>a</v>
      </c>
      <c r="B2784" s="1">
        <v>44637</v>
      </c>
      <c r="C2784" s="1">
        <v>44635</v>
      </c>
      <c r="D2784" s="1" t="s">
        <v>56</v>
      </c>
      <c r="E2784" s="2" t="s">
        <v>405</v>
      </c>
      <c r="F2784" s="1"/>
      <c r="G2784" s="2">
        <v>61</v>
      </c>
      <c r="H2784" s="1"/>
      <c r="I2784" t="s">
        <v>0</v>
      </c>
      <c r="J2784" t="s">
        <v>64</v>
      </c>
      <c r="K2784" t="s">
        <v>370</v>
      </c>
      <c r="L2784" t="s">
        <v>70</v>
      </c>
      <c r="M2784" s="3" t="s">
        <v>2178</v>
      </c>
    </row>
    <row r="2785" spans="1:14" hidden="1" x14ac:dyDescent="0.25">
      <c r="A2785" s="1" t="str">
        <f>VLOOKUP(Table2[[#This Row],[Prod Line ]],Lists!A:E,5,0)</f>
        <v>a</v>
      </c>
      <c r="B2785" s="1">
        <v>44637</v>
      </c>
      <c r="C2785" s="1">
        <v>44635</v>
      </c>
      <c r="D2785" s="1" t="s">
        <v>56</v>
      </c>
      <c r="E2785" s="2" t="s">
        <v>404</v>
      </c>
      <c r="F2785" s="1"/>
      <c r="G2785" s="2">
        <v>8</v>
      </c>
      <c r="H2785" s="1"/>
      <c r="I2785" t="s">
        <v>1</v>
      </c>
      <c r="J2785" t="s">
        <v>2</v>
      </c>
      <c r="K2785" t="s">
        <v>15</v>
      </c>
      <c r="L2785" t="s">
        <v>349</v>
      </c>
      <c r="M2785" s="3" t="s">
        <v>575</v>
      </c>
    </row>
    <row r="2786" spans="1:14" hidden="1" x14ac:dyDescent="0.25">
      <c r="A2786" s="1" t="str">
        <f>VLOOKUP(Table2[[#This Row],[Prod Line ]],Lists!A:E,5,0)</f>
        <v>a</v>
      </c>
      <c r="B2786" s="1">
        <v>44637</v>
      </c>
      <c r="C2786" s="1">
        <v>44635</v>
      </c>
      <c r="D2786" s="1" t="s">
        <v>56</v>
      </c>
      <c r="E2786" s="2" t="s">
        <v>405</v>
      </c>
      <c r="F2786" s="1"/>
      <c r="G2786" s="2">
        <v>28</v>
      </c>
      <c r="H2786" s="1"/>
      <c r="I2786" t="s">
        <v>1</v>
      </c>
      <c r="J2786" t="s">
        <v>5</v>
      </c>
      <c r="K2786" t="s">
        <v>376</v>
      </c>
      <c r="L2786" t="s">
        <v>407</v>
      </c>
      <c r="M2786" s="3" t="s">
        <v>2179</v>
      </c>
    </row>
    <row r="2787" spans="1:14" x14ac:dyDescent="0.25">
      <c r="A2787" s="1" t="str">
        <f>VLOOKUP(Table2[[#This Row],[Prod Line ]],Lists!A:E,5,0)</f>
        <v>a</v>
      </c>
      <c r="B2787" s="1">
        <v>44638</v>
      </c>
      <c r="C2787" s="1">
        <v>44636</v>
      </c>
      <c r="D2787" s="1" t="s">
        <v>56</v>
      </c>
      <c r="E2787" s="2" t="s">
        <v>404</v>
      </c>
      <c r="F2787" s="1"/>
      <c r="G2787" s="2">
        <v>28</v>
      </c>
      <c r="H2787" s="1"/>
      <c r="I2787" t="s">
        <v>0</v>
      </c>
      <c r="J2787" t="s">
        <v>65</v>
      </c>
      <c r="K2787" t="s">
        <v>3</v>
      </c>
      <c r="L2787" t="s">
        <v>70</v>
      </c>
      <c r="M2787" s="3" t="s">
        <v>2180</v>
      </c>
    </row>
    <row r="2788" spans="1:14" x14ac:dyDescent="0.25">
      <c r="A2788" s="1" t="str">
        <f>VLOOKUP(Table2[[#This Row],[Prod Line ]],Lists!A:E,5,0)</f>
        <v>a</v>
      </c>
      <c r="B2788" s="1">
        <v>44638</v>
      </c>
      <c r="C2788" s="1">
        <v>44636</v>
      </c>
      <c r="D2788" s="1" t="s">
        <v>56</v>
      </c>
      <c r="E2788" s="2" t="s">
        <v>405</v>
      </c>
      <c r="F2788" s="1"/>
      <c r="G2788" s="2">
        <v>12</v>
      </c>
      <c r="H2788" s="1"/>
      <c r="I2788" t="s">
        <v>0</v>
      </c>
      <c r="J2788" t="s">
        <v>5</v>
      </c>
      <c r="K2788" t="s">
        <v>376</v>
      </c>
      <c r="L2788" t="s">
        <v>70</v>
      </c>
      <c r="M2788" s="3" t="s">
        <v>2181</v>
      </c>
    </row>
    <row r="2789" spans="1:14" x14ac:dyDescent="0.25">
      <c r="A2789" s="1" t="str">
        <f>VLOOKUP(Table2[[#This Row],[Prod Line ]],Lists!A:E,5,0)</f>
        <v>d</v>
      </c>
      <c r="B2789" s="1">
        <v>44638</v>
      </c>
      <c r="C2789" s="1">
        <v>44636</v>
      </c>
      <c r="D2789" s="1" t="s">
        <v>62</v>
      </c>
      <c r="E2789" s="2" t="s">
        <v>404</v>
      </c>
      <c r="F2789" s="1"/>
      <c r="G2789" s="2">
        <v>80</v>
      </c>
      <c r="H2789" s="1"/>
      <c r="I2789" t="s">
        <v>0</v>
      </c>
      <c r="J2789" t="s">
        <v>65</v>
      </c>
      <c r="K2789" t="s">
        <v>394</v>
      </c>
      <c r="L2789" t="s">
        <v>70</v>
      </c>
      <c r="M2789" s="3" t="s">
        <v>2182</v>
      </c>
      <c r="N2789" s="20" t="s">
        <v>2202</v>
      </c>
    </row>
    <row r="2790" spans="1:14" hidden="1" x14ac:dyDescent="0.25">
      <c r="A2790" s="1" t="str">
        <f>VLOOKUP(Table2[[#This Row],[Prod Line ]],Lists!A:E,5,0)</f>
        <v>d</v>
      </c>
      <c r="B2790" s="1">
        <v>44638</v>
      </c>
      <c r="C2790" s="1">
        <v>44636</v>
      </c>
      <c r="D2790" s="1" t="s">
        <v>62</v>
      </c>
      <c r="E2790" s="2" t="s">
        <v>405</v>
      </c>
      <c r="F2790" s="1"/>
      <c r="G2790" s="2">
        <v>5</v>
      </c>
      <c r="H2790" s="1"/>
      <c r="I2790" t="s">
        <v>1</v>
      </c>
      <c r="J2790" t="s">
        <v>64</v>
      </c>
      <c r="K2790" t="s">
        <v>379</v>
      </c>
      <c r="L2790" t="s">
        <v>407</v>
      </c>
      <c r="M2790" s="3" t="s">
        <v>573</v>
      </c>
    </row>
    <row r="2791" spans="1:14" hidden="1" x14ac:dyDescent="0.25">
      <c r="A2791" s="1" t="str">
        <f>VLOOKUP(Table2[[#This Row],[Prod Line ]],Lists!A:E,5,0)</f>
        <v>b</v>
      </c>
      <c r="B2791" s="1">
        <v>44639</v>
      </c>
      <c r="C2791" s="1">
        <v>44637</v>
      </c>
      <c r="D2791" s="1" t="s">
        <v>58</v>
      </c>
      <c r="E2791" s="2" t="s">
        <v>404</v>
      </c>
      <c r="F2791" s="1"/>
      <c r="G2791" s="2">
        <v>6</v>
      </c>
      <c r="H2791" s="1"/>
      <c r="I2791" t="s">
        <v>1</v>
      </c>
      <c r="J2791" t="s">
        <v>2</v>
      </c>
      <c r="K2791" t="s">
        <v>19</v>
      </c>
      <c r="L2791" t="s">
        <v>349</v>
      </c>
      <c r="M2791" s="3" t="s">
        <v>575</v>
      </c>
    </row>
    <row r="2792" spans="1:14" hidden="1" x14ac:dyDescent="0.25">
      <c r="A2792" s="1" t="str">
        <f>VLOOKUP(Table2[[#This Row],[Prod Line ]],Lists!A:E,5,0)</f>
        <v>b</v>
      </c>
      <c r="B2792" s="1">
        <v>44639</v>
      </c>
      <c r="C2792" s="1">
        <v>44637</v>
      </c>
      <c r="D2792" s="1" t="s">
        <v>58</v>
      </c>
      <c r="E2792" s="2" t="s">
        <v>405</v>
      </c>
      <c r="F2792" s="1"/>
      <c r="G2792" s="2">
        <v>10</v>
      </c>
      <c r="H2792" s="1"/>
      <c r="I2792" t="s">
        <v>1</v>
      </c>
      <c r="J2792" t="s">
        <v>26</v>
      </c>
      <c r="K2792" t="s">
        <v>25</v>
      </c>
      <c r="L2792" t="s">
        <v>407</v>
      </c>
      <c r="M2792" s="3" t="s">
        <v>1477</v>
      </c>
    </row>
    <row r="2793" spans="1:14" hidden="1" x14ac:dyDescent="0.25">
      <c r="A2793" s="1" t="str">
        <f>VLOOKUP(Table2[[#This Row],[Prod Line ]],Lists!A:E,5,0)</f>
        <v>c</v>
      </c>
      <c r="B2793" s="1">
        <v>44639</v>
      </c>
      <c r="C2793" s="1">
        <v>44637</v>
      </c>
      <c r="D2793" s="1" t="s">
        <v>60</v>
      </c>
      <c r="E2793" s="2" t="s">
        <v>405</v>
      </c>
      <c r="F2793" s="1"/>
      <c r="G2793" s="2">
        <v>14</v>
      </c>
      <c r="H2793" s="1"/>
      <c r="I2793" t="s">
        <v>1</v>
      </c>
      <c r="J2793" t="s">
        <v>2</v>
      </c>
      <c r="K2793" t="s">
        <v>378</v>
      </c>
      <c r="L2793" t="s">
        <v>349</v>
      </c>
      <c r="M2793" s="3" t="s">
        <v>575</v>
      </c>
    </row>
    <row r="2794" spans="1:14" hidden="1" x14ac:dyDescent="0.25">
      <c r="A2794" s="1" t="str">
        <f>VLOOKUP(Table2[[#This Row],[Prod Line ]],Lists!A:E,5,0)</f>
        <v>a</v>
      </c>
      <c r="B2794" s="1">
        <v>44641</v>
      </c>
      <c r="C2794" s="1">
        <v>44639</v>
      </c>
      <c r="D2794" s="1" t="s">
        <v>56</v>
      </c>
      <c r="E2794" s="2" t="s">
        <v>406</v>
      </c>
      <c r="F2794" s="1"/>
      <c r="G2794" s="2">
        <v>10</v>
      </c>
      <c r="H2794" s="1"/>
      <c r="I2794" t="s">
        <v>1</v>
      </c>
      <c r="J2794" t="s">
        <v>64</v>
      </c>
      <c r="K2794" t="s">
        <v>368</v>
      </c>
      <c r="L2794" t="s">
        <v>407</v>
      </c>
      <c r="M2794" s="3" t="s">
        <v>1654</v>
      </c>
    </row>
    <row r="2795" spans="1:14" hidden="1" x14ac:dyDescent="0.25">
      <c r="A2795" s="1" t="str">
        <f>VLOOKUP(Table2[[#This Row],[Prod Line ]],Lists!A:E,5,0)</f>
        <v>a</v>
      </c>
      <c r="B2795" s="1">
        <v>44641</v>
      </c>
      <c r="C2795" s="1">
        <v>44639</v>
      </c>
      <c r="D2795" s="1" t="s">
        <v>56</v>
      </c>
      <c r="E2795" s="2" t="s">
        <v>406</v>
      </c>
      <c r="F2795" s="1"/>
      <c r="G2795" s="2">
        <v>10</v>
      </c>
      <c r="H2795" s="1"/>
      <c r="I2795" t="s">
        <v>1</v>
      </c>
      <c r="J2795" t="s">
        <v>2</v>
      </c>
      <c r="K2795" t="s">
        <v>19</v>
      </c>
      <c r="L2795" t="s">
        <v>349</v>
      </c>
      <c r="M2795" s="3" t="s">
        <v>575</v>
      </c>
    </row>
    <row r="2796" spans="1:14" hidden="1" x14ac:dyDescent="0.25">
      <c r="A2796" s="1" t="str">
        <f>VLOOKUP(Table2[[#This Row],[Prod Line ]],Lists!A:E,5,0)</f>
        <v>a</v>
      </c>
      <c r="B2796" s="1">
        <v>44641</v>
      </c>
      <c r="C2796" s="1">
        <v>44639</v>
      </c>
      <c r="D2796" s="1" t="s">
        <v>56</v>
      </c>
      <c r="E2796" s="2" t="s">
        <v>406</v>
      </c>
      <c r="F2796" s="1"/>
      <c r="G2796" s="2">
        <v>4</v>
      </c>
      <c r="H2796" s="1"/>
      <c r="I2796" t="s">
        <v>1</v>
      </c>
      <c r="J2796" t="s">
        <v>2</v>
      </c>
      <c r="K2796" t="s">
        <v>19</v>
      </c>
      <c r="L2796" t="s">
        <v>349</v>
      </c>
      <c r="M2796" s="3" t="s">
        <v>575</v>
      </c>
    </row>
    <row r="2797" spans="1:14" x14ac:dyDescent="0.25">
      <c r="A2797" s="1" t="str">
        <f>VLOOKUP(Table2[[#This Row],[Prod Line ]],Lists!A:E,5,0)</f>
        <v>a</v>
      </c>
      <c r="B2797" s="1">
        <v>44641</v>
      </c>
      <c r="C2797" s="1">
        <v>44639</v>
      </c>
      <c r="D2797" s="1" t="s">
        <v>56</v>
      </c>
      <c r="E2797" s="2" t="s">
        <v>406</v>
      </c>
      <c r="F2797" s="1"/>
      <c r="G2797" s="2">
        <v>6</v>
      </c>
      <c r="H2797" s="1"/>
      <c r="I2797" t="s">
        <v>0</v>
      </c>
      <c r="J2797" t="s">
        <v>65</v>
      </c>
      <c r="K2797" t="s">
        <v>372</v>
      </c>
      <c r="L2797" t="s">
        <v>70</v>
      </c>
      <c r="M2797" s="3" t="s">
        <v>1080</v>
      </c>
    </row>
    <row r="2798" spans="1:14" x14ac:dyDescent="0.25">
      <c r="A2798" s="1" t="str">
        <f>VLOOKUP(Table2[[#This Row],[Prod Line ]],Lists!A:E,5,0)</f>
        <v>b</v>
      </c>
      <c r="B2798" s="1">
        <v>44641</v>
      </c>
      <c r="C2798" s="1">
        <v>44639</v>
      </c>
      <c r="D2798" s="1" t="s">
        <v>58</v>
      </c>
      <c r="E2798" s="2" t="s">
        <v>404</v>
      </c>
      <c r="F2798" s="1"/>
      <c r="G2798" s="2">
        <v>7</v>
      </c>
      <c r="H2798" s="1"/>
      <c r="I2798" t="s">
        <v>0</v>
      </c>
      <c r="J2798" t="s">
        <v>66</v>
      </c>
      <c r="K2798" t="s">
        <v>34</v>
      </c>
      <c r="L2798" t="s">
        <v>70</v>
      </c>
      <c r="M2798" s="3" t="s">
        <v>2183</v>
      </c>
    </row>
    <row r="2799" spans="1:14" hidden="1" x14ac:dyDescent="0.25">
      <c r="A2799" s="1" t="str">
        <f>VLOOKUP(Table2[[#This Row],[Prod Line ]],Lists!A:E,5,0)</f>
        <v>b</v>
      </c>
      <c r="B2799" s="1">
        <v>44641</v>
      </c>
      <c r="C2799" s="1">
        <v>44639</v>
      </c>
      <c r="D2799" s="1" t="s">
        <v>58</v>
      </c>
      <c r="E2799" s="2" t="s">
        <v>404</v>
      </c>
      <c r="F2799" s="1"/>
      <c r="G2799" s="2">
        <v>24</v>
      </c>
      <c r="H2799" s="1"/>
      <c r="I2799" t="s">
        <v>1</v>
      </c>
      <c r="J2799" t="s">
        <v>26</v>
      </c>
      <c r="K2799" t="s">
        <v>25</v>
      </c>
      <c r="L2799" t="s">
        <v>407</v>
      </c>
      <c r="M2799" s="3" t="s">
        <v>2184</v>
      </c>
    </row>
    <row r="2800" spans="1:14" x14ac:dyDescent="0.25">
      <c r="A2800" s="1" t="str">
        <f>VLOOKUP(Table2[[#This Row],[Prod Line ]],Lists!A:E,5,0)</f>
        <v>b</v>
      </c>
      <c r="B2800" s="1">
        <v>44641</v>
      </c>
      <c r="C2800" s="1">
        <v>44639</v>
      </c>
      <c r="D2800" s="1" t="s">
        <v>58</v>
      </c>
      <c r="E2800" s="2" t="s">
        <v>404</v>
      </c>
      <c r="F2800" s="1"/>
      <c r="G2800" s="2">
        <v>3</v>
      </c>
      <c r="H2800" s="1"/>
      <c r="I2800" t="s">
        <v>0</v>
      </c>
      <c r="J2800" t="s">
        <v>65</v>
      </c>
      <c r="K2800" t="s">
        <v>27</v>
      </c>
      <c r="L2800" t="s">
        <v>70</v>
      </c>
      <c r="M2800" s="3" t="s">
        <v>2185</v>
      </c>
    </row>
    <row r="2801" spans="1:14" hidden="1" x14ac:dyDescent="0.25">
      <c r="A2801" s="1" t="str">
        <f>VLOOKUP(Table2[[#This Row],[Prod Line ]],Lists!A:E,5,0)</f>
        <v>b</v>
      </c>
      <c r="B2801" s="1">
        <v>44641</v>
      </c>
      <c r="C2801" s="1">
        <v>44639</v>
      </c>
      <c r="D2801" s="1" t="s">
        <v>58</v>
      </c>
      <c r="E2801" s="2" t="s">
        <v>404</v>
      </c>
      <c r="F2801" s="1"/>
      <c r="G2801" s="2">
        <v>7</v>
      </c>
      <c r="H2801" s="1"/>
      <c r="I2801" t="s">
        <v>1</v>
      </c>
      <c r="J2801" t="s">
        <v>26</v>
      </c>
      <c r="K2801" t="s">
        <v>25</v>
      </c>
      <c r="L2801" t="s">
        <v>441</v>
      </c>
      <c r="M2801" s="3" t="s">
        <v>2186</v>
      </c>
    </row>
    <row r="2802" spans="1:14" hidden="1" x14ac:dyDescent="0.25">
      <c r="A2802" s="1" t="str">
        <f>VLOOKUP(Table2[[#This Row],[Prod Line ]],Lists!A:E,5,0)</f>
        <v>d</v>
      </c>
      <c r="B2802" s="1">
        <v>44641</v>
      </c>
      <c r="C2802" s="1">
        <v>44639</v>
      </c>
      <c r="D2802" s="1" t="s">
        <v>62</v>
      </c>
      <c r="E2802" s="2" t="s">
        <v>404</v>
      </c>
      <c r="F2802" s="1"/>
      <c r="G2802" s="2">
        <v>12</v>
      </c>
      <c r="H2802" s="1"/>
      <c r="I2802" t="s">
        <v>1</v>
      </c>
      <c r="J2802" t="s">
        <v>65</v>
      </c>
      <c r="K2802" t="s">
        <v>394</v>
      </c>
      <c r="L2802" t="s">
        <v>407</v>
      </c>
      <c r="M2802" s="3" t="s">
        <v>2187</v>
      </c>
    </row>
    <row r="2803" spans="1:14" x14ac:dyDescent="0.25">
      <c r="A2803" s="1" t="str">
        <f>VLOOKUP(Table2[[#This Row],[Prod Line ]],Lists!A:E,5,0)</f>
        <v>d</v>
      </c>
      <c r="B2803" s="1">
        <v>44641</v>
      </c>
      <c r="C2803" s="1">
        <v>44639</v>
      </c>
      <c r="D2803" s="1" t="s">
        <v>62</v>
      </c>
      <c r="E2803" s="2" t="s">
        <v>405</v>
      </c>
      <c r="F2803" s="1"/>
      <c r="G2803" s="2">
        <v>70</v>
      </c>
      <c r="H2803" s="1"/>
      <c r="I2803" t="s">
        <v>0</v>
      </c>
      <c r="J2803" t="s">
        <v>65</v>
      </c>
      <c r="K2803" t="s">
        <v>394</v>
      </c>
      <c r="L2803" t="s">
        <v>69</v>
      </c>
      <c r="M2803" s="3" t="s">
        <v>2188</v>
      </c>
      <c r="N2803" s="20" t="s">
        <v>2202</v>
      </c>
    </row>
    <row r="2804" spans="1:14" x14ac:dyDescent="0.25">
      <c r="A2804" s="1" t="str">
        <f>VLOOKUP(Table2[[#This Row],[Prod Line ]],Lists!A:E,5,0)</f>
        <v>a</v>
      </c>
      <c r="B2804" s="1">
        <v>44642</v>
      </c>
      <c r="C2804" s="1">
        <v>44639</v>
      </c>
      <c r="D2804" s="1" t="s">
        <v>56</v>
      </c>
      <c r="E2804" s="2" t="s">
        <v>406</v>
      </c>
      <c r="F2804" s="1"/>
      <c r="G2804" s="2">
        <v>15</v>
      </c>
      <c r="H2804" s="1"/>
      <c r="I2804" t="s">
        <v>0</v>
      </c>
      <c r="J2804" t="s">
        <v>65</v>
      </c>
      <c r="K2804" t="s">
        <v>372</v>
      </c>
      <c r="L2804" t="s">
        <v>70</v>
      </c>
      <c r="M2804" s="3" t="s">
        <v>1646</v>
      </c>
    </row>
    <row r="2805" spans="1:14" x14ac:dyDescent="0.25">
      <c r="A2805" s="1" t="str">
        <f>VLOOKUP(Table2[[#This Row],[Prod Line ]],Lists!A:E,5,0)</f>
        <v>a</v>
      </c>
      <c r="B2805" s="1">
        <v>44642</v>
      </c>
      <c r="C2805" s="1">
        <v>44639</v>
      </c>
      <c r="D2805" s="1" t="s">
        <v>56</v>
      </c>
      <c r="E2805" s="2" t="s">
        <v>406</v>
      </c>
      <c r="F2805" s="1"/>
      <c r="G2805" s="2">
        <v>7</v>
      </c>
      <c r="H2805" s="1"/>
      <c r="I2805" t="s">
        <v>0</v>
      </c>
      <c r="J2805" t="s">
        <v>65</v>
      </c>
      <c r="K2805" t="s">
        <v>372</v>
      </c>
      <c r="L2805" t="s">
        <v>70</v>
      </c>
      <c r="M2805" s="3" t="s">
        <v>2189</v>
      </c>
    </row>
    <row r="2806" spans="1:14" hidden="1" x14ac:dyDescent="0.25">
      <c r="A2806" s="1" t="str">
        <f>VLOOKUP(Table2[[#This Row],[Prod Line ]],Lists!A:E,5,0)</f>
        <v>a</v>
      </c>
      <c r="B2806" s="1">
        <v>44642</v>
      </c>
      <c r="C2806" s="1">
        <v>44640</v>
      </c>
      <c r="D2806" s="1" t="s">
        <v>56</v>
      </c>
      <c r="E2806" s="2" t="s">
        <v>406</v>
      </c>
      <c r="F2806" s="1"/>
      <c r="G2806" s="2">
        <v>4</v>
      </c>
      <c r="H2806" s="1"/>
      <c r="I2806" t="s">
        <v>1</v>
      </c>
      <c r="J2806" t="s">
        <v>2</v>
      </c>
      <c r="K2806" t="s">
        <v>19</v>
      </c>
      <c r="L2806" t="s">
        <v>349</v>
      </c>
      <c r="M2806" s="3" t="s">
        <v>575</v>
      </c>
    </row>
    <row r="2807" spans="1:14" x14ac:dyDescent="0.25">
      <c r="A2807" s="1" t="str">
        <f>VLOOKUP(Table2[[#This Row],[Prod Line ]],Lists!A:E,5,0)</f>
        <v>a</v>
      </c>
      <c r="B2807" s="1">
        <v>44642</v>
      </c>
      <c r="C2807" s="1">
        <v>44640</v>
      </c>
      <c r="D2807" s="1" t="s">
        <v>56</v>
      </c>
      <c r="E2807" s="2" t="s">
        <v>406</v>
      </c>
      <c r="F2807" s="1"/>
      <c r="G2807" s="2">
        <v>25</v>
      </c>
      <c r="H2807" s="1"/>
      <c r="I2807" t="s">
        <v>0</v>
      </c>
      <c r="J2807" t="s">
        <v>65</v>
      </c>
      <c r="K2807" t="s">
        <v>27</v>
      </c>
      <c r="L2807" t="s">
        <v>69</v>
      </c>
      <c r="M2807" s="3" t="s">
        <v>2190</v>
      </c>
    </row>
    <row r="2808" spans="1:14" x14ac:dyDescent="0.25">
      <c r="A2808" s="1" t="str">
        <f>VLOOKUP(Table2[[#This Row],[Prod Line ]],Lists!A:E,5,0)</f>
        <v>a</v>
      </c>
      <c r="B2808" s="1">
        <v>44642</v>
      </c>
      <c r="C2808" s="1">
        <v>44640</v>
      </c>
      <c r="D2808" s="1" t="s">
        <v>56</v>
      </c>
      <c r="E2808" s="2" t="s">
        <v>404</v>
      </c>
      <c r="F2808" s="1"/>
      <c r="G2808" s="2">
        <v>39</v>
      </c>
      <c r="H2808" s="1"/>
      <c r="I2808" t="s">
        <v>0</v>
      </c>
      <c r="J2808" t="s">
        <v>65</v>
      </c>
      <c r="K2808" t="s">
        <v>27</v>
      </c>
      <c r="L2808" t="s">
        <v>70</v>
      </c>
      <c r="M2808" s="3" t="s">
        <v>1354</v>
      </c>
      <c r="N2808" s="20" t="s">
        <v>2209</v>
      </c>
    </row>
    <row r="2809" spans="1:14" hidden="1" x14ac:dyDescent="0.25">
      <c r="A2809" s="1" t="str">
        <f>VLOOKUP(Table2[[#This Row],[Prod Line ]],Lists!A:E,5,0)</f>
        <v>a</v>
      </c>
      <c r="B2809" s="1">
        <v>44642</v>
      </c>
      <c r="C2809" s="1">
        <v>44640</v>
      </c>
      <c r="D2809" s="1" t="s">
        <v>56</v>
      </c>
      <c r="E2809" s="2" t="s">
        <v>404</v>
      </c>
      <c r="F2809" s="1"/>
      <c r="G2809" s="2">
        <v>10</v>
      </c>
      <c r="H2809" s="1"/>
      <c r="I2809" t="s">
        <v>1</v>
      </c>
      <c r="J2809" t="s">
        <v>64</v>
      </c>
      <c r="K2809" t="s">
        <v>371</v>
      </c>
      <c r="L2809" t="s">
        <v>350</v>
      </c>
      <c r="M2809" s="3" t="s">
        <v>884</v>
      </c>
    </row>
    <row r="2810" spans="1:14" hidden="1" x14ac:dyDescent="0.25">
      <c r="A2810" s="1" t="str">
        <f>VLOOKUP(Table2[[#This Row],[Prod Line ]],Lists!A:E,5,0)</f>
        <v>a</v>
      </c>
      <c r="B2810" s="1">
        <v>44642</v>
      </c>
      <c r="C2810" s="1">
        <v>44640</v>
      </c>
      <c r="D2810" s="1" t="s">
        <v>56</v>
      </c>
      <c r="E2810" s="2" t="s">
        <v>404</v>
      </c>
      <c r="F2810" s="1"/>
      <c r="G2810" s="2">
        <v>20</v>
      </c>
      <c r="H2810" s="1"/>
      <c r="I2810" t="s">
        <v>1</v>
      </c>
      <c r="J2810" t="s">
        <v>64</v>
      </c>
      <c r="K2810" t="s">
        <v>367</v>
      </c>
      <c r="L2810" t="s">
        <v>407</v>
      </c>
      <c r="M2810" s="3" t="s">
        <v>2191</v>
      </c>
    </row>
    <row r="2811" spans="1:14" x14ac:dyDescent="0.25">
      <c r="A2811" s="1" t="str">
        <f>VLOOKUP(Table2[[#This Row],[Prod Line ]],Lists!A:E,5,0)</f>
        <v>a</v>
      </c>
      <c r="B2811" s="1">
        <v>44642</v>
      </c>
      <c r="C2811" s="1">
        <v>44640</v>
      </c>
      <c r="D2811" s="1" t="s">
        <v>56</v>
      </c>
      <c r="E2811" s="2" t="s">
        <v>404</v>
      </c>
      <c r="F2811" s="1"/>
      <c r="G2811" s="2">
        <v>28</v>
      </c>
      <c r="H2811" s="1"/>
      <c r="I2811" t="s">
        <v>0</v>
      </c>
      <c r="J2811" t="s">
        <v>65</v>
      </c>
      <c r="K2811" t="s">
        <v>372</v>
      </c>
      <c r="L2811" t="s">
        <v>70</v>
      </c>
      <c r="M2811" s="3" t="s">
        <v>1080</v>
      </c>
    </row>
    <row r="2812" spans="1:14" hidden="1" x14ac:dyDescent="0.25">
      <c r="A2812" s="1" t="str">
        <f>VLOOKUP(Table2[[#This Row],[Prod Line ]],Lists!A:E,5,0)</f>
        <v>a</v>
      </c>
      <c r="B2812" s="1">
        <v>44642</v>
      </c>
      <c r="C2812" s="1">
        <v>44640</v>
      </c>
      <c r="D2812" s="1" t="s">
        <v>56</v>
      </c>
      <c r="E2812" s="2" t="s">
        <v>406</v>
      </c>
      <c r="F2812" s="1"/>
      <c r="G2812" s="2">
        <v>30</v>
      </c>
      <c r="H2812" s="1"/>
      <c r="I2812" t="s">
        <v>1</v>
      </c>
      <c r="J2812" t="s">
        <v>64</v>
      </c>
      <c r="K2812" t="s">
        <v>370</v>
      </c>
      <c r="L2812" t="s">
        <v>407</v>
      </c>
      <c r="M2812" s="3" t="s">
        <v>2192</v>
      </c>
    </row>
    <row r="2813" spans="1:14" hidden="1" x14ac:dyDescent="0.25">
      <c r="A2813" s="1" t="str">
        <f>VLOOKUP(Table2[[#This Row],[Prod Line ]],Lists!A:E,5,0)</f>
        <v>a</v>
      </c>
      <c r="B2813" s="1">
        <v>44642</v>
      </c>
      <c r="C2813" s="1">
        <v>44640</v>
      </c>
      <c r="D2813" s="1" t="s">
        <v>56</v>
      </c>
      <c r="E2813" s="2" t="s">
        <v>406</v>
      </c>
      <c r="F2813" s="1"/>
      <c r="G2813" s="2">
        <v>37</v>
      </c>
      <c r="H2813" s="1"/>
      <c r="I2813" t="s">
        <v>1</v>
      </c>
      <c r="J2813" t="s">
        <v>64</v>
      </c>
      <c r="K2813" t="s">
        <v>370</v>
      </c>
      <c r="L2813" t="s">
        <v>407</v>
      </c>
      <c r="M2813" s="3" t="s">
        <v>2193</v>
      </c>
    </row>
    <row r="2814" spans="1:14" hidden="1" x14ac:dyDescent="0.25">
      <c r="A2814" s="1" t="str">
        <f>VLOOKUP(Table2[[#This Row],[Prod Line ]],Lists!A:E,5,0)</f>
        <v>b</v>
      </c>
      <c r="B2814" s="1">
        <v>44642</v>
      </c>
      <c r="C2814" s="1">
        <v>44640</v>
      </c>
      <c r="D2814" s="1" t="s">
        <v>58</v>
      </c>
      <c r="E2814" s="2" t="s">
        <v>406</v>
      </c>
      <c r="F2814" s="1"/>
      <c r="G2814" s="2">
        <v>14</v>
      </c>
      <c r="H2814" s="1"/>
      <c r="I2814" t="s">
        <v>1</v>
      </c>
      <c r="J2814" t="s">
        <v>65</v>
      </c>
      <c r="K2814" t="s">
        <v>27</v>
      </c>
      <c r="L2814" t="s">
        <v>407</v>
      </c>
      <c r="M2814" s="3" t="s">
        <v>2194</v>
      </c>
    </row>
    <row r="2815" spans="1:14" x14ac:dyDescent="0.25">
      <c r="A2815" s="1" t="str">
        <f>VLOOKUP(Table2[[#This Row],[Prod Line ]],Lists!A:E,5,0)</f>
        <v>d</v>
      </c>
      <c r="B2815" s="1">
        <v>44644</v>
      </c>
      <c r="C2815" s="1">
        <v>44642</v>
      </c>
      <c r="D2815" s="1" t="s">
        <v>62</v>
      </c>
      <c r="E2815" s="2" t="s">
        <v>406</v>
      </c>
      <c r="F2815" s="1"/>
      <c r="G2815" s="2">
        <v>15</v>
      </c>
      <c r="H2815" s="1"/>
      <c r="I2815" t="s">
        <v>0</v>
      </c>
      <c r="J2815" t="s">
        <v>5</v>
      </c>
      <c r="K2815" t="s">
        <v>397</v>
      </c>
      <c r="L2815" t="s">
        <v>70</v>
      </c>
      <c r="M2815" s="3" t="s">
        <v>1217</v>
      </c>
    </row>
    <row r="2816" spans="1:14" hidden="1" x14ac:dyDescent="0.25">
      <c r="A2816" s="1" t="str">
        <f>VLOOKUP(Table2[[#This Row],[Prod Line ]],Lists!A:E,5,0)</f>
        <v>d</v>
      </c>
      <c r="B2816" s="1">
        <v>44644</v>
      </c>
      <c r="C2816" s="1">
        <v>44642</v>
      </c>
      <c r="D2816" s="1" t="s">
        <v>62</v>
      </c>
      <c r="E2816" s="2" t="s">
        <v>406</v>
      </c>
      <c r="F2816" s="1"/>
      <c r="G2816" s="2">
        <v>3</v>
      </c>
      <c r="H2816" s="1"/>
      <c r="I2816" t="s">
        <v>1</v>
      </c>
      <c r="J2816" t="s">
        <v>64</v>
      </c>
      <c r="K2816" t="s">
        <v>379</v>
      </c>
      <c r="L2816" t="s">
        <v>407</v>
      </c>
      <c r="M2816" s="3" t="s">
        <v>573</v>
      </c>
    </row>
    <row r="2817" spans="1:13" x14ac:dyDescent="0.25">
      <c r="A2817" s="1" t="str">
        <f>VLOOKUP(Table2[[#This Row],[Prod Line ]],Lists!A:E,5,0)</f>
        <v>b</v>
      </c>
      <c r="B2817" s="1">
        <v>44644</v>
      </c>
      <c r="C2817" s="1">
        <v>44642</v>
      </c>
      <c r="D2817" s="1" t="s">
        <v>58</v>
      </c>
      <c r="E2817" s="2" t="s">
        <v>406</v>
      </c>
      <c r="F2817" s="1"/>
      <c r="G2817" s="2">
        <v>8</v>
      </c>
      <c r="H2817" s="1"/>
      <c r="I2817" t="s">
        <v>0</v>
      </c>
      <c r="J2817" t="s">
        <v>64</v>
      </c>
      <c r="K2817" t="s">
        <v>20</v>
      </c>
      <c r="L2817" t="s">
        <v>69</v>
      </c>
      <c r="M2817" s="3" t="s">
        <v>2195</v>
      </c>
    </row>
    <row r="2818" spans="1:13" hidden="1" x14ac:dyDescent="0.25">
      <c r="A2818" s="1" t="str">
        <f>VLOOKUP(Table2[[#This Row],[Prod Line ]],Lists!A:E,5,0)</f>
        <v>a</v>
      </c>
      <c r="B2818" s="1">
        <v>44644</v>
      </c>
      <c r="C2818" s="1">
        <v>44642</v>
      </c>
      <c r="D2818" s="1" t="s">
        <v>56</v>
      </c>
      <c r="E2818" s="2" t="s">
        <v>406</v>
      </c>
      <c r="F2818" s="1"/>
      <c r="G2818" s="2">
        <v>5</v>
      </c>
      <c r="H2818" s="1"/>
      <c r="I2818" t="s">
        <v>1</v>
      </c>
      <c r="J2818" t="s">
        <v>2</v>
      </c>
      <c r="K2818" t="s">
        <v>19</v>
      </c>
      <c r="L2818" t="s">
        <v>349</v>
      </c>
      <c r="M2818" s="3" t="s">
        <v>1877</v>
      </c>
    </row>
    <row r="2819" spans="1:13" hidden="1" x14ac:dyDescent="0.25">
      <c r="A2819" s="1" t="str">
        <f>VLOOKUP(Table2[[#This Row],[Prod Line ]],Lists!A:E,5,0)</f>
        <v>a</v>
      </c>
      <c r="B2819" s="1">
        <v>44644</v>
      </c>
      <c r="C2819" s="1">
        <v>44642</v>
      </c>
      <c r="D2819" s="1" t="s">
        <v>56</v>
      </c>
      <c r="E2819" s="2" t="s">
        <v>406</v>
      </c>
      <c r="F2819" s="1"/>
      <c r="G2819" s="2">
        <v>11</v>
      </c>
      <c r="H2819" s="1"/>
      <c r="I2819" t="s">
        <v>1</v>
      </c>
      <c r="J2819" t="s">
        <v>64</v>
      </c>
      <c r="K2819" t="s">
        <v>370</v>
      </c>
      <c r="L2819" t="s">
        <v>407</v>
      </c>
      <c r="M2819" s="3" t="s">
        <v>1220</v>
      </c>
    </row>
    <row r="2820" spans="1:13" hidden="1" x14ac:dyDescent="0.25">
      <c r="A2820" s="1" t="str">
        <f>VLOOKUP(Table2[[#This Row],[Prod Line ]],Lists!A:E,5,0)</f>
        <v>c</v>
      </c>
      <c r="B2820" s="1">
        <v>44644</v>
      </c>
      <c r="C2820" s="1">
        <v>44642</v>
      </c>
      <c r="D2820" s="1" t="s">
        <v>60</v>
      </c>
      <c r="E2820" s="2" t="s">
        <v>404</v>
      </c>
      <c r="F2820" s="1"/>
      <c r="G2820" s="2">
        <v>6</v>
      </c>
      <c r="H2820" s="1"/>
      <c r="I2820" t="s">
        <v>1</v>
      </c>
      <c r="J2820" t="s">
        <v>64</v>
      </c>
      <c r="K2820" t="s">
        <v>379</v>
      </c>
      <c r="L2820" t="s">
        <v>407</v>
      </c>
      <c r="M2820" s="3" t="s">
        <v>2196</v>
      </c>
    </row>
    <row r="2821" spans="1:13" hidden="1" x14ac:dyDescent="0.25">
      <c r="A2821" s="1" t="str">
        <f>VLOOKUP(Table2[[#This Row],[Prod Line ]],Lists!A:E,5,0)</f>
        <v>d</v>
      </c>
      <c r="B2821" s="1">
        <v>44644</v>
      </c>
      <c r="C2821" s="1">
        <v>44642</v>
      </c>
      <c r="D2821" s="1" t="s">
        <v>62</v>
      </c>
      <c r="E2821" s="2" t="s">
        <v>406</v>
      </c>
      <c r="F2821" s="1"/>
      <c r="G2821" s="2">
        <v>88</v>
      </c>
      <c r="H2821" s="1"/>
      <c r="I2821" t="s">
        <v>1</v>
      </c>
      <c r="J2821" t="s">
        <v>2</v>
      </c>
      <c r="K2821" t="s">
        <v>19</v>
      </c>
      <c r="L2821" t="s">
        <v>407</v>
      </c>
      <c r="M2821" s="3" t="s">
        <v>2203</v>
      </c>
    </row>
    <row r="2822" spans="1:13" hidden="1" x14ac:dyDescent="0.25">
      <c r="A2822" s="1" t="str">
        <f>VLOOKUP(Table2[[#This Row],[Prod Line ]],Lists!A:E,5,0)</f>
        <v>d</v>
      </c>
      <c r="B2822" s="1">
        <v>44644</v>
      </c>
      <c r="C2822" s="1">
        <v>44642</v>
      </c>
      <c r="D2822" s="1" t="s">
        <v>62</v>
      </c>
      <c r="E2822" s="2" t="s">
        <v>404</v>
      </c>
      <c r="F2822" s="1"/>
      <c r="G2822" s="2">
        <v>25</v>
      </c>
      <c r="H2822" s="1"/>
      <c r="I2822" t="s">
        <v>1</v>
      </c>
      <c r="J2822" t="s">
        <v>5</v>
      </c>
      <c r="K2822" t="s">
        <v>396</v>
      </c>
      <c r="L2822" t="s">
        <v>407</v>
      </c>
      <c r="M2822" s="3" t="s">
        <v>2204</v>
      </c>
    </row>
    <row r="2823" spans="1:13" hidden="1" x14ac:dyDescent="0.25">
      <c r="A2823" s="1" t="str">
        <f>VLOOKUP(Table2[[#This Row],[Prod Line ]],Lists!A:E,5,0)</f>
        <v>d</v>
      </c>
      <c r="B2823" s="1">
        <v>44644</v>
      </c>
      <c r="C2823" s="1">
        <v>44642</v>
      </c>
      <c r="D2823" s="1" t="s">
        <v>62</v>
      </c>
      <c r="E2823" s="2" t="s">
        <v>405</v>
      </c>
      <c r="F2823" s="1"/>
      <c r="G2823" s="2">
        <v>3</v>
      </c>
      <c r="H2823" s="1"/>
      <c r="I2823" t="s">
        <v>1</v>
      </c>
      <c r="J2823" t="s">
        <v>2</v>
      </c>
      <c r="K2823" t="s">
        <v>19</v>
      </c>
      <c r="L2823" t="s">
        <v>407</v>
      </c>
      <c r="M2823" s="3" t="s">
        <v>1928</v>
      </c>
    </row>
    <row r="2824" spans="1:13" hidden="1" x14ac:dyDescent="0.25">
      <c r="A2824" s="1" t="str">
        <f>VLOOKUP(Table2[[#This Row],[Prod Line ]],Lists!A:E,5,0)</f>
        <v>d</v>
      </c>
      <c r="B2824" s="1">
        <v>44644</v>
      </c>
      <c r="C2824" s="1">
        <v>44642</v>
      </c>
      <c r="D2824" s="1" t="s">
        <v>62</v>
      </c>
      <c r="E2824" s="2" t="s">
        <v>406</v>
      </c>
      <c r="F2824" s="1"/>
      <c r="G2824" s="2">
        <v>10</v>
      </c>
      <c r="H2824" s="1"/>
      <c r="I2824" t="s">
        <v>1</v>
      </c>
      <c r="J2824" t="s">
        <v>2</v>
      </c>
      <c r="K2824" t="s">
        <v>19</v>
      </c>
      <c r="L2824" t="s">
        <v>349</v>
      </c>
      <c r="M2824" s="3" t="s">
        <v>575</v>
      </c>
    </row>
    <row r="2825" spans="1:13" x14ac:dyDescent="0.25">
      <c r="A2825" s="1" t="str">
        <f>VLOOKUP(Table2[[#This Row],[Prod Line ]],Lists!A:E,5,0)</f>
        <v>a</v>
      </c>
      <c r="B2825" s="1">
        <v>44644</v>
      </c>
      <c r="C2825" s="1">
        <v>44642</v>
      </c>
      <c r="D2825" s="1" t="s">
        <v>56</v>
      </c>
      <c r="E2825" s="2" t="s">
        <v>406</v>
      </c>
      <c r="F2825" s="1"/>
      <c r="G2825" s="2">
        <v>6</v>
      </c>
      <c r="H2825" s="1"/>
      <c r="I2825" t="s">
        <v>0</v>
      </c>
      <c r="J2825" t="s">
        <v>26</v>
      </c>
      <c r="K2825" t="s">
        <v>26</v>
      </c>
      <c r="L2825" t="s">
        <v>70</v>
      </c>
      <c r="M2825" s="3" t="s">
        <v>1436</v>
      </c>
    </row>
    <row r="2826" spans="1:13" hidden="1" x14ac:dyDescent="0.25">
      <c r="A2826" s="1" t="str">
        <f>VLOOKUP(Table2[[#This Row],[Prod Line ]],Lists!A:E,5,0)</f>
        <v>b</v>
      </c>
      <c r="B2826" s="1">
        <v>44644</v>
      </c>
      <c r="C2826" s="1">
        <v>44642</v>
      </c>
      <c r="D2826" s="1" t="s">
        <v>58</v>
      </c>
      <c r="E2826" s="2" t="s">
        <v>405</v>
      </c>
      <c r="F2826" s="1"/>
      <c r="G2826" s="2">
        <v>23</v>
      </c>
      <c r="H2826" s="1"/>
      <c r="I2826" t="s">
        <v>1</v>
      </c>
      <c r="J2826" t="s">
        <v>65</v>
      </c>
      <c r="K2826" t="s">
        <v>3</v>
      </c>
      <c r="L2826" t="s">
        <v>441</v>
      </c>
      <c r="M2826" s="3" t="s">
        <v>1920</v>
      </c>
    </row>
    <row r="2827" spans="1:13" hidden="1" x14ac:dyDescent="0.25">
      <c r="A2827" s="1" t="str">
        <f>VLOOKUP(Table2[[#This Row],[Prod Line ]],Lists!A:E,5,0)</f>
        <v>b</v>
      </c>
      <c r="B2827" s="1">
        <v>44644</v>
      </c>
      <c r="C2827" s="1">
        <v>44642</v>
      </c>
      <c r="D2827" s="1" t="s">
        <v>58</v>
      </c>
      <c r="E2827" s="2" t="s">
        <v>406</v>
      </c>
      <c r="F2827" s="1"/>
      <c r="G2827" s="2">
        <v>9</v>
      </c>
      <c r="H2827" s="1"/>
      <c r="I2827" t="s">
        <v>1</v>
      </c>
      <c r="J2827" t="s">
        <v>65</v>
      </c>
      <c r="K2827" t="s">
        <v>3</v>
      </c>
      <c r="L2827" t="s">
        <v>441</v>
      </c>
      <c r="M2827" s="3" t="s">
        <v>1920</v>
      </c>
    </row>
    <row r="2828" spans="1:13" hidden="1" x14ac:dyDescent="0.25">
      <c r="A2828" s="1" t="str">
        <f>VLOOKUP(Table2[[#This Row],[Prod Line ]],Lists!A:E,5,0)</f>
        <v>b</v>
      </c>
      <c r="B2828" s="1">
        <v>44645</v>
      </c>
      <c r="C2828" s="1">
        <v>44643</v>
      </c>
      <c r="D2828" s="1" t="s">
        <v>58</v>
      </c>
      <c r="E2828" s="2" t="s">
        <v>404</v>
      </c>
      <c r="F2828" s="1"/>
      <c r="G2828" s="2">
        <v>10</v>
      </c>
      <c r="H2828" s="1"/>
      <c r="I2828" t="s">
        <v>1</v>
      </c>
      <c r="J2828" t="s">
        <v>2</v>
      </c>
      <c r="K2828" t="s">
        <v>15</v>
      </c>
      <c r="L2828" t="s">
        <v>407</v>
      </c>
      <c r="M2828" s="3" t="s">
        <v>2203</v>
      </c>
    </row>
    <row r="2829" spans="1:13" hidden="1" x14ac:dyDescent="0.25">
      <c r="A2829" s="1" t="str">
        <f>VLOOKUP(Table2[[#This Row],[Prod Line ]],Lists!A:E,5,0)</f>
        <v>b</v>
      </c>
      <c r="B2829" s="1">
        <v>44645</v>
      </c>
      <c r="C2829" s="1">
        <v>44643</v>
      </c>
      <c r="D2829" s="1" t="s">
        <v>58</v>
      </c>
      <c r="E2829" s="2" t="s">
        <v>404</v>
      </c>
      <c r="F2829" s="1"/>
      <c r="G2829" s="2">
        <v>20</v>
      </c>
      <c r="H2829" s="1"/>
      <c r="I2829" t="s">
        <v>1</v>
      </c>
      <c r="J2829" t="s">
        <v>65</v>
      </c>
      <c r="K2829" t="s">
        <v>3</v>
      </c>
      <c r="L2829" t="s">
        <v>441</v>
      </c>
      <c r="M2829" s="3" t="s">
        <v>1920</v>
      </c>
    </row>
    <row r="2830" spans="1:13" hidden="1" x14ac:dyDescent="0.25">
      <c r="A2830" s="1" t="str">
        <f>VLOOKUP(Table2[[#This Row],[Prod Line ]],Lists!A:E,5,0)</f>
        <v>b</v>
      </c>
      <c r="B2830" s="1">
        <v>44645</v>
      </c>
      <c r="C2830" s="1">
        <v>44643</v>
      </c>
      <c r="D2830" s="1" t="s">
        <v>58</v>
      </c>
      <c r="E2830" s="2" t="s">
        <v>404</v>
      </c>
      <c r="F2830" s="1"/>
      <c r="G2830" s="2">
        <v>7</v>
      </c>
      <c r="H2830" s="1"/>
      <c r="I2830" t="s">
        <v>1</v>
      </c>
      <c r="J2830" t="s">
        <v>64</v>
      </c>
      <c r="K2830" t="s">
        <v>22</v>
      </c>
      <c r="L2830" t="s">
        <v>407</v>
      </c>
      <c r="M2830" s="3" t="s">
        <v>939</v>
      </c>
    </row>
    <row r="2831" spans="1:13" x14ac:dyDescent="0.25">
      <c r="A2831" s="1" t="str">
        <f>VLOOKUP(Table2[[#This Row],[Prod Line ]],Lists!A:E,5,0)</f>
        <v>a</v>
      </c>
      <c r="B2831" s="1">
        <v>44645</v>
      </c>
      <c r="C2831" s="1">
        <v>44643</v>
      </c>
      <c r="D2831" s="1" t="s">
        <v>56</v>
      </c>
      <c r="E2831" s="2" t="s">
        <v>406</v>
      </c>
      <c r="F2831" s="1"/>
      <c r="G2831" s="2">
        <v>25</v>
      </c>
      <c r="H2831" s="1"/>
      <c r="I2831" t="s">
        <v>0</v>
      </c>
      <c r="J2831" t="s">
        <v>2</v>
      </c>
      <c r="K2831" t="s">
        <v>14</v>
      </c>
      <c r="L2831" t="s">
        <v>70</v>
      </c>
      <c r="M2831" s="3" t="s">
        <v>2205</v>
      </c>
    </row>
    <row r="2832" spans="1:13" hidden="1" x14ac:dyDescent="0.25">
      <c r="A2832" s="1" t="str">
        <f>VLOOKUP(Table2[[#This Row],[Prod Line ]],Lists!A:E,5,0)</f>
        <v>d</v>
      </c>
      <c r="B2832" s="1">
        <v>44645</v>
      </c>
      <c r="C2832" s="1">
        <v>44643</v>
      </c>
      <c r="D2832" s="1" t="s">
        <v>62</v>
      </c>
      <c r="E2832" s="2" t="s">
        <v>406</v>
      </c>
      <c r="F2832" s="1"/>
      <c r="G2832" s="2">
        <v>88</v>
      </c>
      <c r="H2832" s="1"/>
      <c r="I2832" t="s">
        <v>1</v>
      </c>
      <c r="J2832" t="s">
        <v>2</v>
      </c>
      <c r="K2832" t="s">
        <v>19</v>
      </c>
      <c r="L2832" t="s">
        <v>407</v>
      </c>
      <c r="M2832" s="3" t="s">
        <v>437</v>
      </c>
    </row>
    <row r="2833" spans="1:13" hidden="1" x14ac:dyDescent="0.25">
      <c r="A2833" s="1" t="str">
        <f>VLOOKUP(Table2[[#This Row],[Prod Line ]],Lists!A:E,5,0)</f>
        <v>d</v>
      </c>
      <c r="B2833" s="1">
        <v>44645</v>
      </c>
      <c r="C2833" s="1">
        <v>44643</v>
      </c>
      <c r="D2833" s="1" t="s">
        <v>62</v>
      </c>
      <c r="E2833" s="2" t="s">
        <v>404</v>
      </c>
      <c r="F2833" s="1"/>
      <c r="G2833" s="2">
        <v>25</v>
      </c>
      <c r="H2833" s="1"/>
      <c r="I2833" t="s">
        <v>1</v>
      </c>
      <c r="J2833" t="s">
        <v>2</v>
      </c>
      <c r="K2833" t="s">
        <v>19</v>
      </c>
      <c r="L2833" t="s">
        <v>407</v>
      </c>
      <c r="M2833" s="3" t="s">
        <v>2206</v>
      </c>
    </row>
    <row r="2834" spans="1:13" hidden="1" x14ac:dyDescent="0.25">
      <c r="A2834" s="1" t="str">
        <f>VLOOKUP(Table2[[#This Row],[Prod Line ]],Lists!A:E,5,0)</f>
        <v>d</v>
      </c>
      <c r="B2834" s="1">
        <v>44645</v>
      </c>
      <c r="C2834" s="1">
        <v>44643</v>
      </c>
      <c r="D2834" s="1" t="s">
        <v>62</v>
      </c>
      <c r="E2834" s="2" t="s">
        <v>405</v>
      </c>
      <c r="F2834" s="1"/>
      <c r="G2834" s="2">
        <v>3</v>
      </c>
      <c r="H2834" s="1"/>
      <c r="I2834" t="s">
        <v>1</v>
      </c>
      <c r="J2834" t="s">
        <v>2</v>
      </c>
      <c r="K2834" t="s">
        <v>15</v>
      </c>
      <c r="L2834" t="s">
        <v>407</v>
      </c>
      <c r="M2834" s="3" t="s">
        <v>1928</v>
      </c>
    </row>
    <row r="2835" spans="1:13" hidden="1" x14ac:dyDescent="0.25">
      <c r="A2835" s="1" t="str">
        <f>VLOOKUP(Table2[[#This Row],[Prod Line ]],Lists!A:E,5,0)</f>
        <v>d</v>
      </c>
      <c r="B2835" s="1">
        <v>44645</v>
      </c>
      <c r="C2835" s="1">
        <v>44643</v>
      </c>
      <c r="D2835" s="1" t="s">
        <v>62</v>
      </c>
      <c r="E2835" s="2" t="s">
        <v>406</v>
      </c>
      <c r="F2835" s="1"/>
      <c r="G2835" s="2">
        <v>10</v>
      </c>
      <c r="H2835" s="1"/>
      <c r="I2835" t="s">
        <v>1</v>
      </c>
      <c r="J2835" t="s">
        <v>2</v>
      </c>
      <c r="K2835" t="s">
        <v>19</v>
      </c>
      <c r="L2835" t="s">
        <v>349</v>
      </c>
      <c r="M2835" s="3" t="s">
        <v>575</v>
      </c>
    </row>
    <row r="2836" spans="1:13" x14ac:dyDescent="0.25">
      <c r="A2836" s="1" t="str">
        <f>VLOOKUP(Table2[[#This Row],[Prod Line ]],Lists!A:E,5,0)</f>
        <v>b</v>
      </c>
      <c r="B2836" s="1">
        <v>44646</v>
      </c>
      <c r="C2836" s="1">
        <v>44644</v>
      </c>
      <c r="D2836" s="1" t="s">
        <v>58</v>
      </c>
      <c r="E2836" s="2" t="s">
        <v>405</v>
      </c>
      <c r="F2836" s="1"/>
      <c r="G2836" s="2">
        <v>3</v>
      </c>
      <c r="H2836" s="1"/>
      <c r="I2836" t="s">
        <v>0</v>
      </c>
      <c r="J2836" t="s">
        <v>64</v>
      </c>
      <c r="K2836" t="s">
        <v>23</v>
      </c>
      <c r="L2836" t="s">
        <v>70</v>
      </c>
      <c r="M2836" s="3" t="s">
        <v>2207</v>
      </c>
    </row>
    <row r="2837" spans="1:13" hidden="1" x14ac:dyDescent="0.25">
      <c r="A2837" s="1" t="str">
        <f>VLOOKUP(Table2[[#This Row],[Prod Line ]],Lists!A:E,5,0)</f>
        <v>b</v>
      </c>
      <c r="B2837" s="1">
        <v>44646</v>
      </c>
      <c r="C2837" s="1">
        <v>44644</v>
      </c>
      <c r="D2837" s="1" t="s">
        <v>58</v>
      </c>
      <c r="E2837" s="2" t="s">
        <v>406</v>
      </c>
      <c r="F2837" s="1"/>
      <c r="G2837" s="2">
        <v>83</v>
      </c>
      <c r="H2837" s="1"/>
      <c r="I2837" t="s">
        <v>1</v>
      </c>
      <c r="J2837" t="s">
        <v>2</v>
      </c>
      <c r="K2837" t="s">
        <v>19</v>
      </c>
      <c r="L2837" t="s">
        <v>72</v>
      </c>
      <c r="M2837" s="3" t="s">
        <v>2208</v>
      </c>
    </row>
    <row r="2838" spans="1:13" x14ac:dyDescent="0.25">
      <c r="A2838" s="1" t="str">
        <f>VLOOKUP(Table2[[#This Row],[Prod Line ]],Lists!A:E,5,0)</f>
        <v>a</v>
      </c>
      <c r="B2838" s="1">
        <v>44648</v>
      </c>
      <c r="C2838" s="1">
        <v>44646</v>
      </c>
      <c r="D2838" s="1" t="s">
        <v>56</v>
      </c>
      <c r="E2838" s="2" t="s">
        <v>405</v>
      </c>
      <c r="F2838" s="1"/>
      <c r="G2838" s="2">
        <v>12</v>
      </c>
      <c r="H2838" s="1"/>
      <c r="I2838" t="s">
        <v>0</v>
      </c>
      <c r="J2838" t="s">
        <v>5</v>
      </c>
      <c r="K2838" t="s">
        <v>375</v>
      </c>
      <c r="L2838" t="s">
        <v>70</v>
      </c>
      <c r="M2838" s="3" t="s">
        <v>2210</v>
      </c>
    </row>
    <row r="2839" spans="1:13" x14ac:dyDescent="0.25">
      <c r="A2839" s="1" t="str">
        <f>VLOOKUP(Table2[[#This Row],[Prod Line ]],Lists!A:E,5,0)</f>
        <v>a</v>
      </c>
      <c r="B2839" s="1">
        <v>44648</v>
      </c>
      <c r="C2839" s="1">
        <v>44646</v>
      </c>
      <c r="D2839" s="1" t="s">
        <v>56</v>
      </c>
      <c r="E2839" s="2" t="s">
        <v>405</v>
      </c>
      <c r="F2839" s="1"/>
      <c r="G2839" s="2">
        <v>8</v>
      </c>
      <c r="H2839" s="1"/>
      <c r="I2839" t="s">
        <v>0</v>
      </c>
      <c r="J2839" t="s">
        <v>64</v>
      </c>
      <c r="K2839" t="s">
        <v>370</v>
      </c>
      <c r="L2839" t="s">
        <v>70</v>
      </c>
      <c r="M2839" s="3" t="s">
        <v>2211</v>
      </c>
    </row>
    <row r="2840" spans="1:13" x14ac:dyDescent="0.25">
      <c r="A2840" s="1" t="str">
        <f>VLOOKUP(Table2[[#This Row],[Prod Line ]],Lists!A:E,5,0)</f>
        <v>b</v>
      </c>
      <c r="B2840" s="1">
        <v>44648</v>
      </c>
      <c r="C2840" s="1">
        <v>44646</v>
      </c>
      <c r="D2840" s="1" t="s">
        <v>58</v>
      </c>
      <c r="E2840" s="2" t="s">
        <v>404</v>
      </c>
      <c r="F2840" s="1"/>
      <c r="G2840" s="2">
        <v>13</v>
      </c>
      <c r="H2840" s="1"/>
      <c r="I2840" t="s">
        <v>0</v>
      </c>
      <c r="J2840" t="s">
        <v>65</v>
      </c>
      <c r="K2840" t="s">
        <v>27</v>
      </c>
      <c r="L2840" t="s">
        <v>70</v>
      </c>
      <c r="M2840" s="3" t="s">
        <v>1854</v>
      </c>
    </row>
    <row r="2841" spans="1:13" hidden="1" x14ac:dyDescent="0.25">
      <c r="A2841" s="1" t="str">
        <f>VLOOKUP(Table2[[#This Row],[Prod Line ]],Lists!A:E,5,0)</f>
        <v>b</v>
      </c>
      <c r="B2841" s="1">
        <v>44648</v>
      </c>
      <c r="C2841" s="1">
        <v>44646</v>
      </c>
      <c r="D2841" s="1" t="s">
        <v>58</v>
      </c>
      <c r="E2841" s="2" t="s">
        <v>404</v>
      </c>
      <c r="F2841" s="1"/>
      <c r="G2841" s="2">
        <v>4</v>
      </c>
      <c r="H2841" s="1"/>
      <c r="I2841" t="s">
        <v>1</v>
      </c>
      <c r="J2841" t="s">
        <v>64</v>
      </c>
      <c r="K2841" t="s">
        <v>21</v>
      </c>
      <c r="L2841" t="s">
        <v>441</v>
      </c>
      <c r="M2841" s="3" t="s">
        <v>514</v>
      </c>
    </row>
    <row r="2842" spans="1:13" x14ac:dyDescent="0.25">
      <c r="A2842" s="1" t="str">
        <f>VLOOKUP(Table2[[#This Row],[Prod Line ]],Lists!A:E,5,0)</f>
        <v>b</v>
      </c>
      <c r="B2842" s="1">
        <v>44648</v>
      </c>
      <c r="C2842" s="1">
        <v>44646</v>
      </c>
      <c r="D2842" s="1" t="s">
        <v>58</v>
      </c>
      <c r="E2842" s="2" t="s">
        <v>404</v>
      </c>
      <c r="F2842" s="1"/>
      <c r="G2842" s="2">
        <v>7</v>
      </c>
      <c r="H2842" s="1"/>
      <c r="I2842" t="s">
        <v>0</v>
      </c>
      <c r="J2842" t="s">
        <v>65</v>
      </c>
      <c r="K2842" t="s">
        <v>3</v>
      </c>
      <c r="L2842" t="s">
        <v>70</v>
      </c>
      <c r="M2842" s="3" t="s">
        <v>2212</v>
      </c>
    </row>
    <row r="2843" spans="1:13" x14ac:dyDescent="0.25">
      <c r="A2843" s="1" t="str">
        <f>VLOOKUP(Table2[[#This Row],[Prod Line ]],Lists!A:E,5,0)</f>
        <v>c</v>
      </c>
      <c r="B2843" s="1">
        <v>44648</v>
      </c>
      <c r="C2843" s="1">
        <v>44646</v>
      </c>
      <c r="D2843" s="1" t="s">
        <v>60</v>
      </c>
      <c r="E2843" s="2" t="s">
        <v>404</v>
      </c>
      <c r="F2843" s="1"/>
      <c r="G2843" s="2">
        <v>163</v>
      </c>
      <c r="H2843" s="1"/>
      <c r="I2843" t="s">
        <v>0</v>
      </c>
      <c r="J2843" t="s">
        <v>66</v>
      </c>
      <c r="K2843" t="s">
        <v>4</v>
      </c>
      <c r="L2843" t="s">
        <v>70</v>
      </c>
      <c r="M2843" s="3" t="s">
        <v>1725</v>
      </c>
    </row>
    <row r="2844" spans="1:13" hidden="1" x14ac:dyDescent="0.25">
      <c r="A2844" s="1" t="str">
        <f>VLOOKUP(Table2[[#This Row],[Prod Line ]],Lists!A:E,5,0)</f>
        <v>b</v>
      </c>
      <c r="B2844" s="1">
        <v>44649</v>
      </c>
      <c r="C2844" s="1">
        <v>44647</v>
      </c>
      <c r="D2844" s="1" t="s">
        <v>58</v>
      </c>
      <c r="E2844" s="2" t="s">
        <v>404</v>
      </c>
      <c r="F2844" s="1"/>
      <c r="G2844" s="2">
        <v>15</v>
      </c>
      <c r="H2844" s="1"/>
      <c r="I2844" t="s">
        <v>1</v>
      </c>
      <c r="J2844" t="s">
        <v>64</v>
      </c>
      <c r="K2844" t="s">
        <v>21</v>
      </c>
      <c r="L2844" t="s">
        <v>407</v>
      </c>
      <c r="M2844" s="3" t="s">
        <v>2213</v>
      </c>
    </row>
    <row r="2845" spans="1:13" hidden="1" x14ac:dyDescent="0.25">
      <c r="A2845" s="1" t="str">
        <f>VLOOKUP(Table2[[#This Row],[Prod Line ]],Lists!A:E,5,0)</f>
        <v>b</v>
      </c>
      <c r="B2845" s="1">
        <v>44649</v>
      </c>
      <c r="C2845" s="1">
        <v>44647</v>
      </c>
      <c r="D2845" s="1" t="s">
        <v>58</v>
      </c>
      <c r="E2845" s="2" t="s">
        <v>406</v>
      </c>
      <c r="F2845" s="1"/>
      <c r="G2845" s="2">
        <v>22</v>
      </c>
      <c r="H2845" s="1"/>
      <c r="I2845" t="s">
        <v>1</v>
      </c>
      <c r="J2845" t="s">
        <v>5</v>
      </c>
      <c r="K2845" t="s">
        <v>36</v>
      </c>
      <c r="L2845" t="s">
        <v>407</v>
      </c>
      <c r="M2845" s="3" t="s">
        <v>2214</v>
      </c>
    </row>
    <row r="2846" spans="1:13" hidden="1" x14ac:dyDescent="0.25">
      <c r="A2846" s="1" t="str">
        <f>VLOOKUP(Table2[[#This Row],[Prod Line ]],Lists!A:E,5,0)</f>
        <v>b</v>
      </c>
      <c r="B2846" s="1">
        <v>44649</v>
      </c>
      <c r="C2846" s="1">
        <v>44647</v>
      </c>
      <c r="D2846" s="1" t="s">
        <v>58</v>
      </c>
      <c r="E2846" s="2" t="s">
        <v>405</v>
      </c>
      <c r="F2846" s="1"/>
      <c r="G2846" s="2">
        <v>4</v>
      </c>
      <c r="H2846" s="1"/>
      <c r="I2846" t="s">
        <v>1</v>
      </c>
      <c r="J2846" t="s">
        <v>2</v>
      </c>
      <c r="K2846" t="s">
        <v>19</v>
      </c>
      <c r="L2846" t="s">
        <v>1003</v>
      </c>
      <c r="M2846" s="3" t="s">
        <v>575</v>
      </c>
    </row>
    <row r="2847" spans="1:13" hidden="1" x14ac:dyDescent="0.25">
      <c r="A2847" s="1" t="str">
        <f>VLOOKUP(Table2[[#This Row],[Prod Line ]],Lists!A:E,5,0)</f>
        <v>b</v>
      </c>
      <c r="B2847" s="1">
        <v>44649</v>
      </c>
      <c r="C2847" s="1">
        <v>44647</v>
      </c>
      <c r="D2847" s="1" t="s">
        <v>58</v>
      </c>
      <c r="E2847" s="2" t="s">
        <v>405</v>
      </c>
      <c r="F2847" s="1"/>
      <c r="G2847" s="2">
        <v>10</v>
      </c>
      <c r="H2847" s="1"/>
      <c r="I2847" t="s">
        <v>1</v>
      </c>
      <c r="J2847" t="s">
        <v>65</v>
      </c>
      <c r="K2847" t="s">
        <v>27</v>
      </c>
      <c r="L2847" t="s">
        <v>441</v>
      </c>
      <c r="M2847" s="3" t="s">
        <v>2215</v>
      </c>
    </row>
    <row r="2848" spans="1:13" hidden="1" x14ac:dyDescent="0.25">
      <c r="A2848" s="1" t="str">
        <f>VLOOKUP(Table2[[#This Row],[Prod Line ]],Lists!A:E,5,0)</f>
        <v>a</v>
      </c>
      <c r="B2848" s="1">
        <v>44651</v>
      </c>
      <c r="C2848" s="1">
        <v>44649</v>
      </c>
      <c r="D2848" s="1" t="s">
        <v>56</v>
      </c>
      <c r="E2848" s="2" t="s">
        <v>405</v>
      </c>
      <c r="F2848" s="1"/>
      <c r="G2848" s="2">
        <v>4</v>
      </c>
      <c r="H2848" s="1"/>
      <c r="I2848" t="s">
        <v>1</v>
      </c>
      <c r="J2848" t="s">
        <v>64</v>
      </c>
      <c r="K2848" t="s">
        <v>368</v>
      </c>
      <c r="L2848" t="s">
        <v>407</v>
      </c>
      <c r="M2848" s="3" t="s">
        <v>2216</v>
      </c>
    </row>
    <row r="2849" spans="1:13" hidden="1" x14ac:dyDescent="0.25">
      <c r="A2849" s="1" t="str">
        <f>VLOOKUP(Table2[[#This Row],[Prod Line ]],Lists!A:E,5,0)</f>
        <v>b</v>
      </c>
      <c r="B2849" s="1">
        <v>44651</v>
      </c>
      <c r="C2849" s="1">
        <v>44649</v>
      </c>
      <c r="D2849" s="1" t="s">
        <v>58</v>
      </c>
      <c r="E2849" s="2" t="s">
        <v>404</v>
      </c>
      <c r="F2849" s="1"/>
      <c r="G2849" s="2">
        <v>3</v>
      </c>
      <c r="H2849" s="1"/>
      <c r="I2849" t="s">
        <v>1</v>
      </c>
      <c r="J2849" t="s">
        <v>64</v>
      </c>
      <c r="K2849" t="s">
        <v>22</v>
      </c>
      <c r="L2849" t="s">
        <v>407</v>
      </c>
      <c r="M2849" s="3" t="s">
        <v>1922</v>
      </c>
    </row>
    <row r="2850" spans="1:13" hidden="1" x14ac:dyDescent="0.25">
      <c r="A2850" s="1" t="str">
        <f>VLOOKUP(Table2[[#This Row],[Prod Line ]],Lists!A:E,5,0)</f>
        <v>b</v>
      </c>
      <c r="B2850" s="1">
        <v>44651</v>
      </c>
      <c r="C2850" s="1">
        <v>44649</v>
      </c>
      <c r="D2850" s="1" t="s">
        <v>58</v>
      </c>
      <c r="E2850" s="2" t="s">
        <v>404</v>
      </c>
      <c r="F2850" s="1"/>
      <c r="G2850" s="2">
        <v>8</v>
      </c>
      <c r="H2850" s="1"/>
      <c r="I2850" t="s">
        <v>1</v>
      </c>
      <c r="J2850" t="s">
        <v>65</v>
      </c>
      <c r="K2850" t="s">
        <v>3</v>
      </c>
      <c r="L2850" t="s">
        <v>441</v>
      </c>
      <c r="M2850" s="3" t="s">
        <v>1758</v>
      </c>
    </row>
    <row r="2851" spans="1:13" hidden="1" x14ac:dyDescent="0.25">
      <c r="A2851" s="1" t="str">
        <f>VLOOKUP(Table2[[#This Row],[Prod Line ]],Lists!A:E,5,0)</f>
        <v>b</v>
      </c>
      <c r="B2851" s="1">
        <v>44651</v>
      </c>
      <c r="C2851" s="1">
        <v>44649</v>
      </c>
      <c r="D2851" s="1" t="s">
        <v>58</v>
      </c>
      <c r="E2851" s="2" t="s">
        <v>404</v>
      </c>
      <c r="F2851" s="1"/>
      <c r="G2851" s="2">
        <v>10</v>
      </c>
      <c r="H2851" s="1"/>
      <c r="I2851" t="s">
        <v>1</v>
      </c>
      <c r="J2851" t="s">
        <v>65</v>
      </c>
      <c r="K2851" t="s">
        <v>3</v>
      </c>
      <c r="L2851" t="s">
        <v>441</v>
      </c>
      <c r="M2851" s="3" t="s">
        <v>514</v>
      </c>
    </row>
    <row r="2852" spans="1:13" hidden="1" x14ac:dyDescent="0.25">
      <c r="A2852" s="1" t="str">
        <f>VLOOKUP(Table2[[#This Row],[Prod Line ]],Lists!A:E,5,0)</f>
        <v>c</v>
      </c>
      <c r="B2852" s="1">
        <v>44651</v>
      </c>
      <c r="C2852" s="1">
        <v>44649</v>
      </c>
      <c r="D2852" s="1" t="s">
        <v>60</v>
      </c>
      <c r="E2852" s="2" t="s">
        <v>405</v>
      </c>
      <c r="F2852" s="1"/>
      <c r="G2852" s="2">
        <v>24</v>
      </c>
      <c r="H2852" s="1"/>
      <c r="I2852" t="s">
        <v>1</v>
      </c>
      <c r="J2852" t="s">
        <v>2</v>
      </c>
      <c r="K2852" t="s">
        <v>14</v>
      </c>
      <c r="L2852" t="s">
        <v>407</v>
      </c>
      <c r="M2852" s="3" t="s">
        <v>2217</v>
      </c>
    </row>
    <row r="2853" spans="1:13" hidden="1" x14ac:dyDescent="0.25">
      <c r="A2853" s="1" t="str">
        <f>VLOOKUP(Table2[[#This Row],[Prod Line ]],Lists!A:E,5,0)</f>
        <v>d</v>
      </c>
      <c r="B2853" s="1">
        <v>44651</v>
      </c>
      <c r="C2853" s="1">
        <v>44649</v>
      </c>
      <c r="D2853" s="1" t="s">
        <v>62</v>
      </c>
      <c r="E2853" s="2" t="s">
        <v>405</v>
      </c>
      <c r="F2853" s="1"/>
      <c r="G2853" s="2">
        <v>15</v>
      </c>
      <c r="H2853" s="1"/>
      <c r="I2853" t="s">
        <v>1</v>
      </c>
      <c r="J2853" t="s">
        <v>65</v>
      </c>
      <c r="K2853" t="s">
        <v>394</v>
      </c>
      <c r="L2853" t="s">
        <v>407</v>
      </c>
      <c r="M2853" s="3" t="s">
        <v>2218</v>
      </c>
    </row>
    <row r="2854" spans="1:13" hidden="1" x14ac:dyDescent="0.25">
      <c r="A2854" s="1" t="str">
        <f>VLOOKUP(Table2[[#This Row],[Prod Line ]],Lists!A:E,5,0)</f>
        <v>d</v>
      </c>
      <c r="B2854" s="1">
        <v>44651</v>
      </c>
      <c r="C2854" s="1">
        <v>44649</v>
      </c>
      <c r="D2854" s="1" t="s">
        <v>62</v>
      </c>
      <c r="E2854" s="2" t="s">
        <v>405</v>
      </c>
      <c r="F2854" s="1"/>
      <c r="G2854" s="2">
        <v>10</v>
      </c>
      <c r="H2854" s="1"/>
      <c r="I2854" t="s">
        <v>1</v>
      </c>
      <c r="J2854" t="s">
        <v>64</v>
      </c>
      <c r="K2854" t="s">
        <v>379</v>
      </c>
      <c r="L2854" t="s">
        <v>407</v>
      </c>
      <c r="M2854" s="3" t="s">
        <v>939</v>
      </c>
    </row>
    <row r="2855" spans="1:13" hidden="1" x14ac:dyDescent="0.25">
      <c r="A2855" s="1" t="str">
        <f>VLOOKUP(Table2[[#This Row],[Prod Line ]],Lists!A:E,5,0)</f>
        <v>b</v>
      </c>
      <c r="B2855" s="1">
        <v>44652</v>
      </c>
      <c r="C2855" s="1">
        <v>44650</v>
      </c>
      <c r="D2855" s="1" t="s">
        <v>58</v>
      </c>
      <c r="E2855" s="2" t="s">
        <v>405</v>
      </c>
      <c r="F2855" s="1"/>
      <c r="G2855" s="2">
        <v>15</v>
      </c>
      <c r="H2855" s="1"/>
      <c r="I2855" t="s">
        <v>1</v>
      </c>
      <c r="J2855" t="s">
        <v>5</v>
      </c>
      <c r="K2855" t="s">
        <v>38</v>
      </c>
      <c r="L2855" t="s">
        <v>407</v>
      </c>
      <c r="M2855" s="3" t="s">
        <v>2219</v>
      </c>
    </row>
    <row r="2856" spans="1:13" hidden="1" x14ac:dyDescent="0.25">
      <c r="A2856" s="1" t="str">
        <f>VLOOKUP(Table2[[#This Row],[Prod Line ]],Lists!A:E,5,0)</f>
        <v>a</v>
      </c>
      <c r="B2856" s="1">
        <v>44652</v>
      </c>
      <c r="C2856" s="1">
        <v>44650</v>
      </c>
      <c r="D2856" s="1" t="s">
        <v>56</v>
      </c>
      <c r="E2856" s="2" t="s">
        <v>405</v>
      </c>
      <c r="F2856" s="1"/>
      <c r="G2856" s="2">
        <v>36</v>
      </c>
      <c r="H2856" s="1"/>
      <c r="I2856" t="s">
        <v>1</v>
      </c>
      <c r="J2856" t="s">
        <v>5</v>
      </c>
      <c r="K2856" t="s">
        <v>375</v>
      </c>
      <c r="L2856" t="s">
        <v>407</v>
      </c>
      <c r="M2856" s="3" t="s">
        <v>2220</v>
      </c>
    </row>
    <row r="2857" spans="1:13" hidden="1" x14ac:dyDescent="0.25">
      <c r="A2857" s="1" t="str">
        <f>VLOOKUP(Table2[[#This Row],[Prod Line ]],Lists!A:E,5,0)</f>
        <v>a</v>
      </c>
      <c r="B2857" s="1">
        <v>44652</v>
      </c>
      <c r="C2857" s="1">
        <v>44650</v>
      </c>
      <c r="D2857" s="1" t="s">
        <v>56</v>
      </c>
      <c r="E2857" s="2" t="s">
        <v>406</v>
      </c>
      <c r="F2857" s="1"/>
      <c r="G2857" s="2">
        <v>15</v>
      </c>
      <c r="H2857" s="1"/>
      <c r="I2857" t="s">
        <v>1</v>
      </c>
      <c r="J2857" t="s">
        <v>2</v>
      </c>
      <c r="K2857" t="s">
        <v>19</v>
      </c>
      <c r="L2857" t="s">
        <v>349</v>
      </c>
      <c r="M2857" s="3" t="s">
        <v>575</v>
      </c>
    </row>
    <row r="2858" spans="1:13" hidden="1" x14ac:dyDescent="0.25">
      <c r="A2858" s="1" t="str">
        <f>VLOOKUP(Table2[[#This Row],[Prod Line ]],Lists!A:E,5,0)</f>
        <v>a</v>
      </c>
      <c r="B2858" s="1">
        <v>44653</v>
      </c>
      <c r="C2858" s="1">
        <v>44651</v>
      </c>
      <c r="D2858" s="1" t="s">
        <v>56</v>
      </c>
      <c r="E2858" s="2" t="s">
        <v>405</v>
      </c>
      <c r="F2858" s="1"/>
      <c r="G2858" s="2">
        <v>19</v>
      </c>
      <c r="H2858" s="1"/>
      <c r="I2858" t="s">
        <v>1</v>
      </c>
      <c r="J2858" t="s">
        <v>2</v>
      </c>
      <c r="K2858" t="s">
        <v>19</v>
      </c>
      <c r="L2858" t="s">
        <v>407</v>
      </c>
      <c r="M2858" s="3" t="s">
        <v>2221</v>
      </c>
    </row>
    <row r="2859" spans="1:13" x14ac:dyDescent="0.25">
      <c r="A2859" s="1" t="str">
        <f>VLOOKUP(Table2[[#This Row],[Prod Line ]],Lists!A:E,5,0)</f>
        <v>b</v>
      </c>
      <c r="B2859" s="1">
        <v>44653</v>
      </c>
      <c r="C2859" s="1">
        <v>44651</v>
      </c>
      <c r="D2859" s="1" t="s">
        <v>58</v>
      </c>
      <c r="E2859" s="2" t="s">
        <v>405</v>
      </c>
      <c r="F2859" s="1"/>
      <c r="G2859" s="2">
        <v>5</v>
      </c>
      <c r="H2859" s="1"/>
      <c r="I2859" t="s">
        <v>0</v>
      </c>
      <c r="J2859" t="s">
        <v>2</v>
      </c>
      <c r="K2859" t="s">
        <v>14</v>
      </c>
      <c r="L2859" t="s">
        <v>70</v>
      </c>
      <c r="M2859" s="3" t="s">
        <v>1461</v>
      </c>
    </row>
    <row r="2860" spans="1:13" hidden="1" x14ac:dyDescent="0.25">
      <c r="A2860" s="1" t="str">
        <f>VLOOKUP(Table2[[#This Row],[Prod Line ]],Lists!A:E,5,0)</f>
        <v>b</v>
      </c>
      <c r="B2860" s="1">
        <v>44653</v>
      </c>
      <c r="C2860" s="1">
        <v>44651</v>
      </c>
      <c r="D2860" s="1" t="s">
        <v>58</v>
      </c>
      <c r="E2860" s="2" t="s">
        <v>405</v>
      </c>
      <c r="F2860" s="1"/>
      <c r="G2860" s="2">
        <v>8</v>
      </c>
      <c r="H2860" s="1"/>
      <c r="I2860" t="s">
        <v>1</v>
      </c>
      <c r="J2860" t="s">
        <v>64</v>
      </c>
      <c r="K2860" t="s">
        <v>21</v>
      </c>
      <c r="L2860" t="s">
        <v>407</v>
      </c>
      <c r="M2860" s="3" t="s">
        <v>1216</v>
      </c>
    </row>
    <row r="2861" spans="1:13" hidden="1" x14ac:dyDescent="0.25">
      <c r="A2861" s="1" t="str">
        <f>VLOOKUP(Table2[[#This Row],[Prod Line ]],Lists!A:E,5,0)</f>
        <v>b</v>
      </c>
      <c r="B2861" s="1">
        <v>44653</v>
      </c>
      <c r="C2861" s="1">
        <v>44651</v>
      </c>
      <c r="D2861" s="1" t="s">
        <v>58</v>
      </c>
      <c r="E2861" s="2" t="s">
        <v>405</v>
      </c>
      <c r="F2861" s="1"/>
      <c r="G2861" s="2">
        <v>5</v>
      </c>
      <c r="H2861" s="1"/>
      <c r="I2861" t="s">
        <v>1</v>
      </c>
      <c r="J2861" t="s">
        <v>65</v>
      </c>
      <c r="K2861" t="s">
        <v>27</v>
      </c>
      <c r="L2861" t="s">
        <v>441</v>
      </c>
      <c r="M2861" s="3" t="s">
        <v>441</v>
      </c>
    </row>
    <row r="2862" spans="1:13" hidden="1" x14ac:dyDescent="0.25">
      <c r="A2862" s="1" t="str">
        <f>VLOOKUP(Table2[[#This Row],[Prod Line ]],Lists!A:E,5,0)</f>
        <v>c</v>
      </c>
      <c r="B2862" s="1">
        <v>44653</v>
      </c>
      <c r="C2862" s="1">
        <v>44651</v>
      </c>
      <c r="D2862" s="1" t="s">
        <v>60</v>
      </c>
      <c r="E2862" s="2" t="s">
        <v>405</v>
      </c>
      <c r="F2862" s="1"/>
      <c r="G2862" s="2">
        <v>10</v>
      </c>
      <c r="H2862" s="1"/>
      <c r="I2862" t="s">
        <v>1</v>
      </c>
      <c r="J2862" t="s">
        <v>2</v>
      </c>
      <c r="K2862" t="s">
        <v>378</v>
      </c>
      <c r="L2862" t="s">
        <v>407</v>
      </c>
      <c r="M2862" s="3" t="s">
        <v>846</v>
      </c>
    </row>
    <row r="2863" spans="1:13" x14ac:dyDescent="0.25">
      <c r="A2863" s="1" t="str">
        <f>VLOOKUP(Table2[[#This Row],[Prod Line ]],Lists!A:E,5,0)</f>
        <v>b</v>
      </c>
      <c r="B2863" s="1">
        <v>44655</v>
      </c>
      <c r="C2863" s="1">
        <v>44654</v>
      </c>
      <c r="D2863" s="1" t="s">
        <v>58</v>
      </c>
      <c r="E2863" s="2" t="s">
        <v>406</v>
      </c>
      <c r="F2863" s="1"/>
      <c r="G2863" s="2">
        <v>8</v>
      </c>
      <c r="H2863" s="1"/>
      <c r="I2863" t="s">
        <v>0</v>
      </c>
      <c r="J2863" t="s">
        <v>64</v>
      </c>
      <c r="K2863" t="s">
        <v>22</v>
      </c>
      <c r="L2863" t="s">
        <v>70</v>
      </c>
      <c r="M2863" s="3" t="s">
        <v>2222</v>
      </c>
    </row>
    <row r="2864" spans="1:13" x14ac:dyDescent="0.25">
      <c r="A2864" s="1" t="str">
        <f>VLOOKUP(Table2[[#This Row],[Prod Line ]],Lists!A:E,5,0)</f>
        <v>b</v>
      </c>
      <c r="B2864" s="1">
        <v>44655</v>
      </c>
      <c r="C2864" s="1">
        <v>44654</v>
      </c>
      <c r="D2864" s="1" t="s">
        <v>58</v>
      </c>
      <c r="E2864" s="2" t="s">
        <v>406</v>
      </c>
      <c r="F2864" s="1"/>
      <c r="G2864" s="2">
        <v>15</v>
      </c>
      <c r="H2864" s="1"/>
      <c r="I2864" t="s">
        <v>0</v>
      </c>
      <c r="J2864" t="s">
        <v>64</v>
      </c>
      <c r="K2864" t="s">
        <v>20</v>
      </c>
      <c r="L2864" t="s">
        <v>70</v>
      </c>
      <c r="M2864" s="3" t="s">
        <v>2223</v>
      </c>
    </row>
    <row r="2865" spans="1:13" x14ac:dyDescent="0.25">
      <c r="A2865" s="1" t="str">
        <f>VLOOKUP(Table2[[#This Row],[Prod Line ]],Lists!A:E,5,0)</f>
        <v>b</v>
      </c>
      <c r="B2865" s="1">
        <v>44655</v>
      </c>
      <c r="C2865" s="1">
        <v>44654</v>
      </c>
      <c r="D2865" s="1" t="s">
        <v>58</v>
      </c>
      <c r="E2865" s="2" t="s">
        <v>406</v>
      </c>
      <c r="F2865" s="1"/>
      <c r="G2865" s="2">
        <v>3</v>
      </c>
      <c r="H2865" s="1"/>
      <c r="I2865" t="s">
        <v>0</v>
      </c>
      <c r="J2865" t="s">
        <v>64</v>
      </c>
      <c r="K2865" t="s">
        <v>21</v>
      </c>
      <c r="L2865" t="s">
        <v>70</v>
      </c>
      <c r="M2865" s="3" t="s">
        <v>2224</v>
      </c>
    </row>
    <row r="2866" spans="1:13" hidden="1" x14ac:dyDescent="0.25">
      <c r="A2866" s="1" t="str">
        <f>VLOOKUP(Table2[[#This Row],[Prod Line ]],Lists!A:E,5,0)</f>
        <v>b</v>
      </c>
      <c r="B2866" s="1">
        <v>44656</v>
      </c>
      <c r="C2866" s="1">
        <v>44655</v>
      </c>
      <c r="D2866" s="1" t="s">
        <v>58</v>
      </c>
      <c r="E2866" s="2" t="s">
        <v>406</v>
      </c>
      <c r="F2866" s="1"/>
      <c r="G2866" s="2">
        <v>5</v>
      </c>
      <c r="H2866" s="1"/>
      <c r="I2866" t="s">
        <v>1</v>
      </c>
      <c r="J2866" t="s">
        <v>65</v>
      </c>
      <c r="K2866" t="s">
        <v>27</v>
      </c>
      <c r="L2866" t="s">
        <v>441</v>
      </c>
      <c r="M2866" s="3" t="s">
        <v>2225</v>
      </c>
    </row>
    <row r="2867" spans="1:13" hidden="1" x14ac:dyDescent="0.25">
      <c r="A2867" s="1" t="str">
        <f>VLOOKUP(Table2[[#This Row],[Prod Line ]],Lists!A:E,5,0)</f>
        <v>b</v>
      </c>
      <c r="B2867" s="1">
        <v>44656</v>
      </c>
      <c r="C2867" s="1">
        <v>44655</v>
      </c>
      <c r="D2867" s="1" t="s">
        <v>58</v>
      </c>
      <c r="E2867" s="2" t="s">
        <v>406</v>
      </c>
      <c r="F2867" s="1"/>
      <c r="G2867" s="2">
        <v>20</v>
      </c>
      <c r="H2867" s="1"/>
      <c r="I2867" t="s">
        <v>1</v>
      </c>
      <c r="J2867" t="s">
        <v>5</v>
      </c>
      <c r="K2867" t="s">
        <v>36</v>
      </c>
      <c r="L2867" t="s">
        <v>407</v>
      </c>
      <c r="M2867" s="3" t="s">
        <v>1491</v>
      </c>
    </row>
    <row r="2868" spans="1:13" hidden="1" x14ac:dyDescent="0.25">
      <c r="A2868" s="1" t="str">
        <f>VLOOKUP(Table2[[#This Row],[Prod Line ]],Lists!A:E,5,0)</f>
        <v>b</v>
      </c>
      <c r="B2868" s="1">
        <v>44656</v>
      </c>
      <c r="C2868" s="1">
        <v>44655</v>
      </c>
      <c r="D2868" s="1" t="s">
        <v>58</v>
      </c>
      <c r="E2868" s="2" t="s">
        <v>404</v>
      </c>
      <c r="F2868" s="1"/>
      <c r="G2868" s="2">
        <v>2</v>
      </c>
      <c r="H2868" s="1"/>
      <c r="I2868" t="s">
        <v>1</v>
      </c>
      <c r="J2868" t="s">
        <v>26</v>
      </c>
      <c r="K2868" t="s">
        <v>25</v>
      </c>
      <c r="L2868" t="s">
        <v>441</v>
      </c>
      <c r="M2868" s="3" t="s">
        <v>612</v>
      </c>
    </row>
    <row r="2869" spans="1:13" x14ac:dyDescent="0.25">
      <c r="A2869" s="1" t="str">
        <f>VLOOKUP(Table2[[#This Row],[Prod Line ]],Lists!A:E,5,0)</f>
        <v>c</v>
      </c>
      <c r="B2869" s="1">
        <v>44656</v>
      </c>
      <c r="C2869" s="1">
        <v>44655</v>
      </c>
      <c r="D2869" s="1" t="s">
        <v>60</v>
      </c>
      <c r="E2869" s="2" t="s">
        <v>405</v>
      </c>
      <c r="F2869" s="1"/>
      <c r="G2869" s="2">
        <v>50</v>
      </c>
      <c r="H2869" s="1"/>
      <c r="I2869" t="s">
        <v>0</v>
      </c>
      <c r="J2869" t="s">
        <v>5</v>
      </c>
      <c r="K2869" t="s">
        <v>391</v>
      </c>
      <c r="L2869" t="s">
        <v>69</v>
      </c>
      <c r="M2869" s="3" t="s">
        <v>2226</v>
      </c>
    </row>
    <row r="2870" spans="1:13" hidden="1" x14ac:dyDescent="0.25">
      <c r="A2870" s="1" t="str">
        <f>VLOOKUP(Table2[[#This Row],[Prod Line ]],Lists!A:E,5,0)</f>
        <v>a</v>
      </c>
      <c r="B2870" s="1">
        <v>44656</v>
      </c>
      <c r="C2870" s="1">
        <v>44655</v>
      </c>
      <c r="D2870" s="1" t="s">
        <v>56</v>
      </c>
      <c r="E2870" s="2" t="s">
        <v>404</v>
      </c>
      <c r="F2870" s="1"/>
      <c r="G2870" s="2">
        <v>8</v>
      </c>
      <c r="H2870" s="1"/>
      <c r="I2870" t="s">
        <v>1</v>
      </c>
      <c r="J2870" t="s">
        <v>64</v>
      </c>
      <c r="K2870" t="s">
        <v>370</v>
      </c>
      <c r="L2870" t="s">
        <v>72</v>
      </c>
      <c r="M2870" s="3" t="s">
        <v>2227</v>
      </c>
    </row>
    <row r="2871" spans="1:13" x14ac:dyDescent="0.25">
      <c r="A2871" s="1" t="str">
        <f>VLOOKUP(Table2[[#This Row],[Prod Line ]],Lists!A:E,5,0)</f>
        <v>a</v>
      </c>
      <c r="B2871" s="1">
        <v>44656</v>
      </c>
      <c r="C2871" s="1">
        <v>44655</v>
      </c>
      <c r="D2871" s="1" t="s">
        <v>56</v>
      </c>
      <c r="E2871" s="2" t="s">
        <v>404</v>
      </c>
      <c r="F2871" s="1"/>
      <c r="G2871" s="2">
        <v>14</v>
      </c>
      <c r="H2871" s="1"/>
      <c r="I2871" t="s">
        <v>0</v>
      </c>
      <c r="J2871" t="s">
        <v>65</v>
      </c>
      <c r="K2871" t="s">
        <v>372</v>
      </c>
      <c r="L2871" t="s">
        <v>70</v>
      </c>
      <c r="M2871" s="3" t="s">
        <v>2228</v>
      </c>
    </row>
    <row r="2872" spans="1:13" hidden="1" x14ac:dyDescent="0.25">
      <c r="A2872" s="1" t="str">
        <f>VLOOKUP(Table2[[#This Row],[Prod Line ]],Lists!A:E,5,0)</f>
        <v>d</v>
      </c>
      <c r="B2872" s="1">
        <v>44658</v>
      </c>
      <c r="C2872" s="1">
        <v>44656</v>
      </c>
      <c r="D2872" s="1" t="s">
        <v>62</v>
      </c>
      <c r="E2872" s="2" t="s">
        <v>404</v>
      </c>
      <c r="F2872" s="1"/>
      <c r="G2872" s="2">
        <v>70</v>
      </c>
      <c r="H2872" s="1"/>
      <c r="I2872" t="s">
        <v>1</v>
      </c>
      <c r="J2872" t="s">
        <v>67</v>
      </c>
      <c r="K2872" t="s">
        <v>67</v>
      </c>
      <c r="L2872" t="s">
        <v>72</v>
      </c>
      <c r="M2872" s="3" t="s">
        <v>2125</v>
      </c>
    </row>
    <row r="2873" spans="1:13" hidden="1" x14ac:dyDescent="0.25">
      <c r="A2873" s="1" t="str">
        <f>VLOOKUP(Table2[[#This Row],[Prod Line ]],Lists!A:E,5,0)</f>
        <v>d</v>
      </c>
      <c r="B2873" s="1">
        <v>44658</v>
      </c>
      <c r="C2873" s="1">
        <v>44656</v>
      </c>
      <c r="D2873" s="1" t="s">
        <v>62</v>
      </c>
      <c r="E2873" s="2" t="s">
        <v>404</v>
      </c>
      <c r="F2873" s="1"/>
      <c r="G2873" s="2">
        <v>25</v>
      </c>
      <c r="H2873" s="1"/>
      <c r="I2873" t="s">
        <v>1</v>
      </c>
      <c r="J2873" t="s">
        <v>2</v>
      </c>
      <c r="K2873" t="s">
        <v>17</v>
      </c>
      <c r="L2873" t="s">
        <v>407</v>
      </c>
      <c r="M2873" s="3" t="s">
        <v>437</v>
      </c>
    </row>
    <row r="2874" spans="1:13" x14ac:dyDescent="0.25">
      <c r="A2874" s="1" t="str">
        <f>VLOOKUP(Table2[[#This Row],[Prod Line ]],Lists!A:E,5,0)</f>
        <v>b</v>
      </c>
      <c r="B2874" s="1">
        <v>44658</v>
      </c>
      <c r="C2874" s="1">
        <v>44656</v>
      </c>
      <c r="D2874" s="1" t="s">
        <v>58</v>
      </c>
      <c r="E2874" s="2" t="s">
        <v>405</v>
      </c>
      <c r="F2874" s="1"/>
      <c r="G2874" s="2">
        <v>23</v>
      </c>
      <c r="H2874" s="1"/>
      <c r="I2874" t="s">
        <v>0</v>
      </c>
      <c r="J2874" t="s">
        <v>64</v>
      </c>
      <c r="K2874" t="s">
        <v>20</v>
      </c>
      <c r="L2874" t="s">
        <v>70</v>
      </c>
      <c r="M2874" s="3" t="s">
        <v>2107</v>
      </c>
    </row>
    <row r="2875" spans="1:13" hidden="1" x14ac:dyDescent="0.25">
      <c r="A2875" s="1" t="str">
        <f>VLOOKUP(Table2[[#This Row],[Prod Line ]],Lists!A:E,5,0)</f>
        <v>a</v>
      </c>
      <c r="B2875" s="1">
        <v>44658</v>
      </c>
      <c r="C2875" s="1">
        <v>44656</v>
      </c>
      <c r="D2875" s="1" t="s">
        <v>56</v>
      </c>
      <c r="E2875" s="2" t="s">
        <v>406</v>
      </c>
      <c r="F2875" s="1"/>
      <c r="G2875" s="2">
        <v>8</v>
      </c>
      <c r="H2875" s="1"/>
      <c r="I2875" t="s">
        <v>1</v>
      </c>
      <c r="J2875" t="s">
        <v>2</v>
      </c>
      <c r="K2875" t="s">
        <v>19</v>
      </c>
      <c r="L2875" t="s">
        <v>349</v>
      </c>
      <c r="M2875" s="3" t="s">
        <v>1470</v>
      </c>
    </row>
    <row r="2876" spans="1:13" hidden="1" x14ac:dyDescent="0.25">
      <c r="A2876" s="1" t="str">
        <f>VLOOKUP(Table2[[#This Row],[Prod Line ]],Lists!A:E,5,0)</f>
        <v>a</v>
      </c>
      <c r="B2876" s="1">
        <v>44658</v>
      </c>
      <c r="C2876" s="1">
        <v>44656</v>
      </c>
      <c r="D2876" s="1" t="s">
        <v>56</v>
      </c>
      <c r="E2876" s="2" t="s">
        <v>404</v>
      </c>
      <c r="F2876" s="1"/>
      <c r="G2876" s="2">
        <v>4</v>
      </c>
      <c r="H2876" s="1"/>
      <c r="I2876" t="s">
        <v>1</v>
      </c>
      <c r="J2876" t="s">
        <v>65</v>
      </c>
      <c r="K2876" t="s">
        <v>3</v>
      </c>
      <c r="L2876" t="s">
        <v>441</v>
      </c>
      <c r="M2876" s="3" t="s">
        <v>2229</v>
      </c>
    </row>
    <row r="2877" spans="1:13" hidden="1" x14ac:dyDescent="0.25">
      <c r="A2877" s="1" t="str">
        <f>VLOOKUP(Table2[[#This Row],[Prod Line ]],Lists!A:E,5,0)</f>
        <v>a</v>
      </c>
      <c r="B2877" s="1">
        <v>44658</v>
      </c>
      <c r="C2877" s="1">
        <v>44657</v>
      </c>
      <c r="D2877" s="1" t="s">
        <v>56</v>
      </c>
      <c r="E2877" s="2" t="s">
        <v>406</v>
      </c>
      <c r="F2877" s="1"/>
      <c r="G2877" s="2">
        <v>8</v>
      </c>
      <c r="H2877" s="1"/>
      <c r="I2877" t="s">
        <v>1</v>
      </c>
      <c r="J2877" t="s">
        <v>65</v>
      </c>
      <c r="K2877" t="s">
        <v>372</v>
      </c>
      <c r="L2877" t="s">
        <v>407</v>
      </c>
      <c r="M2877" s="3" t="s">
        <v>745</v>
      </c>
    </row>
    <row r="2878" spans="1:13" hidden="1" x14ac:dyDescent="0.25">
      <c r="A2878" s="1" t="str">
        <f>VLOOKUP(Table2[[#This Row],[Prod Line ]],Lists!A:E,5,0)</f>
        <v>a</v>
      </c>
      <c r="B2878" s="1">
        <v>44658</v>
      </c>
      <c r="C2878" s="1">
        <v>44657</v>
      </c>
      <c r="D2878" s="1" t="s">
        <v>56</v>
      </c>
      <c r="E2878" s="2" t="s">
        <v>406</v>
      </c>
      <c r="F2878" s="1"/>
      <c r="G2878" s="2">
        <v>6</v>
      </c>
      <c r="H2878" s="1"/>
      <c r="I2878" t="s">
        <v>1</v>
      </c>
      <c r="J2878" t="s">
        <v>64</v>
      </c>
      <c r="K2878" t="s">
        <v>369</v>
      </c>
      <c r="L2878" t="s">
        <v>407</v>
      </c>
      <c r="M2878" s="3" t="s">
        <v>2230</v>
      </c>
    </row>
    <row r="2879" spans="1:13" x14ac:dyDescent="0.25">
      <c r="A2879" s="1" t="str">
        <f>VLOOKUP(Table2[[#This Row],[Prod Line ]],Lists!A:E,5,0)</f>
        <v>b</v>
      </c>
      <c r="B2879" s="1">
        <v>44658</v>
      </c>
      <c r="C2879" s="1">
        <v>44657</v>
      </c>
      <c r="D2879" s="1" t="s">
        <v>58</v>
      </c>
      <c r="E2879" s="2" t="s">
        <v>406</v>
      </c>
      <c r="F2879" s="1"/>
      <c r="G2879" s="2">
        <v>16</v>
      </c>
      <c r="H2879" s="1"/>
      <c r="I2879" t="s">
        <v>0</v>
      </c>
      <c r="J2879" t="s">
        <v>64</v>
      </c>
      <c r="K2879" t="s">
        <v>20</v>
      </c>
      <c r="L2879" t="s">
        <v>70</v>
      </c>
      <c r="M2879" s="3" t="s">
        <v>2231</v>
      </c>
    </row>
    <row r="2880" spans="1:13" hidden="1" x14ac:dyDescent="0.25">
      <c r="A2880" s="1" t="str">
        <f>VLOOKUP(Table2[[#This Row],[Prod Line ]],Lists!A:E,5,0)</f>
        <v>a</v>
      </c>
      <c r="B2880" s="1">
        <v>44659</v>
      </c>
      <c r="C2880" s="1">
        <v>44657</v>
      </c>
      <c r="D2880" s="1" t="s">
        <v>56</v>
      </c>
      <c r="E2880" s="2" t="s">
        <v>404</v>
      </c>
      <c r="F2880" s="1"/>
      <c r="G2880" s="2">
        <v>8</v>
      </c>
      <c r="H2880" s="1"/>
      <c r="I2880" t="s">
        <v>1</v>
      </c>
      <c r="J2880" t="s">
        <v>64</v>
      </c>
      <c r="K2880" t="s">
        <v>370</v>
      </c>
      <c r="L2880" t="s">
        <v>407</v>
      </c>
      <c r="M2880" s="3" t="s">
        <v>750</v>
      </c>
    </row>
    <row r="2881" spans="1:13" x14ac:dyDescent="0.25">
      <c r="A2881" s="1" t="str">
        <f>VLOOKUP(Table2[[#This Row],[Prod Line ]],Lists!A:E,5,0)</f>
        <v>a</v>
      </c>
      <c r="B2881" s="1">
        <v>44660</v>
      </c>
      <c r="C2881" s="1">
        <v>44658</v>
      </c>
      <c r="D2881" s="1" t="s">
        <v>56</v>
      </c>
      <c r="E2881" s="2" t="s">
        <v>404</v>
      </c>
      <c r="F2881" s="1"/>
      <c r="G2881" s="2">
        <v>25</v>
      </c>
      <c r="H2881" s="1"/>
      <c r="I2881" t="s">
        <v>0</v>
      </c>
      <c r="J2881" t="s">
        <v>64</v>
      </c>
      <c r="K2881" t="s">
        <v>368</v>
      </c>
      <c r="L2881" t="s">
        <v>70</v>
      </c>
      <c r="M2881" s="3" t="s">
        <v>2232</v>
      </c>
    </row>
    <row r="2882" spans="1:13" x14ac:dyDescent="0.25">
      <c r="A2882" s="1" t="str">
        <f>VLOOKUP(Table2[[#This Row],[Prod Line ]],Lists!A:E,5,0)</f>
        <v>b</v>
      </c>
      <c r="B2882" s="1">
        <v>44660</v>
      </c>
      <c r="C2882" s="1">
        <v>44658</v>
      </c>
      <c r="D2882" s="1" t="s">
        <v>58</v>
      </c>
      <c r="E2882" s="2" t="s">
        <v>404</v>
      </c>
      <c r="F2882" s="1"/>
      <c r="G2882" s="2">
        <v>16</v>
      </c>
      <c r="H2882" s="1"/>
      <c r="I2882" t="s">
        <v>0</v>
      </c>
      <c r="J2882" t="s">
        <v>26</v>
      </c>
      <c r="K2882" t="s">
        <v>25</v>
      </c>
      <c r="L2882" t="s">
        <v>70</v>
      </c>
      <c r="M2882" s="3" t="s">
        <v>1854</v>
      </c>
    </row>
    <row r="2883" spans="1:13" hidden="1" x14ac:dyDescent="0.25">
      <c r="A2883" s="1" t="str">
        <f>VLOOKUP(Table2[[#This Row],[Prod Line ]],Lists!A:E,5,0)</f>
        <v>a</v>
      </c>
      <c r="B2883" s="1">
        <v>44663</v>
      </c>
      <c r="C2883" s="1">
        <v>44661</v>
      </c>
      <c r="D2883" s="1" t="s">
        <v>56</v>
      </c>
      <c r="E2883" s="2" t="s">
        <v>406</v>
      </c>
      <c r="F2883" s="1"/>
      <c r="G2883" s="2">
        <v>10</v>
      </c>
      <c r="H2883" s="1"/>
      <c r="I2883" t="s">
        <v>1</v>
      </c>
      <c r="J2883" t="s">
        <v>2</v>
      </c>
      <c r="K2883" t="s">
        <v>19</v>
      </c>
      <c r="L2883" t="s">
        <v>349</v>
      </c>
      <c r="M2883" s="3" t="s">
        <v>575</v>
      </c>
    </row>
    <row r="2884" spans="1:13" x14ac:dyDescent="0.25">
      <c r="A2884" s="1" t="str">
        <f>VLOOKUP(Table2[[#This Row],[Prod Line ]],Lists!A:E,5,0)</f>
        <v>a</v>
      </c>
      <c r="B2884" s="1">
        <v>44663</v>
      </c>
      <c r="C2884" s="1">
        <v>44661</v>
      </c>
      <c r="D2884" s="1" t="s">
        <v>56</v>
      </c>
      <c r="E2884" s="2" t="s">
        <v>404</v>
      </c>
      <c r="F2884" s="1"/>
      <c r="G2884" s="2">
        <v>9</v>
      </c>
      <c r="H2884" s="1"/>
      <c r="I2884" t="s">
        <v>0</v>
      </c>
      <c r="J2884" t="s">
        <v>64</v>
      </c>
      <c r="K2884" t="s">
        <v>371</v>
      </c>
      <c r="L2884" t="s">
        <v>70</v>
      </c>
      <c r="M2884" s="3" t="s">
        <v>2233</v>
      </c>
    </row>
    <row r="2885" spans="1:13" x14ac:dyDescent="0.25">
      <c r="A2885" s="1" t="str">
        <f>VLOOKUP(Table2[[#This Row],[Prod Line ]],Lists!A:E,5,0)</f>
        <v>a</v>
      </c>
      <c r="B2885" s="1">
        <v>44663</v>
      </c>
      <c r="C2885" s="1">
        <v>44661</v>
      </c>
      <c r="D2885" s="1" t="s">
        <v>56</v>
      </c>
      <c r="E2885" s="2" t="s">
        <v>405</v>
      </c>
      <c r="F2885" s="1"/>
      <c r="G2885" s="2">
        <v>30</v>
      </c>
      <c r="H2885" s="1"/>
      <c r="I2885" t="s">
        <v>0</v>
      </c>
      <c r="J2885" t="s">
        <v>66</v>
      </c>
      <c r="K2885" t="s">
        <v>4</v>
      </c>
      <c r="L2885" t="s">
        <v>70</v>
      </c>
      <c r="M2885" s="3" t="s">
        <v>922</v>
      </c>
    </row>
    <row r="2886" spans="1:13" hidden="1" x14ac:dyDescent="0.25">
      <c r="A2886" s="1" t="str">
        <f>VLOOKUP(Table2[[#This Row],[Prod Line ]],Lists!A:E,5,0)</f>
        <v>b</v>
      </c>
      <c r="B2886" s="1">
        <v>44663</v>
      </c>
      <c r="C2886" s="1">
        <v>44661</v>
      </c>
      <c r="D2886" s="1" t="s">
        <v>58</v>
      </c>
      <c r="E2886" s="2" t="s">
        <v>404</v>
      </c>
      <c r="F2886" s="1"/>
      <c r="G2886" s="2">
        <v>16</v>
      </c>
      <c r="H2886" s="1"/>
      <c r="I2886" t="s">
        <v>1</v>
      </c>
      <c r="J2886" t="s">
        <v>65</v>
      </c>
      <c r="K2886" t="s">
        <v>3</v>
      </c>
      <c r="L2886" t="s">
        <v>441</v>
      </c>
      <c r="M2886" s="3" t="s">
        <v>612</v>
      </c>
    </row>
    <row r="2887" spans="1:13" hidden="1" x14ac:dyDescent="0.25">
      <c r="A2887" s="1" t="str">
        <f>VLOOKUP(Table2[[#This Row],[Prod Line ]],Lists!A:E,5,0)</f>
        <v>b</v>
      </c>
      <c r="B2887" s="1">
        <v>44663</v>
      </c>
      <c r="C2887" s="1">
        <v>44661</v>
      </c>
      <c r="D2887" s="1" t="s">
        <v>58</v>
      </c>
      <c r="E2887" s="2" t="s">
        <v>406</v>
      </c>
      <c r="F2887" s="1"/>
      <c r="G2887" s="2">
        <v>10</v>
      </c>
      <c r="H2887" s="1"/>
      <c r="I2887" t="s">
        <v>1</v>
      </c>
      <c r="J2887" t="s">
        <v>26</v>
      </c>
      <c r="K2887" t="s">
        <v>26</v>
      </c>
      <c r="L2887" t="s">
        <v>430</v>
      </c>
      <c r="M2887" s="3" t="s">
        <v>1635</v>
      </c>
    </row>
    <row r="2888" spans="1:13" hidden="1" x14ac:dyDescent="0.25">
      <c r="A2888" s="1" t="str">
        <f>VLOOKUP(Table2[[#This Row],[Prod Line ]],Lists!A:E,5,0)</f>
        <v>d</v>
      </c>
      <c r="B2888" s="1">
        <v>44663</v>
      </c>
      <c r="C2888" s="1">
        <v>44661</v>
      </c>
      <c r="D2888" s="1" t="s">
        <v>62</v>
      </c>
      <c r="E2888" s="2" t="s">
        <v>404</v>
      </c>
      <c r="F2888" s="1"/>
      <c r="G2888" s="2">
        <v>25</v>
      </c>
      <c r="H2888" s="1"/>
      <c r="I2888" t="s">
        <v>1</v>
      </c>
      <c r="J2888" t="s">
        <v>2</v>
      </c>
      <c r="K2888" t="s">
        <v>19</v>
      </c>
      <c r="L2888" t="s">
        <v>407</v>
      </c>
      <c r="M2888" s="3" t="s">
        <v>834</v>
      </c>
    </row>
    <row r="2889" spans="1:13" hidden="1" x14ac:dyDescent="0.25">
      <c r="A2889" s="1" t="str">
        <f>VLOOKUP(Table2[[#This Row],[Prod Line ]],Lists!A:E,5,0)</f>
        <v>d</v>
      </c>
      <c r="B2889" s="1">
        <v>44663</v>
      </c>
      <c r="C2889" s="1">
        <v>44661</v>
      </c>
      <c r="D2889" s="1" t="s">
        <v>62</v>
      </c>
      <c r="E2889" s="2" t="s">
        <v>405</v>
      </c>
      <c r="F2889" s="1"/>
      <c r="G2889" s="2">
        <v>28</v>
      </c>
      <c r="H2889" s="1"/>
      <c r="I2889" t="s">
        <v>1</v>
      </c>
      <c r="J2889" t="s">
        <v>2</v>
      </c>
      <c r="K2889" t="s">
        <v>19</v>
      </c>
      <c r="L2889" t="s">
        <v>407</v>
      </c>
      <c r="M2889" s="3" t="s">
        <v>759</v>
      </c>
    </row>
    <row r="2890" spans="1:13" hidden="1" x14ac:dyDescent="0.25">
      <c r="A2890" s="1" t="str">
        <f>VLOOKUP(Table2[[#This Row],[Prod Line ]],Lists!A:E,5,0)</f>
        <v>a</v>
      </c>
      <c r="B2890" s="1">
        <v>44664</v>
      </c>
      <c r="C2890" s="1">
        <v>44662</v>
      </c>
      <c r="D2890" s="1" t="s">
        <v>56</v>
      </c>
      <c r="E2890" s="2" t="s">
        <v>405</v>
      </c>
      <c r="F2890" s="1"/>
      <c r="G2890" s="2">
        <v>7</v>
      </c>
      <c r="H2890" s="1"/>
      <c r="I2890" t="s">
        <v>1</v>
      </c>
      <c r="J2890" t="s">
        <v>64</v>
      </c>
      <c r="K2890" t="s">
        <v>370</v>
      </c>
      <c r="L2890" t="s">
        <v>407</v>
      </c>
      <c r="M2890" s="3" t="s">
        <v>2234</v>
      </c>
    </row>
    <row r="2891" spans="1:13" hidden="1" x14ac:dyDescent="0.25">
      <c r="A2891" s="1" t="str">
        <f>VLOOKUP(Table2[[#This Row],[Prod Line ]],Lists!A:E,5,0)</f>
        <v>a</v>
      </c>
      <c r="B2891" s="1">
        <v>44664</v>
      </c>
      <c r="C2891" s="1">
        <v>44662</v>
      </c>
      <c r="D2891" s="1" t="s">
        <v>56</v>
      </c>
      <c r="E2891" s="2" t="s">
        <v>405</v>
      </c>
      <c r="F2891" s="1"/>
      <c r="G2891" s="2">
        <v>8</v>
      </c>
      <c r="H2891" s="1"/>
      <c r="I2891" t="s">
        <v>1</v>
      </c>
      <c r="J2891" t="s">
        <v>64</v>
      </c>
      <c r="K2891" t="s">
        <v>369</v>
      </c>
      <c r="L2891" t="s">
        <v>407</v>
      </c>
      <c r="M2891" s="3" t="s">
        <v>2235</v>
      </c>
    </row>
    <row r="2892" spans="1:13" hidden="1" x14ac:dyDescent="0.25">
      <c r="A2892" s="1" t="str">
        <f>VLOOKUP(Table2[[#This Row],[Prod Line ]],Lists!A:E,5,0)</f>
        <v>b</v>
      </c>
      <c r="B2892" s="1">
        <v>44664</v>
      </c>
      <c r="C2892" s="1">
        <v>44662</v>
      </c>
      <c r="D2892" s="1" t="s">
        <v>58</v>
      </c>
      <c r="E2892" s="2" t="s">
        <v>404</v>
      </c>
      <c r="F2892" s="1"/>
      <c r="G2892" s="2">
        <v>6</v>
      </c>
      <c r="H2892" s="1"/>
      <c r="I2892" t="s">
        <v>1</v>
      </c>
      <c r="J2892" t="s">
        <v>65</v>
      </c>
      <c r="K2892" t="s">
        <v>3</v>
      </c>
      <c r="L2892" t="s">
        <v>407</v>
      </c>
      <c r="M2892" s="3" t="s">
        <v>612</v>
      </c>
    </row>
    <row r="2893" spans="1:13" hidden="1" x14ac:dyDescent="0.25">
      <c r="A2893" s="1" t="str">
        <f>VLOOKUP(Table2[[#This Row],[Prod Line ]],Lists!A:E,5,0)</f>
        <v>b</v>
      </c>
      <c r="B2893" s="1">
        <v>44664</v>
      </c>
      <c r="C2893" s="1">
        <v>44662</v>
      </c>
      <c r="D2893" s="1" t="s">
        <v>58</v>
      </c>
      <c r="E2893" s="2" t="s">
        <v>406</v>
      </c>
      <c r="F2893" s="1"/>
      <c r="G2893" s="2">
        <v>5</v>
      </c>
      <c r="H2893" s="1"/>
      <c r="I2893" t="s">
        <v>1</v>
      </c>
      <c r="J2893" t="s">
        <v>2</v>
      </c>
      <c r="K2893" t="s">
        <v>19</v>
      </c>
      <c r="L2893" t="s">
        <v>349</v>
      </c>
      <c r="M2893" s="3" t="s">
        <v>575</v>
      </c>
    </row>
    <row r="2894" spans="1:13" hidden="1" x14ac:dyDescent="0.25">
      <c r="A2894" s="1" t="str">
        <f>VLOOKUP(Table2[[#This Row],[Prod Line ]],Lists!A:E,5,0)</f>
        <v>c</v>
      </c>
      <c r="B2894" s="1">
        <v>44664</v>
      </c>
      <c r="C2894" s="1">
        <v>44662</v>
      </c>
      <c r="D2894" s="1" t="s">
        <v>60</v>
      </c>
      <c r="E2894" s="2" t="s">
        <v>405</v>
      </c>
      <c r="F2894" s="1"/>
      <c r="G2894" s="2">
        <v>14</v>
      </c>
      <c r="H2894" s="1"/>
      <c r="I2894" t="s">
        <v>1</v>
      </c>
      <c r="J2894" t="s">
        <v>64</v>
      </c>
      <c r="K2894" t="s">
        <v>381</v>
      </c>
      <c r="L2894" t="s">
        <v>407</v>
      </c>
      <c r="M2894" s="3" t="s">
        <v>1216</v>
      </c>
    </row>
    <row r="2895" spans="1:13" x14ac:dyDescent="0.25">
      <c r="A2895" s="1" t="str">
        <f>VLOOKUP(Table2[[#This Row],[Prod Line ]],Lists!A:E,5,0)</f>
        <v>b</v>
      </c>
      <c r="B2895" s="1">
        <v>44665</v>
      </c>
      <c r="C2895" s="1">
        <v>44663</v>
      </c>
      <c r="D2895" s="1" t="s">
        <v>58</v>
      </c>
      <c r="E2895" s="2" t="s">
        <v>406</v>
      </c>
      <c r="F2895" s="1"/>
      <c r="G2895" s="2">
        <v>6</v>
      </c>
      <c r="H2895" s="1"/>
      <c r="I2895" t="s">
        <v>0</v>
      </c>
      <c r="J2895" t="s">
        <v>64</v>
      </c>
      <c r="K2895" t="s">
        <v>20</v>
      </c>
      <c r="L2895" t="s">
        <v>70</v>
      </c>
      <c r="M2895" s="3" t="s">
        <v>2236</v>
      </c>
    </row>
    <row r="2896" spans="1:13" hidden="1" x14ac:dyDescent="0.25">
      <c r="A2896" s="1" t="str">
        <f>VLOOKUP(Table2[[#This Row],[Prod Line ]],Lists!A:E,5,0)</f>
        <v>a</v>
      </c>
      <c r="B2896" s="1">
        <v>44665</v>
      </c>
      <c r="C2896" s="1">
        <v>44663</v>
      </c>
      <c r="D2896" s="1" t="s">
        <v>56</v>
      </c>
      <c r="E2896" s="2" t="s">
        <v>404</v>
      </c>
      <c r="F2896" s="1"/>
      <c r="G2896" s="2">
        <v>15</v>
      </c>
      <c r="H2896" s="1"/>
      <c r="I2896" t="s">
        <v>1</v>
      </c>
      <c r="J2896" t="s">
        <v>5</v>
      </c>
      <c r="K2896" t="s">
        <v>376</v>
      </c>
      <c r="L2896" t="s">
        <v>407</v>
      </c>
      <c r="M2896" s="3" t="s">
        <v>2237</v>
      </c>
    </row>
    <row r="2897" spans="1:13" hidden="1" x14ac:dyDescent="0.25">
      <c r="A2897" s="1" t="str">
        <f>VLOOKUP(Table2[[#This Row],[Prod Line ]],Lists!A:E,5,0)</f>
        <v>a</v>
      </c>
      <c r="B2897" s="1">
        <v>44665</v>
      </c>
      <c r="C2897" s="1">
        <v>44663</v>
      </c>
      <c r="D2897" s="1" t="s">
        <v>56</v>
      </c>
      <c r="E2897" s="2" t="s">
        <v>405</v>
      </c>
      <c r="F2897" s="1"/>
      <c r="G2897" s="2">
        <v>11</v>
      </c>
      <c r="H2897" s="1"/>
      <c r="I2897" t="s">
        <v>1</v>
      </c>
      <c r="J2897" t="s">
        <v>2</v>
      </c>
      <c r="K2897" t="s">
        <v>19</v>
      </c>
      <c r="L2897" t="s">
        <v>407</v>
      </c>
      <c r="M2897" s="3" t="s">
        <v>834</v>
      </c>
    </row>
    <row r="2898" spans="1:13" x14ac:dyDescent="0.25">
      <c r="A2898" s="1" t="str">
        <f>VLOOKUP(Table2[[#This Row],[Prod Line ]],Lists!A:E,5,0)</f>
        <v>a</v>
      </c>
      <c r="B2898" s="1">
        <v>44665</v>
      </c>
      <c r="C2898" s="1">
        <v>44663</v>
      </c>
      <c r="D2898" s="1" t="s">
        <v>56</v>
      </c>
      <c r="E2898" s="2" t="s">
        <v>404</v>
      </c>
      <c r="F2898" s="1"/>
      <c r="G2898" s="2">
        <v>8</v>
      </c>
      <c r="H2898" s="1"/>
      <c r="I2898" t="s">
        <v>0</v>
      </c>
      <c r="J2898" t="s">
        <v>2</v>
      </c>
      <c r="K2898" t="s">
        <v>19</v>
      </c>
      <c r="L2898" t="s">
        <v>70</v>
      </c>
      <c r="M2898" s="3" t="s">
        <v>2238</v>
      </c>
    </row>
    <row r="2899" spans="1:13" x14ac:dyDescent="0.25">
      <c r="A2899" s="1" t="str">
        <f>VLOOKUP(Table2[[#This Row],[Prod Line ]],Lists!A:E,5,0)</f>
        <v>a</v>
      </c>
      <c r="B2899" s="1">
        <v>44665</v>
      </c>
      <c r="C2899" s="1">
        <v>44663</v>
      </c>
      <c r="D2899" s="1" t="s">
        <v>56</v>
      </c>
      <c r="E2899" s="2" t="s">
        <v>406</v>
      </c>
      <c r="F2899" s="1"/>
      <c r="G2899" s="2">
        <v>15</v>
      </c>
      <c r="H2899" s="1"/>
      <c r="I2899" t="s">
        <v>0</v>
      </c>
      <c r="J2899" t="s">
        <v>65</v>
      </c>
      <c r="K2899" t="s">
        <v>372</v>
      </c>
      <c r="L2899" t="s">
        <v>70</v>
      </c>
      <c r="M2899" s="3" t="s">
        <v>1080</v>
      </c>
    </row>
    <row r="2900" spans="1:13" hidden="1" x14ac:dyDescent="0.25">
      <c r="A2900" s="1" t="str">
        <f>VLOOKUP(Table2[[#This Row],[Prod Line ]],Lists!A:E,5,0)</f>
        <v>a</v>
      </c>
      <c r="B2900" s="1">
        <v>44665</v>
      </c>
      <c r="C2900" s="1">
        <v>44663</v>
      </c>
      <c r="D2900" s="1" t="s">
        <v>56</v>
      </c>
      <c r="E2900" s="2" t="s">
        <v>404</v>
      </c>
      <c r="F2900" s="1"/>
      <c r="G2900" s="2">
        <v>7</v>
      </c>
      <c r="H2900" s="1"/>
      <c r="I2900" t="s">
        <v>1</v>
      </c>
      <c r="J2900" t="s">
        <v>2</v>
      </c>
      <c r="K2900" t="s">
        <v>19</v>
      </c>
      <c r="L2900" t="s">
        <v>349</v>
      </c>
      <c r="M2900" s="3" t="s">
        <v>575</v>
      </c>
    </row>
    <row r="2901" spans="1:13" hidden="1" x14ac:dyDescent="0.25">
      <c r="A2901" s="1" t="str">
        <f>VLOOKUP(Table2[[#This Row],[Prod Line ]],Lists!A:E,5,0)</f>
        <v>a</v>
      </c>
      <c r="B2901" s="1">
        <v>44665</v>
      </c>
      <c r="C2901" s="1">
        <v>44663</v>
      </c>
      <c r="D2901" s="1" t="s">
        <v>56</v>
      </c>
      <c r="E2901" s="2" t="s">
        <v>406</v>
      </c>
      <c r="F2901" s="1"/>
      <c r="G2901" s="2">
        <v>5</v>
      </c>
      <c r="H2901" s="1"/>
      <c r="I2901" t="s">
        <v>1</v>
      </c>
      <c r="J2901" t="s">
        <v>64</v>
      </c>
      <c r="K2901" t="s">
        <v>370</v>
      </c>
      <c r="L2901" t="s">
        <v>407</v>
      </c>
      <c r="M2901" s="3" t="s">
        <v>750</v>
      </c>
    </row>
    <row r="2902" spans="1:13" x14ac:dyDescent="0.25">
      <c r="A2902" s="1" t="str">
        <f>VLOOKUP(Table2[[#This Row],[Prod Line ]],Lists!A:E,5,0)</f>
        <v>a</v>
      </c>
      <c r="B2902" s="1">
        <v>44665</v>
      </c>
      <c r="C2902" s="1">
        <v>44663</v>
      </c>
      <c r="D2902" s="1" t="s">
        <v>56</v>
      </c>
      <c r="E2902" s="2" t="s">
        <v>406</v>
      </c>
      <c r="F2902" s="1"/>
      <c r="G2902" s="2">
        <v>10</v>
      </c>
      <c r="H2902" s="1"/>
      <c r="I2902" t="s">
        <v>0</v>
      </c>
      <c r="J2902" t="s">
        <v>64</v>
      </c>
      <c r="K2902" t="s">
        <v>368</v>
      </c>
      <c r="L2902" t="s">
        <v>70</v>
      </c>
      <c r="M2902" s="3" t="s">
        <v>2239</v>
      </c>
    </row>
    <row r="2903" spans="1:13" x14ac:dyDescent="0.25">
      <c r="A2903" s="1" t="str">
        <f>VLOOKUP(Table2[[#This Row],[Prod Line ]],Lists!A:E,5,0)</f>
        <v>c</v>
      </c>
      <c r="B2903" s="1">
        <v>44665</v>
      </c>
      <c r="C2903" s="1">
        <v>44663</v>
      </c>
      <c r="D2903" s="1" t="s">
        <v>60</v>
      </c>
      <c r="E2903" s="2" t="s">
        <v>404</v>
      </c>
      <c r="F2903" s="1"/>
      <c r="G2903" s="2">
        <v>45</v>
      </c>
      <c r="H2903" s="1"/>
      <c r="I2903" t="s">
        <v>0</v>
      </c>
      <c r="J2903" t="s">
        <v>2</v>
      </c>
      <c r="K2903" t="s">
        <v>378</v>
      </c>
      <c r="L2903" t="s">
        <v>70</v>
      </c>
      <c r="M2903" s="3" t="s">
        <v>2240</v>
      </c>
    </row>
    <row r="2904" spans="1:13" x14ac:dyDescent="0.25">
      <c r="A2904" s="1" t="str">
        <f>VLOOKUP(Table2[[#This Row],[Prod Line ]],Lists!A:E,5,0)</f>
        <v>c</v>
      </c>
      <c r="B2904" s="1">
        <v>44665</v>
      </c>
      <c r="C2904" s="1">
        <v>44663</v>
      </c>
      <c r="D2904" s="1" t="s">
        <v>60</v>
      </c>
      <c r="E2904" s="2" t="s">
        <v>405</v>
      </c>
      <c r="F2904" s="1"/>
      <c r="G2904" s="2">
        <v>10</v>
      </c>
      <c r="H2904" s="1"/>
      <c r="I2904" t="s">
        <v>0</v>
      </c>
      <c r="J2904" t="s">
        <v>2</v>
      </c>
      <c r="K2904" t="s">
        <v>378</v>
      </c>
      <c r="L2904" t="s">
        <v>70</v>
      </c>
      <c r="M2904" s="3" t="s">
        <v>2241</v>
      </c>
    </row>
    <row r="2905" spans="1:13" hidden="1" x14ac:dyDescent="0.25">
      <c r="A2905" s="1" t="str">
        <f>VLOOKUP(Table2[[#This Row],[Prod Line ]],Lists!A:E,5,0)</f>
        <v>c</v>
      </c>
      <c r="B2905" s="1">
        <v>44665</v>
      </c>
      <c r="C2905" s="1">
        <v>44663</v>
      </c>
      <c r="D2905" s="1" t="s">
        <v>60</v>
      </c>
      <c r="E2905" s="2" t="s">
        <v>405</v>
      </c>
      <c r="F2905" s="1"/>
      <c r="G2905" s="2">
        <v>30</v>
      </c>
      <c r="H2905" s="1"/>
      <c r="I2905" t="s">
        <v>1</v>
      </c>
      <c r="J2905" t="s">
        <v>2</v>
      </c>
      <c r="K2905" t="s">
        <v>15</v>
      </c>
      <c r="L2905" t="s">
        <v>407</v>
      </c>
      <c r="M2905" s="3" t="s">
        <v>834</v>
      </c>
    </row>
    <row r="2906" spans="1:13" hidden="1" x14ac:dyDescent="0.25">
      <c r="A2906" s="1" t="str">
        <f>VLOOKUP(Table2[[#This Row],[Prod Line ]],Lists!A:E,5,0)</f>
        <v>c</v>
      </c>
      <c r="B2906" s="1">
        <v>44665</v>
      </c>
      <c r="C2906" s="1">
        <v>44663</v>
      </c>
      <c r="D2906" s="1" t="s">
        <v>60</v>
      </c>
      <c r="E2906" s="2" t="s">
        <v>405</v>
      </c>
      <c r="F2906" s="1"/>
      <c r="G2906" s="2">
        <v>7</v>
      </c>
      <c r="H2906" s="1"/>
      <c r="I2906" t="s">
        <v>1</v>
      </c>
      <c r="J2906" t="s">
        <v>64</v>
      </c>
      <c r="K2906" t="s">
        <v>368</v>
      </c>
      <c r="L2906" t="s">
        <v>407</v>
      </c>
      <c r="M2906" s="3" t="s">
        <v>2242</v>
      </c>
    </row>
    <row r="2907" spans="1:13" hidden="1" x14ac:dyDescent="0.25">
      <c r="A2907" s="1" t="str">
        <f>VLOOKUP(Table2[[#This Row],[Prod Line ]],Lists!A:E,5,0)</f>
        <v>d</v>
      </c>
      <c r="B2907" s="1">
        <v>44666</v>
      </c>
      <c r="C2907" s="1">
        <v>44664</v>
      </c>
      <c r="D2907" s="1" t="s">
        <v>62</v>
      </c>
      <c r="E2907" s="2" t="s">
        <v>405</v>
      </c>
      <c r="F2907" s="1"/>
      <c r="G2907" s="2">
        <v>8</v>
      </c>
      <c r="H2907" s="1"/>
      <c r="I2907" t="s">
        <v>1</v>
      </c>
      <c r="J2907" t="s">
        <v>5</v>
      </c>
      <c r="K2907" t="s">
        <v>397</v>
      </c>
      <c r="L2907" t="s">
        <v>407</v>
      </c>
      <c r="M2907" s="3" t="s">
        <v>1720</v>
      </c>
    </row>
    <row r="2908" spans="1:13" hidden="1" x14ac:dyDescent="0.25">
      <c r="A2908" s="1" t="str">
        <f>VLOOKUP(Table2[[#This Row],[Prod Line ]],Lists!A:E,5,0)</f>
        <v>a</v>
      </c>
      <c r="B2908" s="1">
        <v>44666</v>
      </c>
      <c r="C2908" s="1">
        <v>44664</v>
      </c>
      <c r="D2908" s="1" t="s">
        <v>56</v>
      </c>
      <c r="E2908" s="2" t="s">
        <v>405</v>
      </c>
      <c r="F2908" s="1"/>
      <c r="G2908" s="2">
        <v>5</v>
      </c>
      <c r="H2908" s="1"/>
      <c r="I2908" t="s">
        <v>1</v>
      </c>
      <c r="J2908" t="s">
        <v>64</v>
      </c>
      <c r="K2908" t="s">
        <v>370</v>
      </c>
      <c r="L2908" t="s">
        <v>407</v>
      </c>
      <c r="M2908" s="3" t="s">
        <v>750</v>
      </c>
    </row>
    <row r="2909" spans="1:13" hidden="1" x14ac:dyDescent="0.25">
      <c r="A2909" s="1" t="str">
        <f>VLOOKUP(Table2[[#This Row],[Prod Line ]],Lists!A:E,5,0)</f>
        <v>a</v>
      </c>
      <c r="B2909" s="1">
        <v>44666</v>
      </c>
      <c r="C2909" s="1">
        <v>44664</v>
      </c>
      <c r="D2909" s="1" t="s">
        <v>56</v>
      </c>
      <c r="E2909" s="2" t="s">
        <v>405</v>
      </c>
      <c r="F2909" s="1"/>
      <c r="G2909" s="2">
        <v>7</v>
      </c>
      <c r="H2909" s="1"/>
      <c r="I2909" t="s">
        <v>1</v>
      </c>
      <c r="J2909" t="s">
        <v>5</v>
      </c>
      <c r="K2909" t="s">
        <v>376</v>
      </c>
      <c r="L2909" t="s">
        <v>407</v>
      </c>
      <c r="M2909" s="3" t="s">
        <v>2243</v>
      </c>
    </row>
    <row r="2910" spans="1:13" hidden="1" x14ac:dyDescent="0.25">
      <c r="A2910" s="1" t="str">
        <f>VLOOKUP(Table2[[#This Row],[Prod Line ]],Lists!A:E,5,0)</f>
        <v>a</v>
      </c>
      <c r="B2910" s="1">
        <v>44666</v>
      </c>
      <c r="C2910" s="1">
        <v>44664</v>
      </c>
      <c r="D2910" s="1" t="s">
        <v>56</v>
      </c>
      <c r="E2910" s="2" t="s">
        <v>406</v>
      </c>
      <c r="F2910" s="1"/>
      <c r="G2910" s="2">
        <v>10</v>
      </c>
      <c r="H2910" s="1"/>
      <c r="I2910" t="s">
        <v>1</v>
      </c>
      <c r="J2910" t="s">
        <v>2</v>
      </c>
      <c r="K2910" t="s">
        <v>19</v>
      </c>
      <c r="L2910" t="s">
        <v>349</v>
      </c>
      <c r="M2910" s="3" t="s">
        <v>575</v>
      </c>
    </row>
    <row r="2911" spans="1:13" hidden="1" x14ac:dyDescent="0.25">
      <c r="A2911" s="1" t="str">
        <f>VLOOKUP(Table2[[#This Row],[Prod Line ]],Lists!A:E,5,0)</f>
        <v>b</v>
      </c>
      <c r="B2911" s="1">
        <v>44666</v>
      </c>
      <c r="C2911" s="1">
        <v>44664</v>
      </c>
      <c r="D2911" s="1" t="s">
        <v>58</v>
      </c>
      <c r="E2911" s="2" t="s">
        <v>406</v>
      </c>
      <c r="F2911" s="1"/>
      <c r="G2911" s="2">
        <v>9</v>
      </c>
      <c r="H2911" s="1"/>
      <c r="I2911" t="s">
        <v>1</v>
      </c>
      <c r="J2911" t="s">
        <v>65</v>
      </c>
      <c r="K2911" t="s">
        <v>27</v>
      </c>
      <c r="L2911" t="s">
        <v>441</v>
      </c>
      <c r="M2911" s="3" t="s">
        <v>612</v>
      </c>
    </row>
    <row r="2912" spans="1:13" hidden="1" x14ac:dyDescent="0.25">
      <c r="A2912" s="1" t="str">
        <f>VLOOKUP(Table2[[#This Row],[Prod Line ]],Lists!A:E,5,0)</f>
        <v>b</v>
      </c>
      <c r="B2912" s="1">
        <v>44666</v>
      </c>
      <c r="C2912" s="1">
        <v>44664</v>
      </c>
      <c r="D2912" s="1" t="s">
        <v>58</v>
      </c>
      <c r="E2912" s="2" t="s">
        <v>406</v>
      </c>
      <c r="F2912" s="1"/>
      <c r="G2912" s="2">
        <v>6</v>
      </c>
      <c r="H2912" s="1"/>
      <c r="I2912" t="s">
        <v>1</v>
      </c>
      <c r="J2912" t="s">
        <v>2</v>
      </c>
      <c r="K2912" t="s">
        <v>19</v>
      </c>
      <c r="L2912" t="s">
        <v>349</v>
      </c>
      <c r="M2912" s="3" t="s">
        <v>575</v>
      </c>
    </row>
    <row r="2913" spans="1:13" hidden="1" x14ac:dyDescent="0.25">
      <c r="A2913" s="1" t="str">
        <f>VLOOKUP(Table2[[#This Row],[Prod Line ]],Lists!A:E,5,0)</f>
        <v>b</v>
      </c>
      <c r="B2913" s="1">
        <v>44666</v>
      </c>
      <c r="C2913" s="1">
        <v>44664</v>
      </c>
      <c r="D2913" s="1" t="s">
        <v>58</v>
      </c>
      <c r="E2913" s="2" t="s">
        <v>405</v>
      </c>
      <c r="F2913" s="1"/>
      <c r="G2913" s="2">
        <v>2</v>
      </c>
      <c r="H2913" s="1"/>
      <c r="I2913" t="s">
        <v>1</v>
      </c>
      <c r="J2913" t="s">
        <v>65</v>
      </c>
      <c r="K2913" t="s">
        <v>27</v>
      </c>
      <c r="L2913" t="s">
        <v>441</v>
      </c>
      <c r="M2913" s="3" t="s">
        <v>612</v>
      </c>
    </row>
    <row r="2914" spans="1:13" x14ac:dyDescent="0.25">
      <c r="A2914" s="1" t="str">
        <f>VLOOKUP(Table2[[#This Row],[Prod Line ]],Lists!A:E,5,0)</f>
        <v>b</v>
      </c>
      <c r="B2914" s="1">
        <v>44667</v>
      </c>
      <c r="C2914" s="1">
        <v>44665</v>
      </c>
      <c r="D2914" s="1" t="s">
        <v>58</v>
      </c>
      <c r="E2914" s="2" t="s">
        <v>405</v>
      </c>
      <c r="F2914" s="1"/>
      <c r="G2914" s="2">
        <v>8</v>
      </c>
      <c r="H2914" s="1"/>
      <c r="I2914" t="s">
        <v>0</v>
      </c>
      <c r="J2914" t="s">
        <v>26</v>
      </c>
      <c r="K2914" t="s">
        <v>25</v>
      </c>
      <c r="L2914" t="s">
        <v>70</v>
      </c>
      <c r="M2914" s="3" t="s">
        <v>2244</v>
      </c>
    </row>
    <row r="2915" spans="1:13" x14ac:dyDescent="0.25">
      <c r="A2915" s="1" t="str">
        <f>VLOOKUP(Table2[[#This Row],[Prod Line ]],Lists!A:E,5,0)</f>
        <v>d</v>
      </c>
      <c r="B2915" s="1">
        <v>44667</v>
      </c>
      <c r="C2915" s="1">
        <v>44665</v>
      </c>
      <c r="D2915" s="1" t="s">
        <v>62</v>
      </c>
      <c r="E2915" s="2" t="s">
        <v>406</v>
      </c>
      <c r="F2915" s="1"/>
      <c r="G2915" s="2">
        <v>5</v>
      </c>
      <c r="H2915" s="1"/>
      <c r="I2915" t="s">
        <v>0</v>
      </c>
      <c r="J2915" t="s">
        <v>5</v>
      </c>
      <c r="K2915" t="s">
        <v>397</v>
      </c>
      <c r="L2915" t="s">
        <v>70</v>
      </c>
      <c r="M2915" s="3" t="s">
        <v>1016</v>
      </c>
    </row>
    <row r="2916" spans="1:13" hidden="1" x14ac:dyDescent="0.25">
      <c r="A2916" s="1" t="str">
        <f>VLOOKUP(Table2[[#This Row],[Prod Line ]],Lists!A:E,5,0)</f>
        <v>d</v>
      </c>
      <c r="B2916" s="1">
        <v>44667</v>
      </c>
      <c r="C2916" s="1">
        <v>44665</v>
      </c>
      <c r="D2916" s="1" t="s">
        <v>62</v>
      </c>
      <c r="E2916" s="2" t="s">
        <v>404</v>
      </c>
      <c r="F2916" s="1"/>
      <c r="G2916" s="2">
        <v>11</v>
      </c>
      <c r="H2916" s="1"/>
      <c r="I2916" t="s">
        <v>1</v>
      </c>
      <c r="J2916" t="s">
        <v>2</v>
      </c>
      <c r="K2916" t="s">
        <v>19</v>
      </c>
      <c r="L2916" t="s">
        <v>344</v>
      </c>
      <c r="M2916" s="3" t="s">
        <v>2245</v>
      </c>
    </row>
    <row r="2917" spans="1:13" hidden="1" x14ac:dyDescent="0.25">
      <c r="A2917" s="1" t="str">
        <f>VLOOKUP(Table2[[#This Row],[Prod Line ]],Lists!A:E,5,0)</f>
        <v>a</v>
      </c>
      <c r="B2917" s="1">
        <v>44667</v>
      </c>
      <c r="C2917" s="1">
        <v>44665</v>
      </c>
      <c r="D2917" s="1" t="s">
        <v>56</v>
      </c>
      <c r="E2917" s="2" t="s">
        <v>404</v>
      </c>
      <c r="F2917" s="1"/>
      <c r="G2917" s="2">
        <v>13</v>
      </c>
      <c r="H2917" s="1"/>
      <c r="I2917" t="s">
        <v>1</v>
      </c>
      <c r="J2917" t="s">
        <v>2</v>
      </c>
      <c r="K2917" t="s">
        <v>19</v>
      </c>
      <c r="L2917" t="s">
        <v>344</v>
      </c>
      <c r="M2917" s="3" t="s">
        <v>2143</v>
      </c>
    </row>
    <row r="2918" spans="1:13" hidden="1" x14ac:dyDescent="0.25">
      <c r="A2918" s="1" t="str">
        <f>VLOOKUP(Table2[[#This Row],[Prod Line ]],Lists!A:E,5,0)</f>
        <v>b</v>
      </c>
      <c r="B2918" s="1">
        <v>44667</v>
      </c>
      <c r="C2918" s="1">
        <v>44666</v>
      </c>
      <c r="D2918" s="1" t="s">
        <v>58</v>
      </c>
      <c r="E2918" s="2" t="s">
        <v>404</v>
      </c>
      <c r="F2918" s="1"/>
      <c r="G2918" s="2">
        <v>16</v>
      </c>
      <c r="H2918" s="1"/>
      <c r="I2918" t="s">
        <v>1</v>
      </c>
      <c r="J2918" t="s">
        <v>64</v>
      </c>
      <c r="K2918" t="s">
        <v>21</v>
      </c>
      <c r="L2918" t="s">
        <v>72</v>
      </c>
      <c r="M2918" s="3" t="s">
        <v>2246</v>
      </c>
    </row>
    <row r="2919" spans="1:13" hidden="1" x14ac:dyDescent="0.25">
      <c r="A2919" s="1" t="str">
        <f>VLOOKUP(Table2[[#This Row],[Prod Line ]],Lists!A:E,5,0)</f>
        <v>d</v>
      </c>
      <c r="B2919" s="1">
        <v>44670</v>
      </c>
      <c r="C2919" s="1">
        <v>44668</v>
      </c>
      <c r="D2919" s="1" t="s">
        <v>62</v>
      </c>
      <c r="E2919" s="2" t="s">
        <v>406</v>
      </c>
      <c r="F2919" s="1"/>
      <c r="G2919" s="2">
        <v>17</v>
      </c>
      <c r="H2919" s="1"/>
      <c r="I2919" t="s">
        <v>1</v>
      </c>
      <c r="J2919" t="s">
        <v>2</v>
      </c>
      <c r="K2919" t="s">
        <v>19</v>
      </c>
      <c r="L2919" t="s">
        <v>407</v>
      </c>
      <c r="M2919" s="3" t="s">
        <v>834</v>
      </c>
    </row>
    <row r="2920" spans="1:13" x14ac:dyDescent="0.25">
      <c r="A2920" s="1" t="str">
        <f>VLOOKUP(Table2[[#This Row],[Prod Line ]],Lists!A:E,5,0)</f>
        <v>d</v>
      </c>
      <c r="B2920" s="1">
        <v>44670</v>
      </c>
      <c r="C2920" s="1">
        <v>44668</v>
      </c>
      <c r="D2920" s="1" t="s">
        <v>62</v>
      </c>
      <c r="E2920" s="2" t="s">
        <v>404</v>
      </c>
      <c r="F2920" s="1"/>
      <c r="G2920" s="2">
        <v>8</v>
      </c>
      <c r="H2920" s="1"/>
      <c r="I2920" t="s">
        <v>0</v>
      </c>
      <c r="J2920" t="s">
        <v>5</v>
      </c>
      <c r="K2920" t="s">
        <v>397</v>
      </c>
      <c r="L2920" t="s">
        <v>70</v>
      </c>
      <c r="M2920" s="3" t="s">
        <v>2247</v>
      </c>
    </row>
    <row r="2921" spans="1:13" hidden="1" x14ac:dyDescent="0.25">
      <c r="A2921" s="1" t="str">
        <f>VLOOKUP(Table2[[#This Row],[Prod Line ]],Lists!A:E,5,0)</f>
        <v>d</v>
      </c>
      <c r="B2921" s="1">
        <v>44670</v>
      </c>
      <c r="C2921" s="1">
        <v>44668</v>
      </c>
      <c r="D2921" s="1" t="s">
        <v>62</v>
      </c>
      <c r="E2921" s="2" t="s">
        <v>406</v>
      </c>
      <c r="F2921" s="1"/>
      <c r="G2921" s="2">
        <v>5</v>
      </c>
      <c r="H2921" s="1"/>
      <c r="I2921" t="s">
        <v>1</v>
      </c>
      <c r="J2921" t="s">
        <v>2</v>
      </c>
      <c r="K2921" t="s">
        <v>19</v>
      </c>
      <c r="L2921" t="s">
        <v>349</v>
      </c>
      <c r="M2921" s="3" t="s">
        <v>575</v>
      </c>
    </row>
    <row r="2922" spans="1:13" hidden="1" x14ac:dyDescent="0.25">
      <c r="A2922" s="1" t="str">
        <f>VLOOKUP(Table2[[#This Row],[Prod Line ]],Lists!A:E,5,0)</f>
        <v>a</v>
      </c>
      <c r="B2922" s="1">
        <v>44670</v>
      </c>
      <c r="C2922" s="1">
        <v>44668</v>
      </c>
      <c r="D2922" s="1" t="s">
        <v>56</v>
      </c>
      <c r="E2922" s="2" t="s">
        <v>405</v>
      </c>
      <c r="F2922" s="1"/>
      <c r="G2922" s="2">
        <v>10</v>
      </c>
      <c r="H2922" s="1"/>
      <c r="I2922" t="s">
        <v>1</v>
      </c>
      <c r="J2922" t="s">
        <v>2</v>
      </c>
      <c r="K2922" t="s">
        <v>19</v>
      </c>
      <c r="L2922" t="s">
        <v>407</v>
      </c>
      <c r="M2922" s="3" t="s">
        <v>834</v>
      </c>
    </row>
    <row r="2923" spans="1:13" hidden="1" x14ac:dyDescent="0.25">
      <c r="A2923" s="1" t="str">
        <f>VLOOKUP(Table2[[#This Row],[Prod Line ]],Lists!A:E,5,0)</f>
        <v>a</v>
      </c>
      <c r="B2923" s="1">
        <v>44670</v>
      </c>
      <c r="C2923" s="1">
        <v>44668</v>
      </c>
      <c r="D2923" s="1" t="s">
        <v>56</v>
      </c>
      <c r="E2923" s="2" t="s">
        <v>405</v>
      </c>
      <c r="F2923" s="1"/>
      <c r="G2923" s="2">
        <v>15</v>
      </c>
      <c r="H2923" s="1"/>
      <c r="I2923" t="s">
        <v>1</v>
      </c>
      <c r="J2923" t="s">
        <v>64</v>
      </c>
      <c r="K2923" t="s">
        <v>370</v>
      </c>
      <c r="L2923" t="s">
        <v>407</v>
      </c>
      <c r="M2923" s="3" t="s">
        <v>750</v>
      </c>
    </row>
    <row r="2924" spans="1:13" hidden="1" x14ac:dyDescent="0.25">
      <c r="A2924" s="1" t="str">
        <f>VLOOKUP(Table2[[#This Row],[Prod Line ]],Lists!A:E,5,0)</f>
        <v>a</v>
      </c>
      <c r="B2924" s="1">
        <v>44670</v>
      </c>
      <c r="C2924" s="1">
        <v>44668</v>
      </c>
      <c r="D2924" s="1" t="s">
        <v>56</v>
      </c>
      <c r="E2924" s="2" t="s">
        <v>405</v>
      </c>
      <c r="F2924" s="1"/>
      <c r="G2924" s="2">
        <v>11</v>
      </c>
      <c r="H2924" s="1"/>
      <c r="I2924" t="s">
        <v>1</v>
      </c>
      <c r="J2924" t="s">
        <v>64</v>
      </c>
      <c r="K2924" t="s">
        <v>368</v>
      </c>
      <c r="L2924" t="s">
        <v>407</v>
      </c>
      <c r="M2924" s="3" t="s">
        <v>2248</v>
      </c>
    </row>
    <row r="2925" spans="1:13" hidden="1" x14ac:dyDescent="0.25">
      <c r="A2925" s="1" t="str">
        <f>VLOOKUP(Table2[[#This Row],[Prod Line ]],Lists!A:E,5,0)</f>
        <v>a</v>
      </c>
      <c r="B2925" s="1">
        <v>44670</v>
      </c>
      <c r="C2925" s="1">
        <v>44668</v>
      </c>
      <c r="D2925" s="1" t="s">
        <v>56</v>
      </c>
      <c r="E2925" s="2" t="s">
        <v>406</v>
      </c>
      <c r="F2925" s="1"/>
      <c r="G2925" s="2">
        <v>7</v>
      </c>
      <c r="H2925" s="1"/>
      <c r="I2925" t="s">
        <v>1</v>
      </c>
      <c r="J2925" t="s">
        <v>64</v>
      </c>
      <c r="K2925" t="s">
        <v>370</v>
      </c>
      <c r="L2925" t="s">
        <v>407</v>
      </c>
      <c r="M2925" s="3" t="s">
        <v>750</v>
      </c>
    </row>
    <row r="2926" spans="1:13" hidden="1" x14ac:dyDescent="0.25">
      <c r="A2926" s="1" t="str">
        <f>VLOOKUP(Table2[[#This Row],[Prod Line ]],Lists!A:E,5,0)</f>
        <v>a</v>
      </c>
      <c r="B2926" s="1">
        <v>44670</v>
      </c>
      <c r="C2926" s="1">
        <v>44668</v>
      </c>
      <c r="D2926" s="1" t="s">
        <v>56</v>
      </c>
      <c r="E2926" s="2" t="s">
        <v>406</v>
      </c>
      <c r="F2926" s="1"/>
      <c r="G2926" s="2">
        <v>5</v>
      </c>
      <c r="H2926" s="1"/>
      <c r="I2926" t="s">
        <v>1</v>
      </c>
      <c r="J2926" t="s">
        <v>64</v>
      </c>
      <c r="K2926" t="s">
        <v>370</v>
      </c>
      <c r="L2926" t="s">
        <v>407</v>
      </c>
      <c r="M2926" s="3" t="s">
        <v>750</v>
      </c>
    </row>
    <row r="2927" spans="1:13" hidden="1" x14ac:dyDescent="0.25">
      <c r="A2927" s="1" t="str">
        <f>VLOOKUP(Table2[[#This Row],[Prod Line ]],Lists!A:E,5,0)</f>
        <v>a</v>
      </c>
      <c r="B2927" s="1">
        <v>44670</v>
      </c>
      <c r="C2927" s="1">
        <v>44668</v>
      </c>
      <c r="D2927" s="1" t="s">
        <v>56</v>
      </c>
      <c r="E2927" s="2" t="s">
        <v>404</v>
      </c>
      <c r="F2927" s="1"/>
      <c r="G2927" s="2">
        <v>15</v>
      </c>
      <c r="H2927" s="1"/>
      <c r="I2927" t="s">
        <v>1</v>
      </c>
      <c r="J2927" t="s">
        <v>64</v>
      </c>
      <c r="K2927" t="s">
        <v>370</v>
      </c>
      <c r="L2927" t="s">
        <v>407</v>
      </c>
      <c r="M2927" s="3" t="s">
        <v>750</v>
      </c>
    </row>
    <row r="2928" spans="1:13" hidden="1" x14ac:dyDescent="0.25">
      <c r="A2928" s="1" t="str">
        <f>VLOOKUP(Table2[[#This Row],[Prod Line ]],Lists!A:E,5,0)</f>
        <v>a</v>
      </c>
      <c r="B2928" s="1">
        <v>44671</v>
      </c>
      <c r="C2928" s="1">
        <v>44669</v>
      </c>
      <c r="D2928" s="1" t="s">
        <v>56</v>
      </c>
      <c r="E2928" s="2" t="s">
        <v>406</v>
      </c>
      <c r="F2928" s="1"/>
      <c r="G2928" s="2">
        <v>26</v>
      </c>
      <c r="H2928" s="1"/>
      <c r="I2928" t="s">
        <v>1</v>
      </c>
      <c r="J2928" t="s">
        <v>64</v>
      </c>
      <c r="K2928" t="s">
        <v>370</v>
      </c>
      <c r="L2928" t="s">
        <v>407</v>
      </c>
      <c r="M2928" s="3" t="s">
        <v>750</v>
      </c>
    </row>
    <row r="2929" spans="1:13" hidden="1" x14ac:dyDescent="0.25">
      <c r="A2929" s="1" t="str">
        <f>VLOOKUP(Table2[[#This Row],[Prod Line ]],Lists!A:E,5,0)</f>
        <v>a</v>
      </c>
      <c r="B2929" s="1">
        <v>44671</v>
      </c>
      <c r="C2929" s="1">
        <v>44669</v>
      </c>
      <c r="D2929" s="1" t="s">
        <v>56</v>
      </c>
      <c r="E2929" s="2" t="s">
        <v>406</v>
      </c>
      <c r="F2929" s="1"/>
      <c r="G2929" s="2">
        <v>7</v>
      </c>
      <c r="H2929" s="1"/>
      <c r="I2929" t="s">
        <v>1</v>
      </c>
      <c r="J2929" t="s">
        <v>2</v>
      </c>
      <c r="K2929" t="s">
        <v>19</v>
      </c>
      <c r="L2929" t="s">
        <v>349</v>
      </c>
      <c r="M2929" s="3" t="s">
        <v>575</v>
      </c>
    </row>
    <row r="2930" spans="1:13" hidden="1" x14ac:dyDescent="0.25">
      <c r="A2930" s="1" t="str">
        <f>VLOOKUP(Table2[[#This Row],[Prod Line ]],Lists!A:E,5,0)</f>
        <v>b</v>
      </c>
      <c r="B2930" s="1">
        <v>44671</v>
      </c>
      <c r="C2930" s="1">
        <v>44669</v>
      </c>
      <c r="D2930" s="1" t="s">
        <v>58</v>
      </c>
      <c r="E2930" s="2" t="s">
        <v>405</v>
      </c>
      <c r="F2930" s="1"/>
      <c r="G2930" s="2">
        <v>10</v>
      </c>
      <c r="H2930" s="1"/>
      <c r="I2930" t="s">
        <v>1</v>
      </c>
      <c r="J2930" t="s">
        <v>65</v>
      </c>
      <c r="K2930" t="s">
        <v>3</v>
      </c>
      <c r="L2930" t="s">
        <v>441</v>
      </c>
      <c r="M2930" s="3" t="s">
        <v>612</v>
      </c>
    </row>
    <row r="2931" spans="1:13" hidden="1" x14ac:dyDescent="0.25">
      <c r="A2931" s="1" t="str">
        <f>VLOOKUP(Table2[[#This Row],[Prod Line ]],Lists!A:E,5,0)</f>
        <v>d</v>
      </c>
      <c r="B2931" s="1">
        <v>44671</v>
      </c>
      <c r="C2931" s="1">
        <v>44669</v>
      </c>
      <c r="D2931" s="1" t="s">
        <v>62</v>
      </c>
      <c r="E2931" s="2" t="s">
        <v>404</v>
      </c>
      <c r="F2931" s="1"/>
      <c r="G2931" s="2">
        <v>60</v>
      </c>
      <c r="H2931" s="1"/>
      <c r="I2931" t="s">
        <v>1</v>
      </c>
      <c r="J2931" t="s">
        <v>2</v>
      </c>
      <c r="K2931" t="s">
        <v>17</v>
      </c>
      <c r="L2931" t="s">
        <v>407</v>
      </c>
      <c r="M2931" s="3" t="s">
        <v>834</v>
      </c>
    </row>
    <row r="2932" spans="1:13" hidden="1" x14ac:dyDescent="0.25">
      <c r="A2932" s="1" t="str">
        <f>VLOOKUP(Table2[[#This Row],[Prod Line ]],Lists!A:E,5,0)</f>
        <v>d</v>
      </c>
      <c r="B2932" s="1">
        <v>44671</v>
      </c>
      <c r="C2932" s="1">
        <v>44669</v>
      </c>
      <c r="D2932" s="1" t="s">
        <v>62</v>
      </c>
      <c r="E2932" s="2" t="s">
        <v>404</v>
      </c>
      <c r="F2932" s="1"/>
      <c r="G2932" s="2">
        <v>19</v>
      </c>
      <c r="H2932" s="1"/>
      <c r="I2932" t="s">
        <v>1</v>
      </c>
      <c r="J2932" t="s">
        <v>5</v>
      </c>
      <c r="K2932" t="s">
        <v>397</v>
      </c>
      <c r="L2932" t="s">
        <v>407</v>
      </c>
      <c r="M2932" s="3" t="s">
        <v>1217</v>
      </c>
    </row>
    <row r="2933" spans="1:13" hidden="1" x14ac:dyDescent="0.25">
      <c r="A2933" s="1" t="str">
        <f>VLOOKUP(Table2[[#This Row],[Prod Line ]],Lists!A:E,5,0)</f>
        <v>d</v>
      </c>
      <c r="B2933" s="1">
        <v>44672</v>
      </c>
      <c r="C2933" s="1">
        <v>44670</v>
      </c>
      <c r="D2933" s="1" t="s">
        <v>62</v>
      </c>
      <c r="E2933" s="2" t="s">
        <v>404</v>
      </c>
      <c r="F2933" s="1"/>
      <c r="G2933" s="2">
        <v>5</v>
      </c>
      <c r="H2933" s="1"/>
      <c r="I2933" t="s">
        <v>1</v>
      </c>
      <c r="J2933" t="s">
        <v>2</v>
      </c>
      <c r="K2933" t="s">
        <v>19</v>
      </c>
      <c r="L2933" t="s">
        <v>407</v>
      </c>
      <c r="M2933" s="3" t="s">
        <v>834</v>
      </c>
    </row>
    <row r="2934" spans="1:13" hidden="1" x14ac:dyDescent="0.25">
      <c r="A2934" s="1" t="str">
        <f>VLOOKUP(Table2[[#This Row],[Prod Line ]],Lists!A:E,5,0)</f>
        <v>d</v>
      </c>
      <c r="B2934" s="1">
        <v>44672</v>
      </c>
      <c r="C2934" s="1">
        <v>44670</v>
      </c>
      <c r="D2934" s="1" t="s">
        <v>62</v>
      </c>
      <c r="E2934" s="2" t="s">
        <v>405</v>
      </c>
      <c r="F2934" s="1"/>
      <c r="G2934" s="2">
        <v>2</v>
      </c>
      <c r="H2934" s="1"/>
      <c r="I2934" t="s">
        <v>1</v>
      </c>
      <c r="J2934" t="s">
        <v>64</v>
      </c>
      <c r="K2934" t="s">
        <v>379</v>
      </c>
      <c r="L2934" t="s">
        <v>407</v>
      </c>
      <c r="M2934" s="3" t="s">
        <v>750</v>
      </c>
    </row>
    <row r="2935" spans="1:13" x14ac:dyDescent="0.25">
      <c r="A2935" s="1" t="str">
        <f>VLOOKUP(Table2[[#This Row],[Prod Line ]],Lists!A:E,5,0)</f>
        <v>a</v>
      </c>
      <c r="B2935" s="1">
        <v>44672</v>
      </c>
      <c r="C2935" s="1">
        <v>44670</v>
      </c>
      <c r="D2935" s="1" t="s">
        <v>56</v>
      </c>
      <c r="E2935" s="2" t="s">
        <v>406</v>
      </c>
      <c r="F2935" s="1"/>
      <c r="G2935" s="2">
        <v>74</v>
      </c>
      <c r="H2935" s="1"/>
      <c r="I2935" t="s">
        <v>0</v>
      </c>
      <c r="J2935" t="s">
        <v>64</v>
      </c>
      <c r="K2935" t="s">
        <v>370</v>
      </c>
      <c r="L2935" t="s">
        <v>70</v>
      </c>
      <c r="M2935" s="3" t="s">
        <v>2249</v>
      </c>
    </row>
    <row r="2936" spans="1:13" x14ac:dyDescent="0.25">
      <c r="A2936" s="1" t="str">
        <f>VLOOKUP(Table2[[#This Row],[Prod Line ]],Lists!A:E,5,0)</f>
        <v>a</v>
      </c>
      <c r="B2936" s="1">
        <v>44672</v>
      </c>
      <c r="C2936" s="1">
        <v>44670</v>
      </c>
      <c r="D2936" s="1" t="s">
        <v>56</v>
      </c>
      <c r="E2936" s="2" t="s">
        <v>406</v>
      </c>
      <c r="F2936" s="1"/>
      <c r="G2936" s="2">
        <v>10</v>
      </c>
      <c r="H2936" s="1"/>
      <c r="I2936" t="s">
        <v>0</v>
      </c>
      <c r="J2936" t="s">
        <v>64</v>
      </c>
      <c r="K2936" t="s">
        <v>370</v>
      </c>
      <c r="L2936" t="s">
        <v>70</v>
      </c>
      <c r="M2936" s="3" t="s">
        <v>2250</v>
      </c>
    </row>
    <row r="2937" spans="1:13" hidden="1" x14ac:dyDescent="0.25">
      <c r="A2937" s="1" t="str">
        <f>VLOOKUP(Table2[[#This Row],[Prod Line ]],Lists!A:E,5,0)</f>
        <v>a</v>
      </c>
      <c r="B2937" s="1">
        <v>44672</v>
      </c>
      <c r="C2937" s="1">
        <v>44670</v>
      </c>
      <c r="D2937" s="1" t="s">
        <v>56</v>
      </c>
      <c r="E2937" s="2" t="s">
        <v>406</v>
      </c>
      <c r="F2937" s="1"/>
      <c r="G2937" s="2">
        <v>8</v>
      </c>
      <c r="H2937" s="1"/>
      <c r="I2937" t="s">
        <v>1</v>
      </c>
      <c r="J2937" t="s">
        <v>64</v>
      </c>
      <c r="K2937" t="s">
        <v>370</v>
      </c>
      <c r="L2937" t="s">
        <v>407</v>
      </c>
      <c r="M2937" s="3" t="s">
        <v>750</v>
      </c>
    </row>
    <row r="2938" spans="1:13" x14ac:dyDescent="0.25">
      <c r="A2938" s="1" t="str">
        <f>VLOOKUP(Table2[[#This Row],[Prod Line ]],Lists!A:E,5,0)</f>
        <v>a</v>
      </c>
      <c r="B2938" s="1">
        <v>44673</v>
      </c>
      <c r="C2938" s="1">
        <v>44671</v>
      </c>
      <c r="D2938" s="1" t="s">
        <v>56</v>
      </c>
      <c r="E2938" s="2" t="s">
        <v>404</v>
      </c>
      <c r="F2938" s="1"/>
      <c r="G2938" s="2">
        <v>7</v>
      </c>
      <c r="H2938" s="1"/>
      <c r="I2938" t="s">
        <v>0</v>
      </c>
      <c r="J2938" t="s">
        <v>65</v>
      </c>
      <c r="K2938" t="s">
        <v>372</v>
      </c>
      <c r="L2938" t="s">
        <v>70</v>
      </c>
      <c r="M2938" s="3" t="s">
        <v>1080</v>
      </c>
    </row>
    <row r="2939" spans="1:13" hidden="1" x14ac:dyDescent="0.25">
      <c r="A2939" s="1" t="str">
        <f>VLOOKUP(Table2[[#This Row],[Prod Line ]],Lists!A:E,5,0)</f>
        <v>a</v>
      </c>
      <c r="B2939" s="1">
        <v>44673</v>
      </c>
      <c r="C2939" s="1">
        <v>44671</v>
      </c>
      <c r="D2939" s="1" t="s">
        <v>56</v>
      </c>
      <c r="E2939" s="2" t="s">
        <v>404</v>
      </c>
      <c r="F2939" s="1"/>
      <c r="G2939" s="2">
        <v>15</v>
      </c>
      <c r="H2939" s="1"/>
      <c r="I2939" t="s">
        <v>1</v>
      </c>
      <c r="J2939" t="s">
        <v>64</v>
      </c>
      <c r="K2939" t="s">
        <v>370</v>
      </c>
      <c r="L2939" t="s">
        <v>407</v>
      </c>
      <c r="M2939" s="3" t="s">
        <v>1220</v>
      </c>
    </row>
    <row r="2940" spans="1:13" hidden="1" x14ac:dyDescent="0.25">
      <c r="A2940" s="1" t="str">
        <f>VLOOKUP(Table2[[#This Row],[Prod Line ]],Lists!A:E,5,0)</f>
        <v>d</v>
      </c>
      <c r="B2940" s="1">
        <v>44673</v>
      </c>
      <c r="C2940" s="1">
        <v>44671</v>
      </c>
      <c r="D2940" s="1" t="s">
        <v>62</v>
      </c>
      <c r="E2940" s="2" t="s">
        <v>405</v>
      </c>
      <c r="F2940" s="1"/>
      <c r="G2940" s="2">
        <v>5</v>
      </c>
      <c r="H2940" s="1"/>
      <c r="I2940" t="s">
        <v>1</v>
      </c>
      <c r="J2940" t="s">
        <v>2</v>
      </c>
      <c r="K2940" t="s">
        <v>19</v>
      </c>
      <c r="L2940" t="s">
        <v>349</v>
      </c>
      <c r="M2940" s="3" t="s">
        <v>575</v>
      </c>
    </row>
    <row r="2941" spans="1:13" x14ac:dyDescent="0.25">
      <c r="A2941" s="1" t="str">
        <f>VLOOKUP(Table2[[#This Row],[Prod Line ]],Lists!A:E,5,0)</f>
        <v>b</v>
      </c>
      <c r="B2941" s="1">
        <v>44674</v>
      </c>
      <c r="C2941" s="1">
        <v>44672</v>
      </c>
      <c r="D2941" s="1" t="s">
        <v>58</v>
      </c>
      <c r="E2941" s="2" t="s">
        <v>406</v>
      </c>
      <c r="F2941" s="1"/>
      <c r="G2941" s="2">
        <v>12</v>
      </c>
      <c r="H2941" s="1"/>
      <c r="I2941" t="s">
        <v>0</v>
      </c>
      <c r="J2941" t="s">
        <v>65</v>
      </c>
      <c r="K2941" t="s">
        <v>3</v>
      </c>
      <c r="L2941" t="s">
        <v>70</v>
      </c>
      <c r="M2941" s="3" t="s">
        <v>2251</v>
      </c>
    </row>
    <row r="2942" spans="1:13" hidden="1" x14ac:dyDescent="0.25">
      <c r="A2942" s="1" t="str">
        <f>VLOOKUP(Table2[[#This Row],[Prod Line ]],Lists!A:E,5,0)</f>
        <v>d</v>
      </c>
      <c r="B2942" s="1">
        <v>44674</v>
      </c>
      <c r="C2942" s="1">
        <v>44673</v>
      </c>
      <c r="D2942" s="1" t="s">
        <v>62</v>
      </c>
      <c r="E2942" s="2" t="s">
        <v>405</v>
      </c>
      <c r="F2942" s="1"/>
      <c r="G2942" s="2">
        <v>16</v>
      </c>
      <c r="H2942" s="1"/>
      <c r="I2942" t="s">
        <v>1</v>
      </c>
      <c r="J2942" t="s">
        <v>5</v>
      </c>
      <c r="K2942" t="s">
        <v>397</v>
      </c>
      <c r="L2942" t="s">
        <v>344</v>
      </c>
      <c r="M2942" s="3" t="s">
        <v>1217</v>
      </c>
    </row>
    <row r="2943" spans="1:13" hidden="1" x14ac:dyDescent="0.25">
      <c r="A2943" s="1" t="str">
        <f>VLOOKUP(Table2[[#This Row],[Prod Line ]],Lists!A:E,5,0)</f>
        <v>d</v>
      </c>
      <c r="B2943" s="1">
        <v>44674</v>
      </c>
      <c r="C2943" s="1">
        <v>44673</v>
      </c>
      <c r="D2943" s="1" t="s">
        <v>62</v>
      </c>
      <c r="E2943" s="2" t="s">
        <v>405</v>
      </c>
      <c r="F2943" s="1"/>
      <c r="G2943" s="2">
        <v>2</v>
      </c>
      <c r="H2943" s="1"/>
      <c r="I2943" t="s">
        <v>1</v>
      </c>
      <c r="J2943" t="s">
        <v>64</v>
      </c>
      <c r="K2943" t="s">
        <v>379</v>
      </c>
      <c r="L2943" t="s">
        <v>72</v>
      </c>
      <c r="M2943" s="3" t="s">
        <v>2252</v>
      </c>
    </row>
    <row r="2944" spans="1:13" hidden="1" x14ac:dyDescent="0.25">
      <c r="A2944" s="1" t="str">
        <f>VLOOKUP(Table2[[#This Row],[Prod Line ]],Lists!A:E,5,0)</f>
        <v>a</v>
      </c>
      <c r="B2944" s="1">
        <v>44674</v>
      </c>
      <c r="C2944" s="1">
        <v>44673</v>
      </c>
      <c r="D2944" s="1" t="s">
        <v>56</v>
      </c>
      <c r="E2944" s="2" t="s">
        <v>405</v>
      </c>
      <c r="F2944" s="1"/>
      <c r="G2944" s="2">
        <v>14</v>
      </c>
      <c r="H2944" s="1"/>
      <c r="I2944" t="s">
        <v>1</v>
      </c>
      <c r="J2944" t="s">
        <v>2</v>
      </c>
      <c r="K2944" t="s">
        <v>19</v>
      </c>
      <c r="L2944" t="s">
        <v>349</v>
      </c>
      <c r="M2944" s="3" t="s">
        <v>575</v>
      </c>
    </row>
    <row r="2945" spans="1:13" x14ac:dyDescent="0.25">
      <c r="A2945" s="1" t="str">
        <f>VLOOKUP(Table2[[#This Row],[Prod Line ]],Lists!A:E,5,0)</f>
        <v>a</v>
      </c>
      <c r="B2945" s="1">
        <v>44674</v>
      </c>
      <c r="C2945" s="1">
        <v>44673</v>
      </c>
      <c r="D2945" s="1" t="s">
        <v>56</v>
      </c>
      <c r="E2945" s="2" t="s">
        <v>406</v>
      </c>
      <c r="F2945" s="1"/>
      <c r="G2945" s="2">
        <v>14</v>
      </c>
      <c r="H2945" s="1"/>
      <c r="I2945" t="s">
        <v>0</v>
      </c>
      <c r="J2945" t="s">
        <v>2</v>
      </c>
      <c r="K2945" t="s">
        <v>19</v>
      </c>
      <c r="L2945" t="s">
        <v>70</v>
      </c>
      <c r="M2945" s="3" t="s">
        <v>719</v>
      </c>
    </row>
    <row r="2946" spans="1:13" hidden="1" x14ac:dyDescent="0.25">
      <c r="A2946" s="1" t="str">
        <f>VLOOKUP(Table2[[#This Row],[Prod Line ]],Lists!A:E,5,0)</f>
        <v>a</v>
      </c>
      <c r="B2946" s="1">
        <v>44676</v>
      </c>
      <c r="C2946" s="1">
        <v>44674</v>
      </c>
      <c r="D2946" s="1" t="s">
        <v>56</v>
      </c>
      <c r="E2946" s="2" t="s">
        <v>406</v>
      </c>
      <c r="F2946" s="1"/>
      <c r="G2946" s="2">
        <v>7</v>
      </c>
      <c r="H2946" s="1"/>
      <c r="I2946" t="s">
        <v>1</v>
      </c>
      <c r="J2946" t="s">
        <v>64</v>
      </c>
      <c r="K2946" t="s">
        <v>364</v>
      </c>
      <c r="L2946" t="s">
        <v>407</v>
      </c>
      <c r="M2946" s="3" t="s">
        <v>750</v>
      </c>
    </row>
    <row r="2947" spans="1:13" x14ac:dyDescent="0.25">
      <c r="A2947" s="1" t="str">
        <f>VLOOKUP(Table2[[#This Row],[Prod Line ]],Lists!A:E,5,0)</f>
        <v>b</v>
      </c>
      <c r="B2947" s="1">
        <v>44676</v>
      </c>
      <c r="C2947" s="1">
        <v>44674</v>
      </c>
      <c r="D2947" s="1" t="s">
        <v>58</v>
      </c>
      <c r="E2947" s="2" t="s">
        <v>406</v>
      </c>
      <c r="F2947" s="1"/>
      <c r="G2947" s="2">
        <v>15</v>
      </c>
      <c r="H2947" s="1"/>
      <c r="I2947" t="s">
        <v>0</v>
      </c>
      <c r="J2947" t="s">
        <v>64</v>
      </c>
      <c r="K2947" t="s">
        <v>23</v>
      </c>
      <c r="L2947" t="s">
        <v>70</v>
      </c>
      <c r="M2947" s="3" t="s">
        <v>2253</v>
      </c>
    </row>
    <row r="2948" spans="1:13" hidden="1" x14ac:dyDescent="0.25">
      <c r="A2948" s="1" t="str">
        <f>VLOOKUP(Table2[[#This Row],[Prod Line ]],Lists!A:E,5,0)</f>
        <v>b</v>
      </c>
      <c r="B2948" s="1">
        <v>44676</v>
      </c>
      <c r="C2948" s="1">
        <v>44674</v>
      </c>
      <c r="D2948" s="1" t="s">
        <v>58</v>
      </c>
      <c r="E2948" s="2" t="s">
        <v>406</v>
      </c>
      <c r="F2948" s="1"/>
      <c r="G2948" s="2">
        <v>12</v>
      </c>
      <c r="H2948" s="1"/>
      <c r="I2948" t="s">
        <v>1</v>
      </c>
      <c r="J2948" t="s">
        <v>67</v>
      </c>
      <c r="K2948" t="s">
        <v>67</v>
      </c>
      <c r="L2948" t="s">
        <v>407</v>
      </c>
      <c r="M2948" s="3" t="s">
        <v>2254</v>
      </c>
    </row>
    <row r="2949" spans="1:13" x14ac:dyDescent="0.25">
      <c r="A2949" s="1" t="str">
        <f>VLOOKUP(Table2[[#This Row],[Prod Line ]],Lists!A:E,5,0)</f>
        <v>b</v>
      </c>
      <c r="B2949" s="1">
        <v>44676</v>
      </c>
      <c r="C2949" s="1">
        <v>44674</v>
      </c>
      <c r="D2949" s="1" t="s">
        <v>58</v>
      </c>
      <c r="E2949" s="2" t="s">
        <v>406</v>
      </c>
      <c r="F2949" s="1"/>
      <c r="G2949" s="2">
        <v>11</v>
      </c>
      <c r="H2949" s="1"/>
      <c r="I2949" t="s">
        <v>0</v>
      </c>
      <c r="J2949" t="s">
        <v>64</v>
      </c>
      <c r="K2949" t="s">
        <v>20</v>
      </c>
      <c r="L2949" t="s">
        <v>70</v>
      </c>
      <c r="M2949" s="3" t="s">
        <v>1369</v>
      </c>
    </row>
    <row r="2950" spans="1:13" hidden="1" x14ac:dyDescent="0.25">
      <c r="A2950" s="1" t="str">
        <f>VLOOKUP(Table2[[#This Row],[Prod Line ]],Lists!A:E,5,0)</f>
        <v>b</v>
      </c>
      <c r="B2950" s="1">
        <v>44676</v>
      </c>
      <c r="C2950" s="1">
        <v>44674</v>
      </c>
      <c r="D2950" s="1" t="s">
        <v>58</v>
      </c>
      <c r="E2950" s="2" t="s">
        <v>404</v>
      </c>
      <c r="F2950" s="1"/>
      <c r="G2950" s="2">
        <v>10</v>
      </c>
      <c r="H2950" s="1"/>
      <c r="I2950" t="s">
        <v>1</v>
      </c>
      <c r="J2950" t="s">
        <v>65</v>
      </c>
      <c r="K2950" t="s">
        <v>3</v>
      </c>
      <c r="L2950" t="s">
        <v>441</v>
      </c>
      <c r="M2950" s="3" t="s">
        <v>612</v>
      </c>
    </row>
    <row r="2951" spans="1:13" x14ac:dyDescent="0.25">
      <c r="A2951" s="1" t="str">
        <f>VLOOKUP(Table2[[#This Row],[Prod Line ]],Lists!A:E,5,0)</f>
        <v>b</v>
      </c>
      <c r="B2951" s="1">
        <v>44676</v>
      </c>
      <c r="C2951" s="1">
        <v>44674</v>
      </c>
      <c r="D2951" s="1" t="s">
        <v>58</v>
      </c>
      <c r="E2951" s="2" t="s">
        <v>404</v>
      </c>
      <c r="F2951" s="1"/>
      <c r="G2951" s="2">
        <v>5</v>
      </c>
      <c r="H2951" s="1"/>
      <c r="I2951" t="s">
        <v>0</v>
      </c>
      <c r="J2951" t="s">
        <v>64</v>
      </c>
      <c r="K2951" t="s">
        <v>22</v>
      </c>
      <c r="L2951" t="s">
        <v>70</v>
      </c>
      <c r="M2951" s="3" t="s">
        <v>2255</v>
      </c>
    </row>
    <row r="2952" spans="1:13" hidden="1" x14ac:dyDescent="0.25">
      <c r="A2952" s="1" t="str">
        <f>VLOOKUP(Table2[[#This Row],[Prod Line ]],Lists!A:E,5,0)</f>
        <v>d</v>
      </c>
      <c r="B2952" s="1">
        <v>44676</v>
      </c>
      <c r="C2952" s="1">
        <v>44674</v>
      </c>
      <c r="D2952" s="1" t="s">
        <v>62</v>
      </c>
      <c r="E2952" s="2" t="s">
        <v>406</v>
      </c>
      <c r="F2952" s="1"/>
      <c r="G2952" s="2">
        <v>6</v>
      </c>
      <c r="H2952" s="1"/>
      <c r="I2952" t="s">
        <v>1</v>
      </c>
      <c r="J2952" t="s">
        <v>64</v>
      </c>
      <c r="K2952" t="s">
        <v>379</v>
      </c>
      <c r="L2952" t="s">
        <v>441</v>
      </c>
      <c r="M2952" s="3" t="s">
        <v>573</v>
      </c>
    </row>
    <row r="2953" spans="1:13" x14ac:dyDescent="0.25">
      <c r="A2953" s="1" t="str">
        <f>VLOOKUP(Table2[[#This Row],[Prod Line ]],Lists!A:E,5,0)</f>
        <v>d</v>
      </c>
      <c r="B2953" s="1">
        <v>44676</v>
      </c>
      <c r="C2953" s="1">
        <v>44674</v>
      </c>
      <c r="D2953" s="1" t="s">
        <v>62</v>
      </c>
      <c r="E2953" s="2" t="s">
        <v>404</v>
      </c>
      <c r="F2953" s="1"/>
      <c r="G2953" s="2">
        <v>8</v>
      </c>
      <c r="H2953" s="1"/>
      <c r="I2953" t="s">
        <v>0</v>
      </c>
      <c r="J2953" t="s">
        <v>5</v>
      </c>
      <c r="K2953" t="s">
        <v>397</v>
      </c>
      <c r="L2953" t="s">
        <v>70</v>
      </c>
      <c r="M2953" s="3" t="s">
        <v>2256</v>
      </c>
    </row>
    <row r="2954" spans="1:13" hidden="1" x14ac:dyDescent="0.25">
      <c r="A2954" s="1" t="str">
        <f>VLOOKUP(Table2[[#This Row],[Prod Line ]],Lists!A:E,5,0)</f>
        <v>b</v>
      </c>
      <c r="B2954" s="1">
        <v>44677</v>
      </c>
      <c r="C2954" s="1">
        <v>44675</v>
      </c>
      <c r="D2954" s="1" t="s">
        <v>58</v>
      </c>
      <c r="E2954" s="2" t="s">
        <v>406</v>
      </c>
      <c r="F2954" s="1"/>
      <c r="G2954" s="2">
        <v>18</v>
      </c>
      <c r="H2954" s="1"/>
      <c r="I2954" t="s">
        <v>1</v>
      </c>
      <c r="J2954" t="s">
        <v>64</v>
      </c>
      <c r="K2954" t="s">
        <v>22</v>
      </c>
      <c r="L2954" t="s">
        <v>407</v>
      </c>
      <c r="M2954" s="3" t="s">
        <v>2257</v>
      </c>
    </row>
    <row r="2955" spans="1:13" hidden="1" x14ac:dyDescent="0.25">
      <c r="A2955" s="1" t="str">
        <f>VLOOKUP(Table2[[#This Row],[Prod Line ]],Lists!A:E,5,0)</f>
        <v>d</v>
      </c>
      <c r="B2955" s="1">
        <v>44677</v>
      </c>
      <c r="C2955" s="1">
        <v>44675</v>
      </c>
      <c r="D2955" s="1" t="s">
        <v>62</v>
      </c>
      <c r="E2955" s="2" t="s">
        <v>405</v>
      </c>
      <c r="F2955" s="1"/>
      <c r="G2955" s="2">
        <v>9</v>
      </c>
      <c r="H2955" s="1"/>
      <c r="I2955" t="s">
        <v>1</v>
      </c>
      <c r="J2955" t="s">
        <v>2</v>
      </c>
      <c r="K2955" t="s">
        <v>13</v>
      </c>
      <c r="L2955" t="s">
        <v>407</v>
      </c>
      <c r="M2955" s="3" t="s">
        <v>834</v>
      </c>
    </row>
    <row r="2956" spans="1:13" hidden="1" x14ac:dyDescent="0.25">
      <c r="A2956" s="1" t="str">
        <f>VLOOKUP(Table2[[#This Row],[Prod Line ]],Lists!A:E,5,0)</f>
        <v>d</v>
      </c>
      <c r="B2956" s="1">
        <v>44677</v>
      </c>
      <c r="C2956" s="1">
        <v>44675</v>
      </c>
      <c r="D2956" s="1" t="s">
        <v>62</v>
      </c>
      <c r="E2956" s="2" t="s">
        <v>404</v>
      </c>
      <c r="F2956" s="1"/>
      <c r="G2956" s="2">
        <v>6</v>
      </c>
      <c r="H2956" s="1"/>
      <c r="I2956" t="s">
        <v>1</v>
      </c>
      <c r="J2956" t="s">
        <v>64</v>
      </c>
      <c r="K2956" t="s">
        <v>379</v>
      </c>
      <c r="L2956" t="s">
        <v>407</v>
      </c>
      <c r="M2956" s="3" t="s">
        <v>655</v>
      </c>
    </row>
    <row r="2957" spans="1:13" hidden="1" x14ac:dyDescent="0.25">
      <c r="A2957" s="1" t="str">
        <f>VLOOKUP(Table2[[#This Row],[Prod Line ]],Lists!A:E,5,0)</f>
        <v>d</v>
      </c>
      <c r="B2957" s="1">
        <v>44677</v>
      </c>
      <c r="C2957" s="1">
        <v>44675</v>
      </c>
      <c r="D2957" s="1" t="s">
        <v>62</v>
      </c>
      <c r="E2957" s="2" t="s">
        <v>404</v>
      </c>
      <c r="F2957" s="1"/>
      <c r="G2957" s="2">
        <v>6</v>
      </c>
      <c r="H2957" s="1"/>
      <c r="I2957" t="s">
        <v>1</v>
      </c>
      <c r="J2957" t="s">
        <v>2</v>
      </c>
      <c r="K2957" t="s">
        <v>19</v>
      </c>
      <c r="L2957" t="s">
        <v>349</v>
      </c>
      <c r="M2957" s="3" t="s">
        <v>575</v>
      </c>
    </row>
    <row r="2958" spans="1:13" hidden="1" x14ac:dyDescent="0.25">
      <c r="A2958" s="1" t="str">
        <f>VLOOKUP(Table2[[#This Row],[Prod Line ]],Lists!A:E,5,0)</f>
        <v>d</v>
      </c>
      <c r="B2958" s="1">
        <v>44677</v>
      </c>
      <c r="C2958" s="1">
        <v>44675</v>
      </c>
      <c r="D2958" s="1" t="s">
        <v>62</v>
      </c>
      <c r="E2958" s="2" t="s">
        <v>405</v>
      </c>
      <c r="F2958" s="1"/>
      <c r="G2958" s="2">
        <v>20</v>
      </c>
      <c r="H2958" s="1"/>
      <c r="I2958" t="s">
        <v>1</v>
      </c>
      <c r="J2958" t="s">
        <v>2</v>
      </c>
      <c r="K2958" t="s">
        <v>19</v>
      </c>
      <c r="L2958" t="s">
        <v>349</v>
      </c>
      <c r="M2958" s="3" t="s">
        <v>575</v>
      </c>
    </row>
    <row r="2959" spans="1:13" hidden="1" x14ac:dyDescent="0.25">
      <c r="A2959" s="1" t="str">
        <f>VLOOKUP(Table2[[#This Row],[Prod Line ]],Lists!A:E,5,0)</f>
        <v>d</v>
      </c>
      <c r="B2959" s="1">
        <v>44677</v>
      </c>
      <c r="C2959" s="1">
        <v>44675</v>
      </c>
      <c r="D2959" s="1" t="s">
        <v>62</v>
      </c>
      <c r="E2959" s="2" t="s">
        <v>405</v>
      </c>
      <c r="F2959" s="1"/>
      <c r="G2959" s="2">
        <v>35</v>
      </c>
      <c r="H2959" s="1"/>
      <c r="I2959" t="s">
        <v>1</v>
      </c>
      <c r="J2959" t="s">
        <v>5</v>
      </c>
      <c r="K2959" t="s">
        <v>397</v>
      </c>
      <c r="L2959" t="s">
        <v>407</v>
      </c>
      <c r="M2959" s="3" t="s">
        <v>48</v>
      </c>
    </row>
    <row r="2960" spans="1:13" x14ac:dyDescent="0.25">
      <c r="A2960" s="1" t="str">
        <f>VLOOKUP(Table2[[#This Row],[Prod Line ]],Lists!A:E,5,0)</f>
        <v>a</v>
      </c>
      <c r="B2960" s="1">
        <v>44679</v>
      </c>
      <c r="C2960" s="1">
        <v>44677</v>
      </c>
      <c r="D2960" s="1" t="s">
        <v>56</v>
      </c>
      <c r="E2960" s="2" t="s">
        <v>406</v>
      </c>
      <c r="F2960" s="1"/>
      <c r="G2960" s="2">
        <v>20</v>
      </c>
      <c r="H2960" s="1"/>
      <c r="I2960" t="s">
        <v>0</v>
      </c>
      <c r="J2960" t="s">
        <v>5</v>
      </c>
      <c r="K2960" t="s">
        <v>376</v>
      </c>
      <c r="L2960" t="s">
        <v>70</v>
      </c>
      <c r="M2960" s="3" t="s">
        <v>2258</v>
      </c>
    </row>
    <row r="2961" spans="1:13" hidden="1" x14ac:dyDescent="0.25">
      <c r="A2961" s="1" t="str">
        <f>VLOOKUP(Table2[[#This Row],[Prod Line ]],Lists!A:E,5,0)</f>
        <v>a</v>
      </c>
      <c r="B2961" s="1">
        <v>44679</v>
      </c>
      <c r="C2961" s="1">
        <v>44677</v>
      </c>
      <c r="D2961" s="1" t="s">
        <v>56</v>
      </c>
      <c r="E2961" s="2" t="s">
        <v>406</v>
      </c>
      <c r="F2961" s="1"/>
      <c r="G2961" s="2">
        <v>5</v>
      </c>
      <c r="H2961" s="1"/>
      <c r="I2961" t="s">
        <v>1</v>
      </c>
      <c r="J2961" t="s">
        <v>64</v>
      </c>
      <c r="K2961" t="s">
        <v>379</v>
      </c>
      <c r="L2961" t="s">
        <v>407</v>
      </c>
      <c r="M2961" s="3" t="s">
        <v>655</v>
      </c>
    </row>
    <row r="2962" spans="1:13" hidden="1" x14ac:dyDescent="0.25">
      <c r="A2962" s="1" t="str">
        <f>VLOOKUP(Table2[[#This Row],[Prod Line ]],Lists!A:E,5,0)</f>
        <v>a</v>
      </c>
      <c r="B2962" s="1">
        <v>44679</v>
      </c>
      <c r="C2962" s="1">
        <v>44677</v>
      </c>
      <c r="D2962" s="1" t="s">
        <v>56</v>
      </c>
      <c r="E2962" s="2" t="s">
        <v>404</v>
      </c>
      <c r="F2962" s="1"/>
      <c r="G2962" s="2">
        <v>4</v>
      </c>
      <c r="H2962" s="1"/>
      <c r="I2962" t="s">
        <v>1</v>
      </c>
      <c r="J2962" t="s">
        <v>64</v>
      </c>
      <c r="K2962" t="s">
        <v>379</v>
      </c>
      <c r="L2962" t="s">
        <v>407</v>
      </c>
      <c r="M2962" s="3" t="s">
        <v>655</v>
      </c>
    </row>
    <row r="2963" spans="1:13" x14ac:dyDescent="0.25">
      <c r="A2963" s="1" t="str">
        <f>VLOOKUP(Table2[[#This Row],[Prod Line ]],Lists!A:E,5,0)</f>
        <v>b</v>
      </c>
      <c r="B2963" s="1">
        <v>44679</v>
      </c>
      <c r="C2963" s="1">
        <v>44677</v>
      </c>
      <c r="D2963" s="1" t="s">
        <v>58</v>
      </c>
      <c r="E2963" s="2" t="s">
        <v>404</v>
      </c>
      <c r="F2963" s="1"/>
      <c r="G2963" s="2">
        <v>9</v>
      </c>
      <c r="H2963" s="1"/>
      <c r="I2963" t="s">
        <v>0</v>
      </c>
      <c r="J2963" t="s">
        <v>64</v>
      </c>
      <c r="K2963" t="s">
        <v>20</v>
      </c>
      <c r="L2963" t="s">
        <v>70</v>
      </c>
      <c r="M2963" s="3" t="s">
        <v>1369</v>
      </c>
    </row>
    <row r="2964" spans="1:13" hidden="1" x14ac:dyDescent="0.25">
      <c r="A2964" s="1" t="str">
        <f>VLOOKUP(Table2[[#This Row],[Prod Line ]],Lists!A:E,5,0)</f>
        <v>b</v>
      </c>
      <c r="B2964" s="1">
        <v>44679</v>
      </c>
      <c r="C2964" s="1">
        <v>44677</v>
      </c>
      <c r="D2964" s="1" t="s">
        <v>58</v>
      </c>
      <c r="E2964" s="2" t="s">
        <v>404</v>
      </c>
      <c r="F2964" s="1"/>
      <c r="G2964" s="2">
        <v>3</v>
      </c>
      <c r="H2964" s="1"/>
      <c r="I2964" t="s">
        <v>1</v>
      </c>
      <c r="J2964" t="s">
        <v>2</v>
      </c>
      <c r="K2964" t="s">
        <v>19</v>
      </c>
      <c r="L2964" t="s">
        <v>349</v>
      </c>
      <c r="M2964" s="3" t="s">
        <v>575</v>
      </c>
    </row>
    <row r="2965" spans="1:13" hidden="1" x14ac:dyDescent="0.25">
      <c r="A2965" s="1" t="str">
        <f>VLOOKUP(Table2[[#This Row],[Prod Line ]],Lists!A:E,5,0)</f>
        <v>b</v>
      </c>
      <c r="B2965" s="1">
        <v>44679</v>
      </c>
      <c r="C2965" s="1">
        <v>44677</v>
      </c>
      <c r="D2965" s="1" t="s">
        <v>58</v>
      </c>
      <c r="E2965" s="2" t="s">
        <v>406</v>
      </c>
      <c r="F2965" s="1"/>
      <c r="G2965" s="2">
        <v>6</v>
      </c>
      <c r="H2965" s="1"/>
      <c r="I2965" t="s">
        <v>1</v>
      </c>
      <c r="J2965" t="s">
        <v>64</v>
      </c>
      <c r="K2965" t="s">
        <v>21</v>
      </c>
      <c r="L2965" t="s">
        <v>344</v>
      </c>
      <c r="M2965" s="3" t="s">
        <v>2259</v>
      </c>
    </row>
    <row r="2966" spans="1:13" hidden="1" x14ac:dyDescent="0.25">
      <c r="A2966" s="1" t="str">
        <f>VLOOKUP(Table2[[#This Row],[Prod Line ]],Lists!A:E,5,0)</f>
        <v>c</v>
      </c>
      <c r="B2966" s="1">
        <v>44679</v>
      </c>
      <c r="C2966" s="1">
        <v>44677</v>
      </c>
      <c r="D2966" s="1" t="s">
        <v>60</v>
      </c>
      <c r="E2966" s="2" t="s">
        <v>405</v>
      </c>
      <c r="F2966" s="1"/>
      <c r="G2966" s="2">
        <v>21</v>
      </c>
      <c r="H2966" s="1"/>
      <c r="I2966" t="s">
        <v>1</v>
      </c>
      <c r="J2966" t="s">
        <v>64</v>
      </c>
      <c r="K2966" t="s">
        <v>381</v>
      </c>
      <c r="L2966" t="s">
        <v>407</v>
      </c>
      <c r="M2966" s="3" t="s">
        <v>1549</v>
      </c>
    </row>
    <row r="2967" spans="1:13" hidden="1" x14ac:dyDescent="0.25">
      <c r="A2967" s="1" t="str">
        <f>VLOOKUP(Table2[[#This Row],[Prod Line ]],Lists!A:E,5,0)</f>
        <v>c</v>
      </c>
      <c r="B2967" s="1">
        <v>44679</v>
      </c>
      <c r="C2967" s="1">
        <v>44677</v>
      </c>
      <c r="D2967" s="1" t="s">
        <v>60</v>
      </c>
      <c r="E2967" s="2" t="s">
        <v>405</v>
      </c>
      <c r="F2967" s="1"/>
      <c r="G2967" s="2">
        <v>38</v>
      </c>
      <c r="H2967" s="1"/>
      <c r="I2967" t="s">
        <v>1</v>
      </c>
      <c r="J2967" t="s">
        <v>2</v>
      </c>
      <c r="K2967" t="s">
        <v>378</v>
      </c>
      <c r="L2967" t="s">
        <v>407</v>
      </c>
      <c r="M2967" s="3" t="s">
        <v>834</v>
      </c>
    </row>
    <row r="2968" spans="1:13" hidden="1" x14ac:dyDescent="0.25">
      <c r="A2968" s="1" t="str">
        <f>VLOOKUP(Table2[[#This Row],[Prod Line ]],Lists!A:E,5,0)</f>
        <v>d</v>
      </c>
      <c r="B2968" s="1">
        <v>44679</v>
      </c>
      <c r="C2968" s="1">
        <v>44677</v>
      </c>
      <c r="D2968" s="1" t="s">
        <v>62</v>
      </c>
      <c r="E2968" s="2" t="s">
        <v>404</v>
      </c>
      <c r="F2968" s="1"/>
      <c r="G2968" s="2">
        <v>15</v>
      </c>
      <c r="H2968" s="1"/>
      <c r="I2968" t="s">
        <v>1</v>
      </c>
      <c r="J2968" t="s">
        <v>64</v>
      </c>
      <c r="K2968" t="s">
        <v>21</v>
      </c>
      <c r="L2968" t="s">
        <v>344</v>
      </c>
      <c r="M2968" s="3" t="s">
        <v>2260</v>
      </c>
    </row>
    <row r="2969" spans="1:13" hidden="1" x14ac:dyDescent="0.25">
      <c r="A2969" s="1" t="str">
        <f>VLOOKUP(Table2[[#This Row],[Prod Line ]],Lists!A:E,5,0)</f>
        <v>d</v>
      </c>
      <c r="B2969" s="1">
        <v>44679</v>
      </c>
      <c r="C2969" s="1">
        <v>44677</v>
      </c>
      <c r="D2969" s="1" t="s">
        <v>62</v>
      </c>
      <c r="E2969" s="2" t="s">
        <v>404</v>
      </c>
      <c r="F2969" s="1"/>
      <c r="G2969" s="2">
        <v>5</v>
      </c>
      <c r="H2969" s="1"/>
      <c r="I2969" t="s">
        <v>1</v>
      </c>
      <c r="J2969" t="s">
        <v>66</v>
      </c>
      <c r="K2969" t="s">
        <v>4</v>
      </c>
      <c r="L2969" t="s">
        <v>407</v>
      </c>
      <c r="M2969" s="3" t="s">
        <v>2261</v>
      </c>
    </row>
    <row r="2970" spans="1:13" hidden="1" x14ac:dyDescent="0.25">
      <c r="A2970" s="1" t="str">
        <f>VLOOKUP(Table2[[#This Row],[Prod Line ]],Lists!A:E,5,0)</f>
        <v>d</v>
      </c>
      <c r="B2970" s="1">
        <v>44679</v>
      </c>
      <c r="C2970" s="1">
        <v>44677</v>
      </c>
      <c r="D2970" s="1" t="s">
        <v>62</v>
      </c>
      <c r="E2970" s="2" t="s">
        <v>404</v>
      </c>
      <c r="F2970" s="1"/>
      <c r="G2970" s="2">
        <v>14</v>
      </c>
      <c r="H2970" s="1"/>
      <c r="I2970" t="s">
        <v>1</v>
      </c>
      <c r="J2970" t="s">
        <v>65</v>
      </c>
      <c r="K2970" t="s">
        <v>394</v>
      </c>
      <c r="L2970" t="s">
        <v>407</v>
      </c>
      <c r="M2970" s="3" t="s">
        <v>2262</v>
      </c>
    </row>
    <row r="2971" spans="1:13" hidden="1" x14ac:dyDescent="0.25">
      <c r="A2971" s="1" t="str">
        <f>VLOOKUP(Table2[[#This Row],[Prod Line ]],Lists!A:E,5,0)</f>
        <v>a</v>
      </c>
      <c r="B2971" s="1">
        <v>44680</v>
      </c>
      <c r="C2971" s="1">
        <v>44678</v>
      </c>
      <c r="D2971" s="1" t="s">
        <v>56</v>
      </c>
      <c r="E2971" s="2" t="s">
        <v>404</v>
      </c>
      <c r="F2971" s="1"/>
      <c r="G2971" s="2">
        <v>2</v>
      </c>
      <c r="H2971" s="1"/>
      <c r="I2971" t="s">
        <v>1</v>
      </c>
      <c r="J2971" t="s">
        <v>64</v>
      </c>
      <c r="K2971" t="s">
        <v>369</v>
      </c>
      <c r="L2971" t="s">
        <v>407</v>
      </c>
      <c r="M2971" s="3" t="s">
        <v>2263</v>
      </c>
    </row>
    <row r="2972" spans="1:13" x14ac:dyDescent="0.25">
      <c r="A2972" s="1" t="str">
        <f>VLOOKUP(Table2[[#This Row],[Prod Line ]],Lists!A:E,5,0)</f>
        <v>a</v>
      </c>
      <c r="B2972" s="1">
        <v>44680</v>
      </c>
      <c r="C2972" s="1">
        <v>44678</v>
      </c>
      <c r="D2972" s="1" t="s">
        <v>56</v>
      </c>
      <c r="E2972" s="2" t="s">
        <v>405</v>
      </c>
      <c r="F2972" s="1"/>
      <c r="G2972" s="2">
        <v>7</v>
      </c>
      <c r="H2972" s="1"/>
      <c r="I2972" t="s">
        <v>0</v>
      </c>
      <c r="J2972" t="s">
        <v>64</v>
      </c>
      <c r="K2972" t="s">
        <v>371</v>
      </c>
      <c r="L2972" t="s">
        <v>70</v>
      </c>
      <c r="M2972" s="3" t="s">
        <v>2264</v>
      </c>
    </row>
    <row r="2973" spans="1:13" hidden="1" x14ac:dyDescent="0.25">
      <c r="A2973" s="1" t="str">
        <f>VLOOKUP(Table2[[#This Row],[Prod Line ]],Lists!A:E,5,0)</f>
        <v>b</v>
      </c>
      <c r="B2973" s="1">
        <v>44680</v>
      </c>
      <c r="C2973" s="1">
        <v>44678</v>
      </c>
      <c r="D2973" s="1" t="s">
        <v>58</v>
      </c>
      <c r="E2973" s="2" t="s">
        <v>406</v>
      </c>
      <c r="F2973" s="1"/>
      <c r="G2973" s="2">
        <v>10</v>
      </c>
      <c r="H2973" s="1"/>
      <c r="I2973" t="s">
        <v>1</v>
      </c>
      <c r="J2973" t="s">
        <v>66</v>
      </c>
      <c r="K2973" t="s">
        <v>4</v>
      </c>
      <c r="L2973" t="s">
        <v>441</v>
      </c>
      <c r="M2973" s="3" t="s">
        <v>2265</v>
      </c>
    </row>
    <row r="2974" spans="1:13" hidden="1" x14ac:dyDescent="0.25">
      <c r="A2974" s="1" t="str">
        <f>VLOOKUP(Table2[[#This Row],[Prod Line ]],Lists!A:E,5,0)</f>
        <v>b</v>
      </c>
      <c r="B2974" s="1">
        <v>44680</v>
      </c>
      <c r="C2974" s="1">
        <v>44678</v>
      </c>
      <c r="D2974" s="1" t="s">
        <v>58</v>
      </c>
      <c r="E2974" s="2" t="s">
        <v>405</v>
      </c>
      <c r="F2974" s="1"/>
      <c r="G2974" s="2">
        <v>11</v>
      </c>
      <c r="H2974" s="1"/>
      <c r="I2974" t="s">
        <v>1</v>
      </c>
      <c r="J2974" t="s">
        <v>64</v>
      </c>
      <c r="K2974" t="s">
        <v>21</v>
      </c>
      <c r="L2974" t="s">
        <v>407</v>
      </c>
      <c r="M2974" s="3" t="s">
        <v>2266</v>
      </c>
    </row>
    <row r="2975" spans="1:13" hidden="1" x14ac:dyDescent="0.25">
      <c r="A2975" s="1" t="str">
        <f>VLOOKUP(Table2[[#This Row],[Prod Line ]],Lists!A:E,5,0)</f>
        <v>b</v>
      </c>
      <c r="B2975" s="1">
        <v>44680</v>
      </c>
      <c r="C2975" s="1">
        <v>44678</v>
      </c>
      <c r="D2975" s="1" t="s">
        <v>58</v>
      </c>
      <c r="E2975" s="2" t="s">
        <v>405</v>
      </c>
      <c r="F2975" s="1"/>
      <c r="G2975" s="2">
        <v>5</v>
      </c>
      <c r="H2975" s="1"/>
      <c r="I2975" t="s">
        <v>1</v>
      </c>
      <c r="J2975" t="s">
        <v>26</v>
      </c>
      <c r="K2975" t="s">
        <v>25</v>
      </c>
      <c r="L2975" t="s">
        <v>407</v>
      </c>
      <c r="M2975" s="3" t="s">
        <v>2267</v>
      </c>
    </row>
    <row r="2976" spans="1:13" hidden="1" x14ac:dyDescent="0.25">
      <c r="A2976" s="1" t="str">
        <f>VLOOKUP(Table2[[#This Row],[Prod Line ]],Lists!A:E,5,0)</f>
        <v>b</v>
      </c>
      <c r="B2976" s="1">
        <v>44680</v>
      </c>
      <c r="C2976" s="1">
        <v>44678</v>
      </c>
      <c r="D2976" s="1" t="s">
        <v>58</v>
      </c>
      <c r="E2976" s="2" t="s">
        <v>405</v>
      </c>
      <c r="F2976" s="1"/>
      <c r="G2976" s="2">
        <v>8</v>
      </c>
      <c r="H2976" s="1"/>
      <c r="I2976" t="s">
        <v>1</v>
      </c>
      <c r="J2976" t="s">
        <v>2</v>
      </c>
      <c r="K2976" t="s">
        <v>19</v>
      </c>
      <c r="L2976" t="s">
        <v>349</v>
      </c>
      <c r="M2976" s="3" t="s">
        <v>575</v>
      </c>
    </row>
    <row r="2977" spans="1:13" hidden="1" x14ac:dyDescent="0.25">
      <c r="A2977" s="1" t="str">
        <f>VLOOKUP(Table2[[#This Row],[Prod Line ]],Lists!A:E,5,0)</f>
        <v>d</v>
      </c>
      <c r="B2977" s="1">
        <v>44680</v>
      </c>
      <c r="C2977" s="1">
        <v>44678</v>
      </c>
      <c r="D2977" s="1" t="s">
        <v>62</v>
      </c>
      <c r="E2977" s="2" t="s">
        <v>405</v>
      </c>
      <c r="F2977" s="1"/>
      <c r="G2977" s="2">
        <v>25</v>
      </c>
      <c r="H2977" s="1"/>
      <c r="I2977" t="s">
        <v>1</v>
      </c>
      <c r="J2977" t="s">
        <v>2</v>
      </c>
      <c r="K2977" t="s">
        <v>19</v>
      </c>
      <c r="L2977" t="s">
        <v>349</v>
      </c>
      <c r="M2977" s="3" t="s">
        <v>834</v>
      </c>
    </row>
    <row r="2978" spans="1:13" x14ac:dyDescent="0.25">
      <c r="A2978" s="1" t="str">
        <f>VLOOKUP(Table2[[#This Row],[Prod Line ]],Lists!A:E,5,0)</f>
        <v>a</v>
      </c>
      <c r="B2978" s="1">
        <v>44683</v>
      </c>
      <c r="C2978" s="1">
        <v>44681</v>
      </c>
      <c r="D2978" s="1" t="s">
        <v>56</v>
      </c>
      <c r="E2978" s="2" t="s">
        <v>406</v>
      </c>
      <c r="F2978" s="1"/>
      <c r="G2978" s="2">
        <v>10</v>
      </c>
      <c r="H2978" s="1"/>
      <c r="I2978" t="s">
        <v>0</v>
      </c>
      <c r="J2978" t="s">
        <v>65</v>
      </c>
      <c r="K2978" t="s">
        <v>27</v>
      </c>
      <c r="L2978" t="s">
        <v>69</v>
      </c>
      <c r="M2978" s="3" t="s">
        <v>2268</v>
      </c>
    </row>
    <row r="2979" spans="1:13" hidden="1" x14ac:dyDescent="0.25">
      <c r="A2979" s="1" t="str">
        <f>VLOOKUP(Table2[[#This Row],[Prod Line ]],Lists!A:E,5,0)</f>
        <v>b</v>
      </c>
      <c r="B2979" s="1">
        <v>44683</v>
      </c>
      <c r="C2979" s="1">
        <v>44681</v>
      </c>
      <c r="D2979" s="1" t="s">
        <v>58</v>
      </c>
      <c r="E2979" s="2" t="s">
        <v>406</v>
      </c>
      <c r="F2979" s="1"/>
      <c r="G2979" s="2">
        <v>5</v>
      </c>
      <c r="H2979" s="1"/>
      <c r="I2979" t="s">
        <v>1</v>
      </c>
      <c r="J2979" t="s">
        <v>64</v>
      </c>
      <c r="K2979" t="s">
        <v>22</v>
      </c>
      <c r="L2979" t="s">
        <v>407</v>
      </c>
      <c r="M2979" s="3" t="s">
        <v>2269</v>
      </c>
    </row>
    <row r="2980" spans="1:13" x14ac:dyDescent="0.25">
      <c r="A2980" s="1" t="str">
        <f>VLOOKUP(Table2[[#This Row],[Prod Line ]],Lists!A:E,5,0)</f>
        <v>b</v>
      </c>
      <c r="B2980" s="1">
        <v>44683</v>
      </c>
      <c r="C2980" s="1">
        <v>44681</v>
      </c>
      <c r="D2980" s="1" t="s">
        <v>58</v>
      </c>
      <c r="E2980" s="2" t="s">
        <v>406</v>
      </c>
      <c r="F2980" s="1"/>
      <c r="G2980" s="2">
        <v>15</v>
      </c>
      <c r="H2980" s="1"/>
      <c r="I2980" t="s">
        <v>0</v>
      </c>
      <c r="J2980" t="s">
        <v>64</v>
      </c>
      <c r="K2980" t="s">
        <v>23</v>
      </c>
      <c r="L2980" t="s">
        <v>70</v>
      </c>
      <c r="M2980" s="3" t="s">
        <v>2270</v>
      </c>
    </row>
    <row r="2981" spans="1:13" hidden="1" x14ac:dyDescent="0.25">
      <c r="A2981" s="1" t="str">
        <f>VLOOKUP(Table2[[#This Row],[Prod Line ]],Lists!A:E,5,0)</f>
        <v>b</v>
      </c>
      <c r="B2981" s="1">
        <v>44683</v>
      </c>
      <c r="C2981" s="1">
        <v>44681</v>
      </c>
      <c r="D2981" s="1" t="s">
        <v>58</v>
      </c>
      <c r="E2981" s="2" t="s">
        <v>406</v>
      </c>
      <c r="F2981" s="1"/>
      <c r="G2981" s="2">
        <v>10</v>
      </c>
      <c r="H2981" s="1"/>
      <c r="I2981" t="s">
        <v>1</v>
      </c>
      <c r="J2981" t="s">
        <v>65</v>
      </c>
      <c r="K2981" t="s">
        <v>3</v>
      </c>
      <c r="L2981" t="s">
        <v>441</v>
      </c>
      <c r="M2981" s="3" t="s">
        <v>612</v>
      </c>
    </row>
    <row r="2982" spans="1:13" hidden="1" x14ac:dyDescent="0.25">
      <c r="A2982" s="1" t="str">
        <f>VLOOKUP(Table2[[#This Row],[Prod Line ]],Lists!A:E,5,0)</f>
        <v>b</v>
      </c>
      <c r="B2982" s="1">
        <v>44683</v>
      </c>
      <c r="C2982" s="1">
        <v>44681</v>
      </c>
      <c r="D2982" s="1" t="s">
        <v>58</v>
      </c>
      <c r="E2982" s="2" t="s">
        <v>404</v>
      </c>
      <c r="F2982" s="1"/>
      <c r="G2982" s="2">
        <v>16</v>
      </c>
      <c r="H2982" s="1"/>
      <c r="I2982" t="s">
        <v>1</v>
      </c>
      <c r="J2982" t="s">
        <v>65</v>
      </c>
      <c r="K2982" t="s">
        <v>3</v>
      </c>
      <c r="L2982" t="s">
        <v>441</v>
      </c>
      <c r="M2982" s="3" t="s">
        <v>612</v>
      </c>
    </row>
    <row r="2983" spans="1:13" hidden="1" x14ac:dyDescent="0.25">
      <c r="A2983" s="1" t="str">
        <f>VLOOKUP(Table2[[#This Row],[Prod Line ]],Lists!A:E,5,0)</f>
        <v>b</v>
      </c>
      <c r="B2983" s="1">
        <v>44683</v>
      </c>
      <c r="C2983" s="1">
        <v>44681</v>
      </c>
      <c r="D2983" s="1" t="s">
        <v>58</v>
      </c>
      <c r="E2983" s="2" t="s">
        <v>405</v>
      </c>
      <c r="F2983" s="1"/>
      <c r="G2983" s="2">
        <v>9</v>
      </c>
      <c r="H2983" s="1"/>
      <c r="I2983" t="s">
        <v>1</v>
      </c>
      <c r="J2983" t="s">
        <v>65</v>
      </c>
      <c r="K2983" t="s">
        <v>3</v>
      </c>
      <c r="L2983" t="s">
        <v>441</v>
      </c>
      <c r="M2983" s="3" t="s">
        <v>612</v>
      </c>
    </row>
    <row r="2984" spans="1:13" x14ac:dyDescent="0.25">
      <c r="A2984" s="1" t="str">
        <f>VLOOKUP(Table2[[#This Row],[Prod Line ]],Lists!A:E,5,0)</f>
        <v>b</v>
      </c>
      <c r="B2984" s="1">
        <v>44683</v>
      </c>
      <c r="C2984" s="1">
        <v>44681</v>
      </c>
      <c r="D2984" s="1" t="s">
        <v>58</v>
      </c>
      <c r="E2984" s="2" t="s">
        <v>405</v>
      </c>
      <c r="F2984" s="1"/>
      <c r="G2984" s="2">
        <v>10</v>
      </c>
      <c r="H2984" s="1"/>
      <c r="I2984" t="s">
        <v>0</v>
      </c>
      <c r="J2984" t="s">
        <v>26</v>
      </c>
      <c r="K2984" t="s">
        <v>25</v>
      </c>
      <c r="L2984" t="s">
        <v>70</v>
      </c>
      <c r="M2984" s="3" t="s">
        <v>2271</v>
      </c>
    </row>
    <row r="2985" spans="1:13" x14ac:dyDescent="0.25">
      <c r="A2985" s="1" t="str">
        <f>VLOOKUP(Table2[[#This Row],[Prod Line ]],Lists!A:E,5,0)</f>
        <v>b</v>
      </c>
      <c r="B2985" s="1">
        <v>44683</v>
      </c>
      <c r="C2985" s="1">
        <v>44681</v>
      </c>
      <c r="D2985" s="1" t="s">
        <v>58</v>
      </c>
      <c r="E2985" s="2" t="s">
        <v>405</v>
      </c>
      <c r="F2985" s="1"/>
      <c r="G2985" s="2">
        <v>7</v>
      </c>
      <c r="H2985" s="1"/>
      <c r="I2985" t="s">
        <v>0</v>
      </c>
      <c r="J2985" t="s">
        <v>64</v>
      </c>
      <c r="K2985" t="s">
        <v>23</v>
      </c>
      <c r="L2985" t="s">
        <v>70</v>
      </c>
      <c r="M2985" s="3" t="s">
        <v>2270</v>
      </c>
    </row>
    <row r="2986" spans="1:13" x14ac:dyDescent="0.25">
      <c r="A2986" s="1" t="str">
        <f>VLOOKUP(Table2[[#This Row],[Prod Line ]],Lists!A:E,5,0)</f>
        <v>d</v>
      </c>
      <c r="B2986" s="1">
        <v>44683</v>
      </c>
      <c r="C2986" s="1">
        <v>44681</v>
      </c>
      <c r="D2986" s="1" t="s">
        <v>62</v>
      </c>
      <c r="E2986" s="2" t="s">
        <v>406</v>
      </c>
      <c r="F2986" s="1"/>
      <c r="G2986" s="2">
        <v>10</v>
      </c>
      <c r="H2986" s="1"/>
      <c r="I2986" t="s">
        <v>0</v>
      </c>
      <c r="J2986" t="s">
        <v>5</v>
      </c>
      <c r="K2986" t="s">
        <v>397</v>
      </c>
      <c r="L2986" t="s">
        <v>70</v>
      </c>
      <c r="M2986" s="3" t="s">
        <v>2272</v>
      </c>
    </row>
    <row r="2987" spans="1:13" hidden="1" x14ac:dyDescent="0.25">
      <c r="A2987" s="1" t="str">
        <f>VLOOKUP(Table2[[#This Row],[Prod Line ]],Lists!A:E,5,0)</f>
        <v>d</v>
      </c>
      <c r="B2987" s="1">
        <v>44683</v>
      </c>
      <c r="C2987" s="1">
        <v>44681</v>
      </c>
      <c r="D2987" s="1" t="s">
        <v>62</v>
      </c>
      <c r="E2987" s="2" t="s">
        <v>405</v>
      </c>
      <c r="F2987" s="1"/>
      <c r="G2987" s="2">
        <v>10</v>
      </c>
      <c r="H2987" s="1"/>
      <c r="I2987" t="s">
        <v>1</v>
      </c>
      <c r="J2987" t="s">
        <v>5</v>
      </c>
      <c r="K2987" t="s">
        <v>397</v>
      </c>
      <c r="L2987" t="s">
        <v>407</v>
      </c>
      <c r="M2987" s="3" t="s">
        <v>1189</v>
      </c>
    </row>
    <row r="2988" spans="1:13" hidden="1" x14ac:dyDescent="0.25">
      <c r="A2988" s="1" t="str">
        <f>VLOOKUP(Table2[[#This Row],[Prod Line ]],Lists!A:E,5,0)</f>
        <v>d</v>
      </c>
      <c r="B2988" s="1">
        <v>44683</v>
      </c>
      <c r="C2988" s="1">
        <v>44681</v>
      </c>
      <c r="D2988" s="1" t="s">
        <v>62</v>
      </c>
      <c r="E2988" s="2" t="s">
        <v>406</v>
      </c>
      <c r="F2988" s="1"/>
      <c r="G2988" s="2">
        <v>3</v>
      </c>
      <c r="H2988" s="1"/>
      <c r="I2988" t="s">
        <v>1</v>
      </c>
      <c r="J2988" t="s">
        <v>2</v>
      </c>
      <c r="K2988" t="s">
        <v>19</v>
      </c>
      <c r="L2988" t="s">
        <v>349</v>
      </c>
      <c r="M2988" s="3" t="s">
        <v>575</v>
      </c>
    </row>
    <row r="2989" spans="1:13" x14ac:dyDescent="0.25">
      <c r="A2989" s="1" t="str">
        <f>VLOOKUP(Table2[[#This Row],[Prod Line ]],Lists!A:E,5,0)</f>
        <v>b</v>
      </c>
      <c r="B2989" s="1">
        <v>44684</v>
      </c>
      <c r="C2989" s="1">
        <v>44682</v>
      </c>
      <c r="D2989" s="1" t="s">
        <v>58</v>
      </c>
      <c r="E2989" s="2" t="s">
        <v>404</v>
      </c>
      <c r="F2989" s="1"/>
      <c r="G2989" s="2">
        <v>4</v>
      </c>
      <c r="H2989" s="1"/>
      <c r="I2989" t="s">
        <v>0</v>
      </c>
      <c r="J2989" t="s">
        <v>26</v>
      </c>
      <c r="K2989" t="s">
        <v>25</v>
      </c>
      <c r="L2989" t="s">
        <v>70</v>
      </c>
      <c r="M2989" s="3" t="s">
        <v>2273</v>
      </c>
    </row>
    <row r="2990" spans="1:13" hidden="1" x14ac:dyDescent="0.25">
      <c r="A2990" s="1" t="str">
        <f>VLOOKUP(Table2[[#This Row],[Prod Line ]],Lists!A:E,5,0)</f>
        <v>b</v>
      </c>
      <c r="B2990" s="1">
        <v>44684</v>
      </c>
      <c r="C2990" s="1">
        <v>44682</v>
      </c>
      <c r="D2990" s="1" t="s">
        <v>58</v>
      </c>
      <c r="E2990" s="2" t="s">
        <v>404</v>
      </c>
      <c r="F2990" s="1"/>
      <c r="G2990" s="2">
        <v>5</v>
      </c>
      <c r="H2990" s="1"/>
      <c r="I2990" t="s">
        <v>1</v>
      </c>
      <c r="J2990" t="s">
        <v>65</v>
      </c>
      <c r="K2990" t="s">
        <v>3</v>
      </c>
      <c r="L2990" t="s">
        <v>441</v>
      </c>
      <c r="M2990" s="3" t="s">
        <v>605</v>
      </c>
    </row>
    <row r="2991" spans="1:13" hidden="1" x14ac:dyDescent="0.25">
      <c r="A2991" s="1" t="str">
        <f>VLOOKUP(Table2[[#This Row],[Prod Line ]],Lists!A:E,5,0)</f>
        <v>b</v>
      </c>
      <c r="B2991" s="1">
        <v>44684</v>
      </c>
      <c r="C2991" s="1">
        <v>44682</v>
      </c>
      <c r="D2991" s="1" t="s">
        <v>58</v>
      </c>
      <c r="E2991" s="2" t="s">
        <v>406</v>
      </c>
      <c r="F2991" s="1"/>
      <c r="G2991" s="2">
        <v>14</v>
      </c>
      <c r="H2991" s="1"/>
      <c r="I2991" t="s">
        <v>1</v>
      </c>
      <c r="J2991" t="s">
        <v>5</v>
      </c>
      <c r="K2991" t="s">
        <v>37</v>
      </c>
      <c r="L2991" t="s">
        <v>407</v>
      </c>
      <c r="M2991" s="3" t="s">
        <v>48</v>
      </c>
    </row>
    <row r="2992" spans="1:13" hidden="1" x14ac:dyDescent="0.25">
      <c r="A2992" s="1" t="str">
        <f>VLOOKUP(Table2[[#This Row],[Prod Line ]],Lists!A:E,5,0)</f>
        <v>a</v>
      </c>
      <c r="B2992" s="1">
        <v>44684</v>
      </c>
      <c r="C2992" s="1">
        <v>44682</v>
      </c>
      <c r="D2992" s="1" t="s">
        <v>56</v>
      </c>
      <c r="E2992" s="2" t="s">
        <v>404</v>
      </c>
      <c r="F2992" s="1"/>
      <c r="G2992" s="2">
        <v>13</v>
      </c>
      <c r="H2992" s="1"/>
      <c r="I2992" t="s">
        <v>1</v>
      </c>
      <c r="J2992" t="s">
        <v>2</v>
      </c>
      <c r="K2992" t="s">
        <v>19</v>
      </c>
      <c r="L2992" t="s">
        <v>349</v>
      </c>
      <c r="M2992" s="3" t="s">
        <v>575</v>
      </c>
    </row>
    <row r="2993" spans="1:13" hidden="1" x14ac:dyDescent="0.25">
      <c r="A2993" s="1" t="str">
        <f>VLOOKUP(Table2[[#This Row],[Prod Line ]],Lists!A:E,5,0)</f>
        <v>a</v>
      </c>
      <c r="B2993" s="1">
        <v>44684</v>
      </c>
      <c r="C2993" s="1">
        <v>44682</v>
      </c>
      <c r="D2993" s="1" t="s">
        <v>56</v>
      </c>
      <c r="E2993" s="2" t="s">
        <v>405</v>
      </c>
      <c r="F2993" s="1"/>
      <c r="G2993" s="2">
        <v>10</v>
      </c>
      <c r="H2993" s="1"/>
      <c r="I2993" t="s">
        <v>1</v>
      </c>
      <c r="J2993" t="s">
        <v>65</v>
      </c>
      <c r="K2993" t="s">
        <v>27</v>
      </c>
      <c r="L2993" t="s">
        <v>441</v>
      </c>
      <c r="M2993" s="3" t="s">
        <v>2053</v>
      </c>
    </row>
    <row r="2994" spans="1:13" hidden="1" x14ac:dyDescent="0.25">
      <c r="A2994" s="1" t="str">
        <f>VLOOKUP(Table2[[#This Row],[Prod Line ]],Lists!A:E,5,0)</f>
        <v>a</v>
      </c>
      <c r="B2994" s="1">
        <v>44684</v>
      </c>
      <c r="C2994" s="1">
        <v>44682</v>
      </c>
      <c r="D2994" s="1" t="s">
        <v>56</v>
      </c>
      <c r="E2994" s="2" t="s">
        <v>406</v>
      </c>
      <c r="F2994" s="1"/>
      <c r="G2994" s="2">
        <v>70</v>
      </c>
      <c r="H2994" s="1"/>
      <c r="I2994" t="s">
        <v>1</v>
      </c>
      <c r="J2994" t="s">
        <v>64</v>
      </c>
      <c r="K2994" t="s">
        <v>367</v>
      </c>
      <c r="L2994" t="s">
        <v>407</v>
      </c>
      <c r="M2994" s="3" t="s">
        <v>2274</v>
      </c>
    </row>
    <row r="2995" spans="1:13" x14ac:dyDescent="0.25">
      <c r="A2995" s="1" t="str">
        <f>VLOOKUP(Table2[[#This Row],[Prod Line ]],Lists!A:E,5,0)</f>
        <v>d</v>
      </c>
      <c r="B2995" s="1">
        <v>44684</v>
      </c>
      <c r="C2995" s="1">
        <v>44682</v>
      </c>
      <c r="D2995" s="1" t="s">
        <v>62</v>
      </c>
      <c r="E2995" s="2" t="s">
        <v>404</v>
      </c>
      <c r="F2995" s="1"/>
      <c r="G2995" s="2">
        <v>30</v>
      </c>
      <c r="H2995" s="1"/>
      <c r="I2995" t="s">
        <v>0</v>
      </c>
      <c r="J2995" t="s">
        <v>64</v>
      </c>
      <c r="K2995" t="s">
        <v>379</v>
      </c>
      <c r="L2995" t="s">
        <v>70</v>
      </c>
      <c r="M2995" s="3" t="s">
        <v>2275</v>
      </c>
    </row>
    <row r="2996" spans="1:13" hidden="1" x14ac:dyDescent="0.25">
      <c r="A2996" s="1" t="str">
        <f>VLOOKUP(Table2[[#This Row],[Prod Line ]],Lists!A:E,5,0)</f>
        <v>d</v>
      </c>
      <c r="B2996" s="1">
        <v>44684</v>
      </c>
      <c r="C2996" s="1">
        <v>44682</v>
      </c>
      <c r="D2996" s="1" t="s">
        <v>62</v>
      </c>
      <c r="E2996" s="2" t="s">
        <v>406</v>
      </c>
      <c r="F2996" s="1"/>
      <c r="G2996" s="2">
        <v>25</v>
      </c>
      <c r="H2996" s="1"/>
      <c r="I2996" t="s">
        <v>1</v>
      </c>
      <c r="J2996" t="s">
        <v>5</v>
      </c>
      <c r="K2996" t="s">
        <v>397</v>
      </c>
      <c r="L2996" t="s">
        <v>407</v>
      </c>
      <c r="M2996" s="3" t="s">
        <v>2276</v>
      </c>
    </row>
    <row r="2997" spans="1:13" hidden="1" x14ac:dyDescent="0.25">
      <c r="A2997" s="1" t="str">
        <f>VLOOKUP(Table2[[#This Row],[Prod Line ]],Lists!A:E,5,0)</f>
        <v>b</v>
      </c>
      <c r="B2997" s="1">
        <v>44686</v>
      </c>
      <c r="C2997" s="1">
        <v>44684</v>
      </c>
      <c r="D2997" s="1" t="s">
        <v>58</v>
      </c>
      <c r="E2997" s="2" t="s">
        <v>404</v>
      </c>
      <c r="F2997" s="1"/>
      <c r="G2997" s="2">
        <v>10</v>
      </c>
      <c r="H2997" s="1"/>
      <c r="I2997" t="s">
        <v>1</v>
      </c>
      <c r="J2997" t="s">
        <v>65</v>
      </c>
      <c r="K2997" t="s">
        <v>27</v>
      </c>
      <c r="L2997" t="s">
        <v>441</v>
      </c>
      <c r="M2997" s="3" t="s">
        <v>612</v>
      </c>
    </row>
    <row r="2998" spans="1:13" x14ac:dyDescent="0.25">
      <c r="A2998" s="1" t="str">
        <f>VLOOKUP(Table2[[#This Row],[Prod Line ]],Lists!A:E,5,0)</f>
        <v>b</v>
      </c>
      <c r="B2998" s="1">
        <v>44686</v>
      </c>
      <c r="C2998" s="1">
        <v>44684</v>
      </c>
      <c r="D2998" s="1" t="s">
        <v>58</v>
      </c>
      <c r="E2998" s="2" t="s">
        <v>405</v>
      </c>
      <c r="F2998" s="1"/>
      <c r="G2998" s="2">
        <v>6</v>
      </c>
      <c r="H2998" s="1"/>
      <c r="I2998" t="s">
        <v>0</v>
      </c>
      <c r="J2998" t="s">
        <v>64</v>
      </c>
      <c r="K2998" t="s">
        <v>20</v>
      </c>
      <c r="L2998" t="s">
        <v>70</v>
      </c>
      <c r="M2998" s="3" t="s">
        <v>1369</v>
      </c>
    </row>
    <row r="2999" spans="1:13" hidden="1" x14ac:dyDescent="0.25">
      <c r="A2999" s="1" t="str">
        <f>VLOOKUP(Table2[[#This Row],[Prod Line ]],Lists!A:E,5,0)</f>
        <v>a</v>
      </c>
      <c r="B2999" s="1">
        <v>44686</v>
      </c>
      <c r="C2999" s="1">
        <v>44684</v>
      </c>
      <c r="D2999" s="1" t="s">
        <v>56</v>
      </c>
      <c r="E2999" s="2" t="s">
        <v>404</v>
      </c>
      <c r="F2999" s="1"/>
      <c r="G2999" s="2">
        <v>10</v>
      </c>
      <c r="H2999" s="1"/>
      <c r="I2999" t="s">
        <v>1</v>
      </c>
      <c r="J2999" t="s">
        <v>2</v>
      </c>
      <c r="K2999" t="s">
        <v>19</v>
      </c>
      <c r="L2999" t="s">
        <v>407</v>
      </c>
      <c r="M2999" s="3" t="s">
        <v>2125</v>
      </c>
    </row>
    <row r="3000" spans="1:13" x14ac:dyDescent="0.25">
      <c r="A3000" s="1" t="str">
        <f>VLOOKUP(Table2[[#This Row],[Prod Line ]],Lists!A:E,5,0)</f>
        <v>a</v>
      </c>
      <c r="B3000" s="1">
        <v>44686</v>
      </c>
      <c r="C3000" s="1">
        <v>44684</v>
      </c>
      <c r="D3000" s="1" t="s">
        <v>56</v>
      </c>
      <c r="E3000" s="2" t="s">
        <v>406</v>
      </c>
      <c r="F3000" s="1"/>
      <c r="G3000" s="2">
        <v>10</v>
      </c>
      <c r="H3000" s="1"/>
      <c r="I3000" t="s">
        <v>0</v>
      </c>
      <c r="J3000" t="s">
        <v>65</v>
      </c>
      <c r="K3000" t="s">
        <v>372</v>
      </c>
      <c r="L3000" t="s">
        <v>70</v>
      </c>
      <c r="M3000" s="3" t="s">
        <v>2277</v>
      </c>
    </row>
    <row r="3001" spans="1:13" x14ac:dyDescent="0.25">
      <c r="A3001" s="1" t="str">
        <f>VLOOKUP(Table2[[#This Row],[Prod Line ]],Lists!A:E,5,0)</f>
        <v>a</v>
      </c>
      <c r="B3001" s="1">
        <v>44686</v>
      </c>
      <c r="C3001" s="1">
        <v>44684</v>
      </c>
      <c r="D3001" s="1" t="s">
        <v>56</v>
      </c>
      <c r="E3001" s="2" t="s">
        <v>406</v>
      </c>
      <c r="F3001" s="1"/>
      <c r="G3001" s="2">
        <v>13</v>
      </c>
      <c r="H3001" s="1"/>
      <c r="I3001" t="s">
        <v>0</v>
      </c>
      <c r="J3001" t="s">
        <v>65</v>
      </c>
      <c r="K3001" t="s">
        <v>372</v>
      </c>
      <c r="L3001" t="s">
        <v>70</v>
      </c>
      <c r="M3001" s="3" t="s">
        <v>432</v>
      </c>
    </row>
    <row r="3002" spans="1:13" hidden="1" x14ac:dyDescent="0.25">
      <c r="A3002" s="1" t="str">
        <f>VLOOKUP(Table2[[#This Row],[Prod Line ]],Lists!A:E,5,0)</f>
        <v>b</v>
      </c>
      <c r="B3002" s="1">
        <v>44687</v>
      </c>
      <c r="C3002" s="1">
        <v>44685</v>
      </c>
      <c r="D3002" s="1" t="s">
        <v>58</v>
      </c>
      <c r="E3002" s="2" t="s">
        <v>405</v>
      </c>
      <c r="F3002" s="1"/>
      <c r="G3002" s="2">
        <v>1</v>
      </c>
      <c r="H3002" s="1"/>
      <c r="I3002" t="s">
        <v>1</v>
      </c>
      <c r="J3002" t="s">
        <v>2</v>
      </c>
      <c r="K3002" t="s">
        <v>19</v>
      </c>
      <c r="L3002" t="s">
        <v>349</v>
      </c>
      <c r="M3002" s="3" t="s">
        <v>575</v>
      </c>
    </row>
    <row r="3003" spans="1:13" x14ac:dyDescent="0.25">
      <c r="A3003" s="1" t="str">
        <f>VLOOKUP(Table2[[#This Row],[Prod Line ]],Lists!A:E,5,0)</f>
        <v>a</v>
      </c>
      <c r="B3003" s="1">
        <v>44687</v>
      </c>
      <c r="C3003" s="1">
        <v>44685</v>
      </c>
      <c r="D3003" s="1" t="s">
        <v>56</v>
      </c>
      <c r="E3003" s="2" t="s">
        <v>406</v>
      </c>
      <c r="F3003" s="1"/>
      <c r="G3003" s="2">
        <v>18</v>
      </c>
      <c r="H3003" s="1"/>
      <c r="I3003" t="s">
        <v>0</v>
      </c>
      <c r="J3003" t="s">
        <v>65</v>
      </c>
      <c r="K3003" t="s">
        <v>372</v>
      </c>
      <c r="L3003" t="s">
        <v>70</v>
      </c>
      <c r="M3003" s="3" t="s">
        <v>432</v>
      </c>
    </row>
    <row r="3004" spans="1:13" hidden="1" x14ac:dyDescent="0.25">
      <c r="A3004" s="1" t="str">
        <f>VLOOKUP(Table2[[#This Row],[Prod Line ]],Lists!A:E,5,0)</f>
        <v>b</v>
      </c>
      <c r="B3004" s="1">
        <v>44688</v>
      </c>
      <c r="C3004" s="1">
        <v>44686</v>
      </c>
      <c r="D3004" s="1" t="s">
        <v>58</v>
      </c>
      <c r="E3004" s="2" t="s">
        <v>404</v>
      </c>
      <c r="F3004" s="1"/>
      <c r="G3004" s="2">
        <v>4</v>
      </c>
      <c r="H3004" s="1"/>
      <c r="I3004" t="s">
        <v>1</v>
      </c>
      <c r="J3004" t="s">
        <v>64</v>
      </c>
      <c r="K3004" t="s">
        <v>21</v>
      </c>
      <c r="L3004" t="s">
        <v>407</v>
      </c>
      <c r="M3004" s="3" t="s">
        <v>750</v>
      </c>
    </row>
    <row r="3005" spans="1:13" x14ac:dyDescent="0.25">
      <c r="A3005" s="1" t="str">
        <f>VLOOKUP(Table2[[#This Row],[Prod Line ]],Lists!A:E,5,0)</f>
        <v>d</v>
      </c>
      <c r="B3005" s="1">
        <v>44688</v>
      </c>
      <c r="C3005" s="1">
        <v>44686</v>
      </c>
      <c r="D3005" s="1" t="s">
        <v>62</v>
      </c>
      <c r="E3005" s="2" t="s">
        <v>404</v>
      </c>
      <c r="F3005" s="1"/>
      <c r="G3005" s="2">
        <v>12</v>
      </c>
      <c r="H3005" s="1"/>
      <c r="I3005" t="s">
        <v>0</v>
      </c>
      <c r="J3005" t="s">
        <v>2</v>
      </c>
      <c r="K3005" t="s">
        <v>14</v>
      </c>
      <c r="L3005" t="s">
        <v>70</v>
      </c>
      <c r="M3005" s="3" t="s">
        <v>1461</v>
      </c>
    </row>
    <row r="3006" spans="1:13" hidden="1" x14ac:dyDescent="0.25">
      <c r="A3006" s="1" t="str">
        <f>VLOOKUP(Table2[[#This Row],[Prod Line ]],Lists!A:E,5,0)</f>
        <v>d</v>
      </c>
      <c r="B3006" s="1">
        <v>44688</v>
      </c>
      <c r="C3006" s="1">
        <v>44686</v>
      </c>
      <c r="D3006" s="1" t="s">
        <v>62</v>
      </c>
      <c r="E3006" s="2" t="s">
        <v>404</v>
      </c>
      <c r="F3006" s="1"/>
      <c r="G3006" s="2">
        <v>10</v>
      </c>
      <c r="H3006" s="1"/>
      <c r="I3006" t="s">
        <v>1</v>
      </c>
      <c r="J3006" t="s">
        <v>2</v>
      </c>
      <c r="K3006" t="s">
        <v>19</v>
      </c>
      <c r="L3006" t="s">
        <v>349</v>
      </c>
      <c r="M3006" s="3" t="s">
        <v>575</v>
      </c>
    </row>
    <row r="3007" spans="1:13" hidden="1" x14ac:dyDescent="0.25">
      <c r="A3007" s="1" t="str">
        <f>VLOOKUP(Table2[[#This Row],[Prod Line ]],Lists!A:E,5,0)</f>
        <v>d</v>
      </c>
      <c r="B3007" s="1">
        <v>44688</v>
      </c>
      <c r="C3007" s="1">
        <v>44686</v>
      </c>
      <c r="D3007" s="1" t="s">
        <v>62</v>
      </c>
      <c r="E3007" s="2" t="s">
        <v>404</v>
      </c>
      <c r="F3007" s="1"/>
      <c r="G3007" s="2">
        <v>10</v>
      </c>
      <c r="H3007" s="1"/>
      <c r="I3007" t="s">
        <v>1</v>
      </c>
      <c r="J3007" t="s">
        <v>5</v>
      </c>
      <c r="K3007" t="s">
        <v>397</v>
      </c>
      <c r="L3007" t="s">
        <v>344</v>
      </c>
      <c r="M3007" s="3" t="s">
        <v>2243</v>
      </c>
    </row>
    <row r="3008" spans="1:13" hidden="1" x14ac:dyDescent="0.25">
      <c r="A3008" s="1" t="str">
        <f>VLOOKUP(Table2[[#This Row],[Prod Line ]],Lists!A:E,5,0)</f>
        <v>d</v>
      </c>
      <c r="B3008" s="1">
        <v>44690</v>
      </c>
      <c r="C3008" s="1">
        <v>44688</v>
      </c>
      <c r="D3008" s="1" t="s">
        <v>62</v>
      </c>
      <c r="E3008" s="2" t="s">
        <v>405</v>
      </c>
      <c r="F3008" s="1"/>
      <c r="G3008" s="2">
        <v>12</v>
      </c>
      <c r="H3008" s="1"/>
      <c r="I3008" t="s">
        <v>1</v>
      </c>
      <c r="J3008" t="s">
        <v>2</v>
      </c>
      <c r="K3008" t="s">
        <v>19</v>
      </c>
      <c r="L3008" t="s">
        <v>407</v>
      </c>
      <c r="M3008" s="3" t="s">
        <v>834</v>
      </c>
    </row>
    <row r="3009" spans="1:13" x14ac:dyDescent="0.25">
      <c r="A3009" s="1" t="str">
        <f>VLOOKUP(Table2[[#This Row],[Prod Line ]],Lists!A:E,5,0)</f>
        <v>a</v>
      </c>
      <c r="B3009" s="1">
        <v>44690</v>
      </c>
      <c r="C3009" s="1">
        <v>44688</v>
      </c>
      <c r="D3009" s="1" t="s">
        <v>56</v>
      </c>
      <c r="E3009" s="2" t="s">
        <v>406</v>
      </c>
      <c r="F3009" s="1"/>
      <c r="G3009" s="2">
        <v>30</v>
      </c>
      <c r="H3009" s="1"/>
      <c r="I3009" t="s">
        <v>0</v>
      </c>
      <c r="J3009" t="s">
        <v>65</v>
      </c>
      <c r="K3009" t="s">
        <v>372</v>
      </c>
      <c r="L3009" t="s">
        <v>70</v>
      </c>
      <c r="M3009" s="3" t="s">
        <v>2278</v>
      </c>
    </row>
    <row r="3010" spans="1:13" hidden="1" x14ac:dyDescent="0.25">
      <c r="A3010" s="1" t="str">
        <f>VLOOKUP(Table2[[#This Row],[Prod Line ]],Lists!A:E,5,0)</f>
        <v>a</v>
      </c>
      <c r="B3010" s="1">
        <v>44690</v>
      </c>
      <c r="C3010" s="1">
        <v>44688</v>
      </c>
      <c r="D3010" s="1" t="s">
        <v>56</v>
      </c>
      <c r="E3010" s="2" t="s">
        <v>406</v>
      </c>
      <c r="F3010" s="1"/>
      <c r="G3010" s="2">
        <v>6</v>
      </c>
      <c r="H3010" s="1"/>
      <c r="I3010" t="s">
        <v>1</v>
      </c>
      <c r="J3010" t="s">
        <v>64</v>
      </c>
      <c r="K3010" t="s">
        <v>369</v>
      </c>
      <c r="L3010" t="s">
        <v>407</v>
      </c>
      <c r="M3010" s="3" t="s">
        <v>655</v>
      </c>
    </row>
    <row r="3011" spans="1:13" hidden="1" x14ac:dyDescent="0.25">
      <c r="A3011" s="1" t="str">
        <f>VLOOKUP(Table2[[#This Row],[Prod Line ]],Lists!A:E,5,0)</f>
        <v>a</v>
      </c>
      <c r="B3011" s="1">
        <v>44690</v>
      </c>
      <c r="C3011" s="1">
        <v>44688</v>
      </c>
      <c r="D3011" s="1" t="s">
        <v>56</v>
      </c>
      <c r="E3011" s="2" t="s">
        <v>404</v>
      </c>
      <c r="F3011" s="1"/>
      <c r="G3011" s="2">
        <v>5</v>
      </c>
      <c r="H3011" s="1"/>
      <c r="I3011" t="s">
        <v>1</v>
      </c>
      <c r="J3011" t="s">
        <v>2</v>
      </c>
      <c r="K3011" t="s">
        <v>19</v>
      </c>
      <c r="L3011" t="s">
        <v>349</v>
      </c>
      <c r="M3011" s="3" t="s">
        <v>575</v>
      </c>
    </row>
    <row r="3012" spans="1:13" x14ac:dyDescent="0.25">
      <c r="A3012" s="1" t="str">
        <f>VLOOKUP(Table2[[#This Row],[Prod Line ]],Lists!A:E,5,0)</f>
        <v>b</v>
      </c>
      <c r="B3012" s="1">
        <v>44690</v>
      </c>
      <c r="C3012" s="1">
        <v>44688</v>
      </c>
      <c r="D3012" s="1" t="s">
        <v>58</v>
      </c>
      <c r="E3012" s="2" t="s">
        <v>406</v>
      </c>
      <c r="F3012" s="1"/>
      <c r="G3012" s="2">
        <v>17</v>
      </c>
      <c r="H3012" s="1"/>
      <c r="I3012" t="s">
        <v>0</v>
      </c>
      <c r="J3012" t="s">
        <v>64</v>
      </c>
      <c r="K3012" t="s">
        <v>20</v>
      </c>
      <c r="L3012" t="s">
        <v>70</v>
      </c>
      <c r="M3012" s="3" t="s">
        <v>1955</v>
      </c>
    </row>
    <row r="3013" spans="1:13" hidden="1" x14ac:dyDescent="0.25">
      <c r="A3013" s="1" t="str">
        <f>VLOOKUP(Table2[[#This Row],[Prod Line ]],Lists!A:E,5,0)</f>
        <v>b</v>
      </c>
      <c r="B3013" s="1">
        <v>44690</v>
      </c>
      <c r="C3013" s="1">
        <v>44688</v>
      </c>
      <c r="D3013" s="1" t="s">
        <v>58</v>
      </c>
      <c r="E3013" s="2" t="s">
        <v>405</v>
      </c>
      <c r="F3013" s="1"/>
      <c r="G3013" s="2">
        <v>26</v>
      </c>
      <c r="H3013" s="1"/>
      <c r="I3013" t="s">
        <v>1</v>
      </c>
      <c r="J3013" t="s">
        <v>2</v>
      </c>
      <c r="K3013" t="s">
        <v>19</v>
      </c>
      <c r="L3013" t="s">
        <v>349</v>
      </c>
      <c r="M3013" s="3" t="s">
        <v>575</v>
      </c>
    </row>
    <row r="3014" spans="1:13" hidden="1" x14ac:dyDescent="0.25">
      <c r="A3014" s="1" t="str">
        <f>VLOOKUP(Table2[[#This Row],[Prod Line ]],Lists!A:E,5,0)</f>
        <v>b</v>
      </c>
      <c r="B3014" s="1">
        <v>44691</v>
      </c>
      <c r="C3014" s="1">
        <v>44689</v>
      </c>
      <c r="D3014" s="1" t="s">
        <v>58</v>
      </c>
      <c r="E3014" s="2" t="s">
        <v>405</v>
      </c>
      <c r="F3014" s="1"/>
      <c r="G3014" s="2">
        <v>15</v>
      </c>
      <c r="H3014" s="1"/>
      <c r="I3014" t="s">
        <v>1</v>
      </c>
      <c r="J3014" t="s">
        <v>64</v>
      </c>
      <c r="K3014" t="s">
        <v>22</v>
      </c>
      <c r="L3014" t="s">
        <v>407</v>
      </c>
      <c r="M3014" s="3" t="s">
        <v>833</v>
      </c>
    </row>
    <row r="3015" spans="1:13" x14ac:dyDescent="0.25">
      <c r="A3015" s="1" t="str">
        <f>VLOOKUP(Table2[[#This Row],[Prod Line ]],Lists!A:E,5,0)</f>
        <v>b</v>
      </c>
      <c r="B3015" s="1">
        <v>44691</v>
      </c>
      <c r="C3015" s="1">
        <v>44689</v>
      </c>
      <c r="D3015" s="1" t="s">
        <v>58</v>
      </c>
      <c r="E3015" s="2" t="s">
        <v>404</v>
      </c>
      <c r="F3015" s="1"/>
      <c r="G3015" s="2">
        <v>5</v>
      </c>
      <c r="H3015" s="1"/>
      <c r="I3015" t="s">
        <v>0</v>
      </c>
      <c r="J3015" t="s">
        <v>2</v>
      </c>
      <c r="K3015" t="s">
        <v>19</v>
      </c>
      <c r="L3015" t="s">
        <v>349</v>
      </c>
      <c r="M3015" s="3" t="s">
        <v>2279</v>
      </c>
    </row>
    <row r="3016" spans="1:13" hidden="1" x14ac:dyDescent="0.25">
      <c r="A3016" s="1" t="str">
        <f>VLOOKUP(Table2[[#This Row],[Prod Line ]],Lists!A:E,5,0)</f>
        <v>c</v>
      </c>
      <c r="B3016" s="1">
        <v>44691</v>
      </c>
      <c r="C3016" s="1">
        <v>44689</v>
      </c>
      <c r="D3016" s="1" t="s">
        <v>60</v>
      </c>
      <c r="E3016" s="2" t="s">
        <v>405</v>
      </c>
      <c r="F3016" s="1"/>
      <c r="G3016" s="2">
        <v>17</v>
      </c>
      <c r="H3016" s="1"/>
      <c r="I3016" t="s">
        <v>1</v>
      </c>
      <c r="J3016" t="s">
        <v>64</v>
      </c>
      <c r="K3016" t="s">
        <v>368</v>
      </c>
      <c r="L3016" t="s">
        <v>407</v>
      </c>
      <c r="M3016" s="3" t="s">
        <v>833</v>
      </c>
    </row>
    <row r="3017" spans="1:13" hidden="1" x14ac:dyDescent="0.25">
      <c r="A3017" s="1" t="str">
        <f>VLOOKUP(Table2[[#This Row],[Prod Line ]],Lists!A:E,5,0)</f>
        <v>c</v>
      </c>
      <c r="B3017" s="1">
        <v>44691</v>
      </c>
      <c r="C3017" s="1">
        <v>44689</v>
      </c>
      <c r="D3017" s="1" t="s">
        <v>60</v>
      </c>
      <c r="E3017" s="2" t="s">
        <v>405</v>
      </c>
      <c r="F3017" s="1"/>
      <c r="G3017" s="2">
        <v>5</v>
      </c>
      <c r="H3017" s="1"/>
      <c r="I3017" t="s">
        <v>1</v>
      </c>
      <c r="J3017" t="s">
        <v>2</v>
      </c>
      <c r="K3017" t="s">
        <v>378</v>
      </c>
      <c r="L3017" t="s">
        <v>407</v>
      </c>
      <c r="M3017" s="3" t="s">
        <v>2280</v>
      </c>
    </row>
    <row r="3018" spans="1:13" hidden="1" x14ac:dyDescent="0.25">
      <c r="A3018" s="1" t="str">
        <f>VLOOKUP(Table2[[#This Row],[Prod Line ]],Lists!A:E,5,0)</f>
        <v>d</v>
      </c>
      <c r="B3018" s="1">
        <v>44691</v>
      </c>
      <c r="C3018" s="1">
        <v>44689</v>
      </c>
      <c r="D3018" s="1" t="s">
        <v>62</v>
      </c>
      <c r="E3018" s="2" t="s">
        <v>404</v>
      </c>
      <c r="F3018" s="1"/>
      <c r="G3018" s="2">
        <v>48</v>
      </c>
      <c r="H3018" s="1"/>
      <c r="I3018" t="s">
        <v>1</v>
      </c>
      <c r="J3018" t="s">
        <v>2</v>
      </c>
      <c r="K3018" t="s">
        <v>19</v>
      </c>
      <c r="L3018" t="s">
        <v>407</v>
      </c>
      <c r="M3018" s="3" t="s">
        <v>834</v>
      </c>
    </row>
    <row r="3019" spans="1:13" hidden="1" x14ac:dyDescent="0.25">
      <c r="A3019" s="1" t="str">
        <f>VLOOKUP(Table2[[#This Row],[Prod Line ]],Lists!A:E,5,0)</f>
        <v>d</v>
      </c>
      <c r="B3019" s="1">
        <v>44691</v>
      </c>
      <c r="C3019" s="1">
        <v>44689</v>
      </c>
      <c r="D3019" s="1" t="s">
        <v>62</v>
      </c>
      <c r="E3019" s="2" t="s">
        <v>404</v>
      </c>
      <c r="F3019" s="1"/>
      <c r="G3019" s="2">
        <v>10</v>
      </c>
      <c r="H3019" s="1"/>
      <c r="I3019" t="s">
        <v>1</v>
      </c>
      <c r="J3019" t="s">
        <v>64</v>
      </c>
      <c r="K3019" t="s">
        <v>379</v>
      </c>
      <c r="L3019" t="s">
        <v>407</v>
      </c>
      <c r="M3019" s="3" t="s">
        <v>655</v>
      </c>
    </row>
    <row r="3020" spans="1:13" x14ac:dyDescent="0.25">
      <c r="A3020" s="1" t="str">
        <f>VLOOKUP(Table2[[#This Row],[Prod Line ]],Lists!A:E,5,0)</f>
        <v>d</v>
      </c>
      <c r="B3020" s="1">
        <v>44691</v>
      </c>
      <c r="C3020" s="1">
        <v>44689</v>
      </c>
      <c r="D3020" s="1" t="s">
        <v>62</v>
      </c>
      <c r="E3020" s="2" t="s">
        <v>406</v>
      </c>
      <c r="F3020" s="1"/>
      <c r="G3020" s="2">
        <v>30</v>
      </c>
      <c r="H3020" s="1"/>
      <c r="I3020" t="s">
        <v>0</v>
      </c>
      <c r="J3020" t="s">
        <v>65</v>
      </c>
      <c r="K3020" t="s">
        <v>394</v>
      </c>
      <c r="L3020" t="s">
        <v>70</v>
      </c>
      <c r="M3020" s="3" t="s">
        <v>2281</v>
      </c>
    </row>
    <row r="3021" spans="1:13" hidden="1" x14ac:dyDescent="0.25">
      <c r="A3021" s="1" t="str">
        <f>VLOOKUP(Table2[[#This Row],[Prod Line ]],Lists!A:E,5,0)</f>
        <v>b</v>
      </c>
      <c r="B3021" s="1">
        <v>44691</v>
      </c>
      <c r="C3021" s="1">
        <v>44689</v>
      </c>
      <c r="D3021" s="1" t="s">
        <v>58</v>
      </c>
      <c r="E3021" s="2" t="s">
        <v>406</v>
      </c>
      <c r="F3021" s="1"/>
      <c r="G3021" s="2">
        <v>25</v>
      </c>
      <c r="H3021" s="1"/>
      <c r="I3021" t="s">
        <v>1</v>
      </c>
      <c r="J3021" t="s">
        <v>2</v>
      </c>
      <c r="K3021" t="s">
        <v>19</v>
      </c>
      <c r="L3021" t="s">
        <v>407</v>
      </c>
      <c r="M3021" s="3" t="s">
        <v>2282</v>
      </c>
    </row>
    <row r="3022" spans="1:13" x14ac:dyDescent="0.25">
      <c r="A3022" s="1" t="str">
        <f>VLOOKUP(Table2[[#This Row],[Prod Line ]],Lists!A:E,5,0)</f>
        <v>a</v>
      </c>
      <c r="B3022" s="1">
        <v>44691</v>
      </c>
      <c r="C3022" s="1">
        <v>44690</v>
      </c>
      <c r="D3022" s="1" t="s">
        <v>56</v>
      </c>
      <c r="E3022" s="2" t="s">
        <v>406</v>
      </c>
      <c r="F3022" s="1"/>
      <c r="G3022" s="2">
        <v>15</v>
      </c>
      <c r="H3022" s="1"/>
      <c r="I3022" t="s">
        <v>0</v>
      </c>
      <c r="J3022" t="s">
        <v>64</v>
      </c>
      <c r="K3022" t="s">
        <v>370</v>
      </c>
      <c r="L3022" t="s">
        <v>70</v>
      </c>
      <c r="M3022" s="3" t="s">
        <v>2283</v>
      </c>
    </row>
    <row r="3023" spans="1:13" x14ac:dyDescent="0.25">
      <c r="A3023" s="1" t="str">
        <f>VLOOKUP(Table2[[#This Row],[Prod Line ]],Lists!A:E,5,0)</f>
        <v>a</v>
      </c>
      <c r="B3023" s="1">
        <v>44691</v>
      </c>
      <c r="C3023" s="1">
        <v>44690</v>
      </c>
      <c r="D3023" s="1" t="s">
        <v>56</v>
      </c>
      <c r="E3023" s="2" t="s">
        <v>406</v>
      </c>
      <c r="F3023" s="1"/>
      <c r="G3023" s="2">
        <v>30</v>
      </c>
      <c r="H3023" s="1"/>
      <c r="I3023" t="s">
        <v>0</v>
      </c>
      <c r="J3023" t="s">
        <v>2</v>
      </c>
      <c r="K3023" t="s">
        <v>13</v>
      </c>
      <c r="L3023" t="s">
        <v>70</v>
      </c>
      <c r="M3023" s="3" t="s">
        <v>2284</v>
      </c>
    </row>
    <row r="3024" spans="1:13" x14ac:dyDescent="0.25">
      <c r="A3024" s="1" t="str">
        <f>VLOOKUP(Table2[[#This Row],[Prod Line ]],Lists!A:E,5,0)</f>
        <v>a</v>
      </c>
      <c r="B3024" s="1">
        <v>44691</v>
      </c>
      <c r="C3024" s="1">
        <v>44690</v>
      </c>
      <c r="D3024" s="1" t="s">
        <v>56</v>
      </c>
      <c r="E3024" s="2" t="s">
        <v>404</v>
      </c>
      <c r="F3024" s="1"/>
      <c r="G3024" s="2">
        <v>21</v>
      </c>
      <c r="H3024" s="1"/>
      <c r="I3024" t="s">
        <v>0</v>
      </c>
      <c r="J3024" t="s">
        <v>2</v>
      </c>
      <c r="K3024" t="s">
        <v>19</v>
      </c>
      <c r="L3024" t="s">
        <v>70</v>
      </c>
      <c r="M3024" s="3" t="s">
        <v>719</v>
      </c>
    </row>
    <row r="3025" spans="1:13" x14ac:dyDescent="0.25">
      <c r="A3025" s="1" t="str">
        <f>VLOOKUP(Table2[[#This Row],[Prod Line ]],Lists!A:E,5,0)</f>
        <v>a</v>
      </c>
      <c r="B3025" s="1">
        <v>44693</v>
      </c>
      <c r="C3025" s="1">
        <v>44691</v>
      </c>
      <c r="D3025" s="1" t="s">
        <v>56</v>
      </c>
      <c r="E3025" s="2" t="s">
        <v>404</v>
      </c>
      <c r="F3025" s="1"/>
      <c r="G3025" s="2">
        <v>5</v>
      </c>
      <c r="H3025" s="1"/>
      <c r="I3025" t="s">
        <v>0</v>
      </c>
      <c r="J3025" t="s">
        <v>2</v>
      </c>
      <c r="K3025" t="s">
        <v>19</v>
      </c>
      <c r="L3025" t="s">
        <v>70</v>
      </c>
      <c r="M3025" s="3" t="s">
        <v>2285</v>
      </c>
    </row>
    <row r="3026" spans="1:13" x14ac:dyDescent="0.25">
      <c r="A3026" s="1" t="str">
        <f>VLOOKUP(Table2[[#This Row],[Prod Line ]],Lists!A:E,5,0)</f>
        <v>b</v>
      </c>
      <c r="B3026" s="1">
        <v>44693</v>
      </c>
      <c r="C3026" s="1">
        <v>44691</v>
      </c>
      <c r="D3026" s="1" t="s">
        <v>58</v>
      </c>
      <c r="E3026" s="2" t="s">
        <v>404</v>
      </c>
      <c r="F3026" s="1"/>
      <c r="G3026" s="2">
        <v>13</v>
      </c>
      <c r="H3026" s="1"/>
      <c r="I3026" t="s">
        <v>0</v>
      </c>
      <c r="J3026" t="s">
        <v>64</v>
      </c>
      <c r="K3026" t="s">
        <v>24</v>
      </c>
      <c r="L3026" t="s">
        <v>70</v>
      </c>
      <c r="M3026" s="3" t="s">
        <v>1498</v>
      </c>
    </row>
    <row r="3027" spans="1:13" x14ac:dyDescent="0.25">
      <c r="A3027" s="1" t="str">
        <f>VLOOKUP(Table2[[#This Row],[Prod Line ]],Lists!A:E,5,0)</f>
        <v>b</v>
      </c>
      <c r="B3027" s="1">
        <v>44693</v>
      </c>
      <c r="C3027" s="1">
        <v>44691</v>
      </c>
      <c r="D3027" s="1" t="s">
        <v>58</v>
      </c>
      <c r="E3027" s="2" t="s">
        <v>404</v>
      </c>
      <c r="F3027" s="1"/>
      <c r="G3027" s="2">
        <v>10</v>
      </c>
      <c r="H3027" s="1"/>
      <c r="I3027" t="s">
        <v>0</v>
      </c>
      <c r="J3027" t="s">
        <v>64</v>
      </c>
      <c r="K3027" t="s">
        <v>23</v>
      </c>
      <c r="L3027" t="s">
        <v>70</v>
      </c>
      <c r="M3027" s="3" t="s">
        <v>2286</v>
      </c>
    </row>
    <row r="3028" spans="1:13" x14ac:dyDescent="0.25">
      <c r="A3028" s="1" t="str">
        <f>VLOOKUP(Table2[[#This Row],[Prod Line ]],Lists!A:E,5,0)</f>
        <v>b</v>
      </c>
      <c r="B3028" s="1">
        <v>44693</v>
      </c>
      <c r="C3028" s="1">
        <v>44691</v>
      </c>
      <c r="D3028" s="1" t="s">
        <v>58</v>
      </c>
      <c r="E3028" s="2" t="s">
        <v>404</v>
      </c>
      <c r="F3028" s="1"/>
      <c r="G3028" s="2">
        <v>7</v>
      </c>
      <c r="H3028" s="1"/>
      <c r="I3028" t="s">
        <v>0</v>
      </c>
      <c r="J3028" t="s">
        <v>65</v>
      </c>
      <c r="K3028" t="s">
        <v>3</v>
      </c>
      <c r="L3028" t="s">
        <v>70</v>
      </c>
      <c r="M3028" s="3" t="s">
        <v>2287</v>
      </c>
    </row>
    <row r="3029" spans="1:13" x14ac:dyDescent="0.25">
      <c r="A3029" s="1" t="str">
        <f>VLOOKUP(Table2[[#This Row],[Prod Line ]],Lists!A:E,5,0)</f>
        <v>b</v>
      </c>
      <c r="B3029" s="1">
        <v>44693</v>
      </c>
      <c r="C3029" s="1">
        <v>44691</v>
      </c>
      <c r="D3029" s="1" t="s">
        <v>58</v>
      </c>
      <c r="E3029" s="2" t="s">
        <v>405</v>
      </c>
      <c r="F3029" s="1"/>
      <c r="G3029" s="2">
        <v>7</v>
      </c>
      <c r="H3029" s="1"/>
      <c r="I3029" t="s">
        <v>0</v>
      </c>
      <c r="J3029" t="s">
        <v>65</v>
      </c>
      <c r="K3029" t="s">
        <v>28</v>
      </c>
      <c r="L3029" t="s">
        <v>70</v>
      </c>
      <c r="M3029" s="3" t="s">
        <v>1477</v>
      </c>
    </row>
    <row r="3030" spans="1:13" hidden="1" x14ac:dyDescent="0.25">
      <c r="A3030" s="1" t="str">
        <f>VLOOKUP(Table2[[#This Row],[Prod Line ]],Lists!A:E,5,0)</f>
        <v>c</v>
      </c>
      <c r="B3030" s="1">
        <v>44693</v>
      </c>
      <c r="C3030" s="1">
        <v>44691</v>
      </c>
      <c r="D3030" s="1" t="s">
        <v>60</v>
      </c>
      <c r="E3030" s="2" t="s">
        <v>405</v>
      </c>
      <c r="F3030" s="1"/>
      <c r="G3030" s="2">
        <v>16</v>
      </c>
      <c r="H3030" s="1"/>
      <c r="I3030" t="s">
        <v>1</v>
      </c>
      <c r="J3030" t="s">
        <v>64</v>
      </c>
      <c r="K3030" t="s">
        <v>381</v>
      </c>
      <c r="L3030" t="s">
        <v>407</v>
      </c>
      <c r="M3030" s="3" t="s">
        <v>2288</v>
      </c>
    </row>
    <row r="3031" spans="1:13" hidden="1" x14ac:dyDescent="0.25">
      <c r="A3031" s="1" t="str">
        <f>VLOOKUP(Table2[[#This Row],[Prod Line ]],Lists!A:E,5,0)</f>
        <v>d</v>
      </c>
      <c r="B3031" s="1">
        <v>44693</v>
      </c>
      <c r="C3031" s="1">
        <v>44691</v>
      </c>
      <c r="D3031" s="1" t="s">
        <v>62</v>
      </c>
      <c r="E3031" s="2" t="s">
        <v>406</v>
      </c>
      <c r="F3031" s="1"/>
      <c r="G3031" s="2">
        <v>7</v>
      </c>
      <c r="H3031" s="1"/>
      <c r="I3031" t="s">
        <v>1</v>
      </c>
      <c r="J3031" t="s">
        <v>2</v>
      </c>
      <c r="K3031" t="s">
        <v>19</v>
      </c>
      <c r="L3031" t="s">
        <v>407</v>
      </c>
      <c r="M3031" s="3" t="s">
        <v>2289</v>
      </c>
    </row>
    <row r="3032" spans="1:13" hidden="1" x14ac:dyDescent="0.25">
      <c r="A3032" s="1" t="str">
        <f>VLOOKUP(Table2[[#This Row],[Prod Line ]],Lists!A:E,5,0)</f>
        <v>b</v>
      </c>
      <c r="B3032" s="1">
        <v>44694</v>
      </c>
      <c r="C3032" s="1">
        <v>44692</v>
      </c>
      <c r="D3032" s="1" t="s">
        <v>58</v>
      </c>
      <c r="E3032" s="2" t="s">
        <v>404</v>
      </c>
      <c r="F3032" s="1"/>
      <c r="G3032" s="2">
        <v>4</v>
      </c>
      <c r="H3032" s="1"/>
      <c r="I3032" t="s">
        <v>1</v>
      </c>
      <c r="J3032" t="s">
        <v>65</v>
      </c>
      <c r="K3032" t="s">
        <v>3</v>
      </c>
      <c r="L3032" t="s">
        <v>441</v>
      </c>
      <c r="M3032" s="3" t="s">
        <v>612</v>
      </c>
    </row>
    <row r="3033" spans="1:13" x14ac:dyDescent="0.25">
      <c r="A3033" s="1" t="str">
        <f>VLOOKUP(Table2[[#This Row],[Prod Line ]],Lists!A:E,5,0)</f>
        <v>a</v>
      </c>
      <c r="B3033" s="1">
        <v>44694</v>
      </c>
      <c r="C3033" s="1">
        <v>44692</v>
      </c>
      <c r="D3033" s="1" t="s">
        <v>56</v>
      </c>
      <c r="E3033" s="2" t="s">
        <v>406</v>
      </c>
      <c r="F3033" s="1"/>
      <c r="G3033" s="2">
        <v>15</v>
      </c>
      <c r="H3033" s="1"/>
      <c r="I3033" t="s">
        <v>0</v>
      </c>
      <c r="J3033" t="s">
        <v>66</v>
      </c>
      <c r="K3033" t="s">
        <v>4</v>
      </c>
      <c r="L3033" t="s">
        <v>70</v>
      </c>
      <c r="M3033" s="3" t="s">
        <v>2290</v>
      </c>
    </row>
    <row r="3034" spans="1:13" hidden="1" x14ac:dyDescent="0.25">
      <c r="A3034" s="1" t="str">
        <f>VLOOKUP(Table2[[#This Row],[Prod Line ]],Lists!A:E,5,0)</f>
        <v>a</v>
      </c>
      <c r="B3034" s="1">
        <v>44694</v>
      </c>
      <c r="C3034" s="1">
        <v>44692</v>
      </c>
      <c r="D3034" s="1" t="s">
        <v>56</v>
      </c>
      <c r="E3034" s="2" t="s">
        <v>405</v>
      </c>
      <c r="F3034" s="1"/>
      <c r="G3034" s="2">
        <v>28</v>
      </c>
      <c r="H3034" s="1"/>
      <c r="I3034" t="s">
        <v>1</v>
      </c>
      <c r="J3034" t="s">
        <v>64</v>
      </c>
      <c r="K3034" t="s">
        <v>370</v>
      </c>
      <c r="L3034" t="s">
        <v>70</v>
      </c>
      <c r="M3034" s="3" t="s">
        <v>2291</v>
      </c>
    </row>
    <row r="3035" spans="1:13" x14ac:dyDescent="0.25">
      <c r="A3035" s="1" t="str">
        <f>VLOOKUP(Table2[[#This Row],[Prod Line ]],Lists!A:E,5,0)</f>
        <v>a</v>
      </c>
      <c r="B3035" s="1">
        <v>44694</v>
      </c>
      <c r="C3035" s="1">
        <v>44692</v>
      </c>
      <c r="D3035" s="1" t="s">
        <v>56</v>
      </c>
      <c r="E3035" s="2" t="s">
        <v>406</v>
      </c>
      <c r="F3035" s="1"/>
      <c r="G3035" s="2">
        <v>12</v>
      </c>
      <c r="H3035" s="1"/>
      <c r="I3035" t="s">
        <v>0</v>
      </c>
      <c r="J3035" t="s">
        <v>5</v>
      </c>
      <c r="K3035" t="s">
        <v>376</v>
      </c>
      <c r="L3035" t="s">
        <v>70</v>
      </c>
      <c r="M3035" s="3" t="s">
        <v>2292</v>
      </c>
    </row>
    <row r="3036" spans="1:13" x14ac:dyDescent="0.25">
      <c r="A3036" s="1" t="str">
        <f>VLOOKUP(Table2[[#This Row],[Prod Line ]],Lists!A:E,5,0)</f>
        <v>d</v>
      </c>
      <c r="B3036" s="1">
        <v>44694</v>
      </c>
      <c r="C3036" s="1">
        <v>44692</v>
      </c>
      <c r="D3036" s="1" t="s">
        <v>62</v>
      </c>
      <c r="E3036" s="2" t="s">
        <v>406</v>
      </c>
      <c r="F3036" s="1"/>
      <c r="G3036" s="2">
        <v>36</v>
      </c>
      <c r="H3036" s="1"/>
      <c r="I3036" t="s">
        <v>0</v>
      </c>
      <c r="J3036" t="s">
        <v>5</v>
      </c>
      <c r="K3036" t="s">
        <v>397</v>
      </c>
      <c r="L3036" t="s">
        <v>70</v>
      </c>
      <c r="M3036" s="3" t="s">
        <v>1673</v>
      </c>
    </row>
    <row r="3037" spans="1:13" hidden="1" x14ac:dyDescent="0.25">
      <c r="A3037" s="1" t="str">
        <f>VLOOKUP(Table2[[#This Row],[Prod Line ]],Lists!A:E,5,0)</f>
        <v>d</v>
      </c>
      <c r="B3037" s="1">
        <v>44694</v>
      </c>
      <c r="C3037" s="1">
        <v>44692</v>
      </c>
      <c r="D3037" s="1" t="s">
        <v>62</v>
      </c>
      <c r="E3037" s="2" t="s">
        <v>406</v>
      </c>
      <c r="F3037" s="1"/>
      <c r="G3037" s="2">
        <v>12</v>
      </c>
      <c r="H3037" s="1"/>
      <c r="I3037" t="s">
        <v>1</v>
      </c>
      <c r="J3037" t="s">
        <v>2</v>
      </c>
      <c r="K3037" t="s">
        <v>19</v>
      </c>
      <c r="L3037" t="s">
        <v>349</v>
      </c>
      <c r="M3037" s="3" t="s">
        <v>575</v>
      </c>
    </row>
    <row r="3038" spans="1:13" x14ac:dyDescent="0.25">
      <c r="A3038" s="1" t="str">
        <f>VLOOKUP(Table2[[#This Row],[Prod Line ]],Lists!A:E,5,0)</f>
        <v>d</v>
      </c>
      <c r="B3038" s="1">
        <v>44694</v>
      </c>
      <c r="C3038" s="1">
        <v>44692</v>
      </c>
      <c r="D3038" s="1" t="s">
        <v>62</v>
      </c>
      <c r="E3038" s="2" t="s">
        <v>404</v>
      </c>
      <c r="F3038" s="1"/>
      <c r="G3038" s="2">
        <v>25</v>
      </c>
      <c r="H3038" s="1"/>
      <c r="I3038" t="s">
        <v>0</v>
      </c>
      <c r="J3038" t="s">
        <v>5</v>
      </c>
      <c r="K3038" t="s">
        <v>397</v>
      </c>
      <c r="L3038" t="s">
        <v>70</v>
      </c>
      <c r="M3038" s="3" t="s">
        <v>2293</v>
      </c>
    </row>
    <row r="3039" spans="1:13" hidden="1" x14ac:dyDescent="0.25">
      <c r="A3039" s="1" t="str">
        <f>VLOOKUP(Table2[[#This Row],[Prod Line ]],Lists!A:E,5,0)</f>
        <v>c</v>
      </c>
      <c r="B3039" s="1">
        <v>44695</v>
      </c>
      <c r="C3039" s="1">
        <v>44693</v>
      </c>
      <c r="D3039" s="1" t="s">
        <v>60</v>
      </c>
      <c r="E3039" s="2" t="s">
        <v>405</v>
      </c>
      <c r="F3039" s="1"/>
      <c r="G3039" s="2">
        <v>34</v>
      </c>
      <c r="H3039" s="1"/>
      <c r="I3039" t="s">
        <v>1</v>
      </c>
      <c r="J3039" t="s">
        <v>64</v>
      </c>
      <c r="K3039" t="s">
        <v>381</v>
      </c>
      <c r="L3039" t="s">
        <v>407</v>
      </c>
      <c r="M3039" s="3" t="s">
        <v>2288</v>
      </c>
    </row>
    <row r="3040" spans="1:13" x14ac:dyDescent="0.25">
      <c r="A3040" s="1" t="str">
        <f>VLOOKUP(Table2[[#This Row],[Prod Line ]],Lists!A:E,5,0)</f>
        <v>b</v>
      </c>
      <c r="B3040" s="1">
        <v>44695</v>
      </c>
      <c r="C3040" s="1">
        <v>44693</v>
      </c>
      <c r="D3040" s="1" t="s">
        <v>58</v>
      </c>
      <c r="E3040" s="2" t="s">
        <v>404</v>
      </c>
      <c r="F3040" s="1"/>
      <c r="G3040" s="2">
        <v>12</v>
      </c>
      <c r="H3040" s="1"/>
      <c r="I3040" t="s">
        <v>0</v>
      </c>
      <c r="J3040" t="s">
        <v>26</v>
      </c>
      <c r="K3040" t="s">
        <v>25</v>
      </c>
      <c r="L3040" t="s">
        <v>70</v>
      </c>
      <c r="M3040" s="3" t="s">
        <v>2244</v>
      </c>
    </row>
    <row r="3041" spans="1:13" hidden="1" x14ac:dyDescent="0.25">
      <c r="A3041" s="1" t="str">
        <f>VLOOKUP(Table2[[#This Row],[Prod Line ]],Lists!A:E,5,0)</f>
        <v>b</v>
      </c>
      <c r="B3041" s="1">
        <v>44695</v>
      </c>
      <c r="C3041" s="1">
        <v>44693</v>
      </c>
      <c r="D3041" s="1" t="s">
        <v>58</v>
      </c>
      <c r="E3041" s="2" t="s">
        <v>404</v>
      </c>
      <c r="F3041" s="1"/>
      <c r="G3041" s="2">
        <v>4</v>
      </c>
      <c r="H3041" s="1"/>
      <c r="I3041" t="s">
        <v>1</v>
      </c>
      <c r="J3041" t="s">
        <v>2</v>
      </c>
      <c r="K3041" t="s">
        <v>19</v>
      </c>
      <c r="L3041" t="s">
        <v>349</v>
      </c>
      <c r="M3041" s="3" t="s">
        <v>575</v>
      </c>
    </row>
    <row r="3042" spans="1:13" hidden="1" x14ac:dyDescent="0.25">
      <c r="A3042" s="1" t="str">
        <f>VLOOKUP(Table2[[#This Row],[Prod Line ]],Lists!A:E,5,0)</f>
        <v>d</v>
      </c>
      <c r="B3042" s="1">
        <v>44695</v>
      </c>
      <c r="C3042" s="1">
        <v>44693</v>
      </c>
      <c r="D3042" s="1" t="s">
        <v>62</v>
      </c>
      <c r="E3042" s="2" t="s">
        <v>404</v>
      </c>
      <c r="F3042" s="1"/>
      <c r="G3042" s="2">
        <v>2</v>
      </c>
      <c r="H3042" s="1"/>
      <c r="I3042" t="s">
        <v>1</v>
      </c>
      <c r="J3042" t="s">
        <v>26</v>
      </c>
      <c r="K3042" t="s">
        <v>393</v>
      </c>
      <c r="L3042" t="s">
        <v>407</v>
      </c>
      <c r="M3042" s="3" t="s">
        <v>750</v>
      </c>
    </row>
    <row r="3043" spans="1:13" hidden="1" x14ac:dyDescent="0.25">
      <c r="A3043" s="1" t="str">
        <f>VLOOKUP(Table2[[#This Row],[Prod Line ]],Lists!A:E,5,0)</f>
        <v>a</v>
      </c>
      <c r="B3043" s="1">
        <v>44697</v>
      </c>
      <c r="C3043" s="1">
        <v>44695</v>
      </c>
      <c r="D3043" s="1" t="s">
        <v>56</v>
      </c>
      <c r="E3043" s="2" t="s">
        <v>406</v>
      </c>
      <c r="F3043" s="1"/>
      <c r="G3043" s="2">
        <v>20</v>
      </c>
      <c r="H3043" s="1"/>
      <c r="I3043" t="s">
        <v>1</v>
      </c>
      <c r="J3043" t="s">
        <v>67</v>
      </c>
      <c r="K3043" t="s">
        <v>67</v>
      </c>
      <c r="L3043" t="s">
        <v>430</v>
      </c>
      <c r="M3043" s="3" t="s">
        <v>2297</v>
      </c>
    </row>
    <row r="3044" spans="1:13" hidden="1" x14ac:dyDescent="0.25">
      <c r="A3044" s="1" t="str">
        <f>VLOOKUP(Table2[[#This Row],[Prod Line ]],Lists!A:E,5,0)</f>
        <v>a</v>
      </c>
      <c r="B3044" s="1">
        <v>44697</v>
      </c>
      <c r="C3044" s="1">
        <v>44695</v>
      </c>
      <c r="D3044" s="1" t="s">
        <v>56</v>
      </c>
      <c r="E3044" s="2" t="s">
        <v>406</v>
      </c>
      <c r="F3044" s="1"/>
      <c r="G3044" s="2">
        <v>12</v>
      </c>
      <c r="H3044" s="1"/>
      <c r="I3044" t="s">
        <v>67</v>
      </c>
      <c r="J3044" t="s">
        <v>67</v>
      </c>
      <c r="K3044" t="s">
        <v>67</v>
      </c>
      <c r="L3044" t="s">
        <v>346</v>
      </c>
      <c r="M3044" s="3" t="s">
        <v>2294</v>
      </c>
    </row>
    <row r="3045" spans="1:13" hidden="1" x14ac:dyDescent="0.25">
      <c r="A3045" s="1" t="str">
        <f>VLOOKUP(Table2[[#This Row],[Prod Line ]],Lists!A:E,5,0)</f>
        <v>a</v>
      </c>
      <c r="B3045" s="1">
        <v>44697</v>
      </c>
      <c r="C3045" s="1">
        <v>44695</v>
      </c>
      <c r="D3045" s="1" t="s">
        <v>56</v>
      </c>
      <c r="E3045" s="2" t="s">
        <v>405</v>
      </c>
      <c r="F3045" s="1"/>
      <c r="G3045" s="2">
        <v>35</v>
      </c>
      <c r="H3045" s="1"/>
      <c r="I3045" t="s">
        <v>1</v>
      </c>
      <c r="J3045" t="s">
        <v>2</v>
      </c>
      <c r="K3045" t="s">
        <v>17</v>
      </c>
      <c r="L3045" t="s">
        <v>349</v>
      </c>
      <c r="M3045" s="3" t="s">
        <v>2295</v>
      </c>
    </row>
    <row r="3046" spans="1:13" hidden="1" x14ac:dyDescent="0.25">
      <c r="A3046" s="1" t="str">
        <f>VLOOKUP(Table2[[#This Row],[Prod Line ]],Lists!A:E,5,0)</f>
        <v>b</v>
      </c>
      <c r="B3046" s="1">
        <v>44697</v>
      </c>
      <c r="C3046" s="1">
        <v>44695</v>
      </c>
      <c r="D3046" s="1" t="s">
        <v>58</v>
      </c>
      <c r="E3046" s="2" t="s">
        <v>404</v>
      </c>
      <c r="F3046" s="1"/>
      <c r="G3046" s="2">
        <v>76</v>
      </c>
      <c r="H3046" s="1"/>
      <c r="I3046" t="s">
        <v>67</v>
      </c>
      <c r="J3046" t="s">
        <v>67</v>
      </c>
      <c r="K3046" t="s">
        <v>67</v>
      </c>
      <c r="L3046" t="s">
        <v>71</v>
      </c>
      <c r="M3046" s="3" t="s">
        <v>2296</v>
      </c>
    </row>
    <row r="3047" spans="1:13" hidden="1" x14ac:dyDescent="0.25">
      <c r="A3047" s="1" t="str">
        <f>VLOOKUP(Table2[[#This Row],[Prod Line ]],Lists!A:E,5,0)</f>
        <v>b</v>
      </c>
      <c r="B3047" s="1">
        <v>44697</v>
      </c>
      <c r="C3047" s="1">
        <v>44695</v>
      </c>
      <c r="D3047" s="1" t="s">
        <v>58</v>
      </c>
      <c r="E3047" s="2" t="s">
        <v>404</v>
      </c>
      <c r="F3047" s="1"/>
      <c r="G3047" s="2">
        <v>15</v>
      </c>
      <c r="H3047" s="1"/>
      <c r="I3047" t="s">
        <v>67</v>
      </c>
      <c r="J3047" t="s">
        <v>67</v>
      </c>
      <c r="K3047" t="s">
        <v>67</v>
      </c>
      <c r="L3047" t="s">
        <v>71</v>
      </c>
      <c r="M3047" s="3" t="s">
        <v>2302</v>
      </c>
    </row>
    <row r="3048" spans="1:13" hidden="1" x14ac:dyDescent="0.25">
      <c r="A3048" s="1" t="str">
        <f>VLOOKUP(Table2[[#This Row],[Prod Line ]],Lists!A:E,5,0)</f>
        <v>b</v>
      </c>
      <c r="B3048" s="1">
        <v>44697</v>
      </c>
      <c r="C3048" s="1">
        <v>44695</v>
      </c>
      <c r="D3048" s="1" t="s">
        <v>58</v>
      </c>
      <c r="E3048" s="2" t="s">
        <v>404</v>
      </c>
      <c r="F3048" s="1"/>
      <c r="G3048" s="2">
        <v>14</v>
      </c>
      <c r="H3048" s="1"/>
      <c r="I3048" t="s">
        <v>1</v>
      </c>
      <c r="J3048" t="s">
        <v>66</v>
      </c>
      <c r="K3048" t="s">
        <v>4</v>
      </c>
      <c r="L3048" t="s">
        <v>441</v>
      </c>
      <c r="M3048" s="3" t="s">
        <v>2298</v>
      </c>
    </row>
    <row r="3049" spans="1:13" x14ac:dyDescent="0.25">
      <c r="A3049" s="1" t="str">
        <f>VLOOKUP(Table2[[#This Row],[Prod Line ]],Lists!A:E,5,0)</f>
        <v>c</v>
      </c>
      <c r="B3049" s="1">
        <v>44697</v>
      </c>
      <c r="C3049" s="1">
        <v>44695</v>
      </c>
      <c r="D3049" s="1" t="s">
        <v>60</v>
      </c>
      <c r="E3049" s="2" t="s">
        <v>404</v>
      </c>
      <c r="F3049" s="1"/>
      <c r="G3049" s="2">
        <v>10</v>
      </c>
      <c r="H3049" s="1"/>
      <c r="I3049" t="s">
        <v>0</v>
      </c>
      <c r="J3049" t="s">
        <v>64</v>
      </c>
      <c r="K3049" t="s">
        <v>368</v>
      </c>
      <c r="L3049" t="s">
        <v>70</v>
      </c>
      <c r="M3049" s="3" t="s">
        <v>2294</v>
      </c>
    </row>
    <row r="3050" spans="1:13" hidden="1" x14ac:dyDescent="0.25">
      <c r="A3050" s="1" t="str">
        <f>VLOOKUP(Table2[[#This Row],[Prod Line ]],Lists!A:E,5,0)</f>
        <v>d</v>
      </c>
      <c r="B3050" s="1">
        <v>44697</v>
      </c>
      <c r="C3050" s="1">
        <v>44695</v>
      </c>
      <c r="D3050" s="1" t="s">
        <v>62</v>
      </c>
      <c r="E3050" s="2" t="s">
        <v>405</v>
      </c>
      <c r="F3050" s="1"/>
      <c r="G3050" s="2">
        <v>4</v>
      </c>
      <c r="H3050" s="1"/>
      <c r="I3050" t="s">
        <v>1</v>
      </c>
      <c r="J3050" t="s">
        <v>2</v>
      </c>
      <c r="K3050" t="s">
        <v>19</v>
      </c>
      <c r="L3050" t="s">
        <v>349</v>
      </c>
      <c r="M3050" s="3" t="s">
        <v>834</v>
      </c>
    </row>
    <row r="3051" spans="1:13" x14ac:dyDescent="0.25">
      <c r="A3051" s="1" t="str">
        <f>VLOOKUP(Table2[[#This Row],[Prod Line ]],Lists!A:E,5,0)</f>
        <v>a</v>
      </c>
      <c r="B3051" s="1">
        <v>44698</v>
      </c>
      <c r="C3051" s="1">
        <v>44696</v>
      </c>
      <c r="D3051" s="1" t="s">
        <v>56</v>
      </c>
      <c r="E3051" s="2" t="s">
        <v>406</v>
      </c>
      <c r="F3051" s="1"/>
      <c r="G3051" s="2">
        <v>8</v>
      </c>
      <c r="H3051" s="1"/>
      <c r="I3051" t="s">
        <v>0</v>
      </c>
      <c r="J3051" t="s">
        <v>64</v>
      </c>
      <c r="K3051" t="s">
        <v>371</v>
      </c>
      <c r="L3051" t="s">
        <v>70</v>
      </c>
      <c r="M3051" s="3" t="s">
        <v>2299</v>
      </c>
    </row>
    <row r="3052" spans="1:13" hidden="1" x14ac:dyDescent="0.25">
      <c r="A3052" s="1" t="str">
        <f>VLOOKUP(Table2[[#This Row],[Prod Line ]],Lists!A:E,5,0)</f>
        <v>d</v>
      </c>
      <c r="B3052" s="1">
        <v>44698</v>
      </c>
      <c r="C3052" s="1">
        <v>44696</v>
      </c>
      <c r="D3052" s="1" t="s">
        <v>62</v>
      </c>
      <c r="E3052" s="2" t="s">
        <v>405</v>
      </c>
      <c r="F3052" s="1"/>
      <c r="G3052" s="2">
        <v>22</v>
      </c>
      <c r="H3052" s="1"/>
      <c r="I3052" t="s">
        <v>1</v>
      </c>
      <c r="J3052" t="s">
        <v>2</v>
      </c>
      <c r="K3052" t="s">
        <v>19</v>
      </c>
      <c r="L3052" t="s">
        <v>407</v>
      </c>
      <c r="M3052" s="3" t="s">
        <v>2300</v>
      </c>
    </row>
    <row r="3053" spans="1:13" hidden="1" x14ac:dyDescent="0.25">
      <c r="A3053" s="1" t="str">
        <f>VLOOKUP(Table2[[#This Row],[Prod Line ]],Lists!A:E,5,0)</f>
        <v>d</v>
      </c>
      <c r="B3053" s="1">
        <v>44698</v>
      </c>
      <c r="C3053" s="1">
        <v>44696</v>
      </c>
      <c r="D3053" s="1" t="s">
        <v>62</v>
      </c>
      <c r="E3053" s="2" t="s">
        <v>406</v>
      </c>
      <c r="F3053" s="1"/>
      <c r="G3053" s="2">
        <v>15</v>
      </c>
      <c r="H3053" s="1"/>
      <c r="I3053" t="s">
        <v>1</v>
      </c>
      <c r="J3053" t="s">
        <v>2</v>
      </c>
      <c r="K3053" t="s">
        <v>19</v>
      </c>
      <c r="L3053" t="s">
        <v>72</v>
      </c>
      <c r="M3053" s="3" t="s">
        <v>2301</v>
      </c>
    </row>
    <row r="3054" spans="1:13" x14ac:dyDescent="0.25">
      <c r="A3054" s="1" t="str">
        <f>VLOOKUP(Table2[[#This Row],[Prod Line ]],Lists!A:E,5,0)</f>
        <v>b</v>
      </c>
      <c r="B3054" s="1">
        <v>44698</v>
      </c>
      <c r="C3054" s="1">
        <v>44696</v>
      </c>
      <c r="D3054" s="1" t="s">
        <v>58</v>
      </c>
      <c r="E3054" s="2" t="s">
        <v>404</v>
      </c>
      <c r="F3054" s="1"/>
      <c r="G3054" s="2">
        <v>20</v>
      </c>
      <c r="H3054" s="1"/>
      <c r="I3054" t="s">
        <v>0</v>
      </c>
      <c r="J3054" t="s">
        <v>26</v>
      </c>
      <c r="K3054" t="s">
        <v>25</v>
      </c>
      <c r="L3054" t="s">
        <v>70</v>
      </c>
      <c r="M3054" s="3" t="s">
        <v>2303</v>
      </c>
    </row>
    <row r="3055" spans="1:13" hidden="1" x14ac:dyDescent="0.25">
      <c r="A3055" s="1" t="str">
        <f>VLOOKUP(Table2[[#This Row],[Prod Line ]],Lists!A:E,5,0)</f>
        <v>b</v>
      </c>
      <c r="B3055" s="1">
        <v>44698</v>
      </c>
      <c r="C3055" s="1">
        <v>44696</v>
      </c>
      <c r="D3055" s="1" t="s">
        <v>58</v>
      </c>
      <c r="E3055" s="2" t="s">
        <v>405</v>
      </c>
      <c r="F3055" s="1"/>
      <c r="G3055" s="2">
        <v>5</v>
      </c>
      <c r="H3055" s="1"/>
      <c r="I3055" t="s">
        <v>1</v>
      </c>
      <c r="J3055" t="s">
        <v>26</v>
      </c>
      <c r="K3055" t="s">
        <v>26</v>
      </c>
      <c r="L3055" t="s">
        <v>441</v>
      </c>
      <c r="M3055" s="3" t="s">
        <v>2304</v>
      </c>
    </row>
    <row r="3056" spans="1:13" x14ac:dyDescent="0.25">
      <c r="A3056" s="1" t="str">
        <f>VLOOKUP(Table2[[#This Row],[Prod Line ]],Lists!A:E,5,0)</f>
        <v>b</v>
      </c>
      <c r="B3056" s="1">
        <v>44698</v>
      </c>
      <c r="C3056" s="1">
        <v>44696</v>
      </c>
      <c r="D3056" s="1" t="s">
        <v>58</v>
      </c>
      <c r="E3056" s="2" t="s">
        <v>405</v>
      </c>
      <c r="F3056" s="1"/>
      <c r="G3056" s="2">
        <v>10</v>
      </c>
      <c r="H3056" s="1"/>
      <c r="I3056" t="s">
        <v>0</v>
      </c>
      <c r="J3056" t="s">
        <v>26</v>
      </c>
      <c r="K3056" t="s">
        <v>26</v>
      </c>
      <c r="L3056" t="s">
        <v>70</v>
      </c>
      <c r="M3056" s="3" t="s">
        <v>2305</v>
      </c>
    </row>
    <row r="3057" spans="1:13" hidden="1" x14ac:dyDescent="0.25">
      <c r="A3057" s="1" t="str">
        <f>VLOOKUP(Table2[[#This Row],[Prod Line ]],Lists!A:E,5,0)</f>
        <v>a</v>
      </c>
      <c r="B3057" s="1">
        <v>44698</v>
      </c>
      <c r="C3057" s="1">
        <v>44696</v>
      </c>
      <c r="D3057" s="1" t="s">
        <v>56</v>
      </c>
      <c r="E3057" s="2" t="s">
        <v>406</v>
      </c>
      <c r="F3057" s="1"/>
      <c r="G3057" s="2">
        <v>23</v>
      </c>
      <c r="H3057" s="1"/>
      <c r="I3057" t="s">
        <v>1</v>
      </c>
      <c r="J3057" t="s">
        <v>64</v>
      </c>
      <c r="K3057" t="s">
        <v>369</v>
      </c>
      <c r="L3057" t="s">
        <v>407</v>
      </c>
      <c r="M3057" s="3" t="s">
        <v>750</v>
      </c>
    </row>
    <row r="3058" spans="1:13" hidden="1" x14ac:dyDescent="0.25">
      <c r="A3058" s="1" t="str">
        <f>VLOOKUP(Table2[[#This Row],[Prod Line ]],Lists!A:E,5,0)</f>
        <v>a</v>
      </c>
      <c r="B3058" s="1">
        <v>44698</v>
      </c>
      <c r="C3058" s="1">
        <v>44696</v>
      </c>
      <c r="D3058" s="1" t="s">
        <v>56</v>
      </c>
      <c r="E3058" s="2" t="s">
        <v>404</v>
      </c>
      <c r="F3058" s="1"/>
      <c r="G3058" s="2">
        <v>7</v>
      </c>
      <c r="H3058" s="1"/>
      <c r="I3058" t="s">
        <v>1</v>
      </c>
      <c r="J3058" t="s">
        <v>2</v>
      </c>
      <c r="K3058" t="s">
        <v>19</v>
      </c>
      <c r="L3058" t="s">
        <v>349</v>
      </c>
      <c r="M3058" s="3" t="s">
        <v>575</v>
      </c>
    </row>
    <row r="3059" spans="1:13" hidden="1" x14ac:dyDescent="0.25">
      <c r="A3059" s="1" t="str">
        <f>VLOOKUP(Table2[[#This Row],[Prod Line ]],Lists!A:E,5,0)</f>
        <v>c</v>
      </c>
      <c r="B3059" s="1">
        <v>44698</v>
      </c>
      <c r="C3059" s="1">
        <v>44696</v>
      </c>
      <c r="D3059" s="1" t="s">
        <v>60</v>
      </c>
      <c r="E3059" s="35" t="s">
        <v>405</v>
      </c>
      <c r="F3059" s="1"/>
      <c r="G3059" s="2">
        <v>20</v>
      </c>
      <c r="H3059" s="1"/>
      <c r="I3059" t="s">
        <v>1</v>
      </c>
      <c r="J3059" t="s">
        <v>64</v>
      </c>
      <c r="K3059" t="s">
        <v>379</v>
      </c>
      <c r="L3059" t="s">
        <v>72</v>
      </c>
      <c r="M3059" s="3" t="s">
        <v>2306</v>
      </c>
    </row>
    <row r="3060" spans="1:13" hidden="1" x14ac:dyDescent="0.25">
      <c r="A3060" s="1" t="str">
        <f>VLOOKUP(Table2[[#This Row],[Prod Line ]],Lists!A:E,5,0)</f>
        <v>b</v>
      </c>
      <c r="B3060" s="1">
        <v>44700</v>
      </c>
      <c r="C3060" s="1">
        <v>44698</v>
      </c>
      <c r="D3060" s="1" t="s">
        <v>58</v>
      </c>
      <c r="E3060" s="2" t="s">
        <v>406</v>
      </c>
      <c r="F3060" s="1"/>
      <c r="G3060" s="2">
        <v>15</v>
      </c>
      <c r="H3060" s="1"/>
      <c r="I3060" t="s">
        <v>1</v>
      </c>
      <c r="J3060" t="s">
        <v>65</v>
      </c>
      <c r="K3060" t="s">
        <v>3</v>
      </c>
      <c r="L3060" t="s">
        <v>441</v>
      </c>
      <c r="M3060" s="3" t="s">
        <v>612</v>
      </c>
    </row>
    <row r="3061" spans="1:13" hidden="1" x14ac:dyDescent="0.25">
      <c r="A3061" s="1" t="str">
        <f>VLOOKUP(Table2[[#This Row],[Prod Line ]],Lists!A:E,5,0)</f>
        <v>c</v>
      </c>
      <c r="B3061" s="1">
        <v>44700</v>
      </c>
      <c r="C3061" s="1">
        <v>44698</v>
      </c>
      <c r="D3061" s="1" t="s">
        <v>60</v>
      </c>
      <c r="E3061" s="2" t="s">
        <v>405</v>
      </c>
      <c r="F3061" s="1"/>
      <c r="G3061" s="2">
        <v>3</v>
      </c>
      <c r="H3061" s="1"/>
      <c r="I3061" t="s">
        <v>1</v>
      </c>
      <c r="J3061" t="s">
        <v>65</v>
      </c>
      <c r="K3061" t="s">
        <v>3</v>
      </c>
      <c r="L3061" t="s">
        <v>441</v>
      </c>
      <c r="M3061" s="3" t="s">
        <v>2307</v>
      </c>
    </row>
    <row r="3062" spans="1:13" hidden="1" x14ac:dyDescent="0.25">
      <c r="A3062" s="1" t="str">
        <f>VLOOKUP(Table2[[#This Row],[Prod Line ]],Lists!A:E,5,0)</f>
        <v>d</v>
      </c>
      <c r="B3062" s="1">
        <v>44700</v>
      </c>
      <c r="C3062" s="1">
        <v>44698</v>
      </c>
      <c r="D3062" s="1" t="s">
        <v>62</v>
      </c>
      <c r="E3062" s="2" t="s">
        <v>404</v>
      </c>
      <c r="F3062" s="1"/>
      <c r="G3062" s="2">
        <v>8</v>
      </c>
      <c r="H3062" s="1"/>
      <c r="I3062" t="s">
        <v>1</v>
      </c>
      <c r="J3062" t="s">
        <v>2</v>
      </c>
      <c r="K3062" t="s">
        <v>19</v>
      </c>
      <c r="L3062" t="s">
        <v>407</v>
      </c>
      <c r="M3062" s="3" t="s">
        <v>834</v>
      </c>
    </row>
    <row r="3063" spans="1:13" hidden="1" x14ac:dyDescent="0.25">
      <c r="A3063" s="1" t="str">
        <f>VLOOKUP(Table2[[#This Row],[Prod Line ]],Lists!A:E,5,0)</f>
        <v>a</v>
      </c>
      <c r="B3063" s="1">
        <v>44700</v>
      </c>
      <c r="C3063" s="1">
        <v>44698</v>
      </c>
      <c r="D3063" s="1" t="s">
        <v>56</v>
      </c>
      <c r="E3063" s="2" t="s">
        <v>406</v>
      </c>
      <c r="F3063" s="1"/>
      <c r="G3063" s="2">
        <v>2</v>
      </c>
      <c r="H3063" s="1"/>
      <c r="I3063" t="s">
        <v>1</v>
      </c>
      <c r="J3063" t="s">
        <v>2</v>
      </c>
      <c r="K3063" t="s">
        <v>19</v>
      </c>
      <c r="L3063" t="s">
        <v>349</v>
      </c>
      <c r="M3063" s="3" t="s">
        <v>575</v>
      </c>
    </row>
    <row r="3064" spans="1:13" x14ac:dyDescent="0.25">
      <c r="A3064" s="1" t="str">
        <f>VLOOKUP(Table2[[#This Row],[Prod Line ]],Lists!A:E,5,0)</f>
        <v>a</v>
      </c>
      <c r="B3064" s="1">
        <v>44700</v>
      </c>
      <c r="C3064" s="1">
        <v>44698</v>
      </c>
      <c r="D3064" s="1" t="s">
        <v>56</v>
      </c>
      <c r="E3064" s="2" t="s">
        <v>404</v>
      </c>
      <c r="F3064" s="1"/>
      <c r="G3064" s="2">
        <v>5</v>
      </c>
      <c r="H3064" s="1"/>
      <c r="I3064" t="s">
        <v>0</v>
      </c>
      <c r="J3064" t="s">
        <v>67</v>
      </c>
      <c r="K3064" t="s">
        <v>67</v>
      </c>
      <c r="L3064" t="s">
        <v>70</v>
      </c>
      <c r="M3064" s="3" t="s">
        <v>2308</v>
      </c>
    </row>
    <row r="3065" spans="1:13" hidden="1" x14ac:dyDescent="0.25">
      <c r="A3065" s="1" t="str">
        <f>VLOOKUP(Table2[[#This Row],[Prod Line ]],Lists!A:E,5,0)</f>
        <v>a</v>
      </c>
      <c r="B3065" s="1">
        <v>44700</v>
      </c>
      <c r="C3065" s="1">
        <v>44698</v>
      </c>
      <c r="D3065" s="1" t="s">
        <v>56</v>
      </c>
      <c r="E3065" s="2" t="s">
        <v>404</v>
      </c>
      <c r="F3065" s="1"/>
      <c r="G3065" s="2">
        <v>4</v>
      </c>
      <c r="H3065" s="1"/>
      <c r="I3065" t="s">
        <v>1</v>
      </c>
      <c r="J3065" t="s">
        <v>64</v>
      </c>
      <c r="K3065" t="s">
        <v>370</v>
      </c>
      <c r="L3065" t="s">
        <v>407</v>
      </c>
      <c r="M3065" s="3" t="s">
        <v>750</v>
      </c>
    </row>
    <row r="3066" spans="1:13" x14ac:dyDescent="0.25">
      <c r="A3066" s="1" t="str">
        <f>VLOOKUP(Table2[[#This Row],[Prod Line ]],Lists!A:E,5,0)</f>
        <v>a</v>
      </c>
      <c r="B3066" s="1">
        <v>44700</v>
      </c>
      <c r="C3066" s="1">
        <v>44698</v>
      </c>
      <c r="D3066" s="1" t="s">
        <v>56</v>
      </c>
      <c r="E3066" s="2" t="s">
        <v>405</v>
      </c>
      <c r="F3066" s="1"/>
      <c r="G3066" s="2">
        <v>12</v>
      </c>
      <c r="H3066" s="1"/>
      <c r="I3066" t="s">
        <v>0</v>
      </c>
      <c r="J3066" t="s">
        <v>5</v>
      </c>
      <c r="K3066" t="s">
        <v>375</v>
      </c>
      <c r="L3066" t="s">
        <v>70</v>
      </c>
      <c r="M3066" s="3" t="s">
        <v>2135</v>
      </c>
    </row>
    <row r="3067" spans="1:13" x14ac:dyDescent="0.25">
      <c r="A3067" s="1" t="str">
        <f>VLOOKUP(Table2[[#This Row],[Prod Line ]],Lists!A:E,5,0)</f>
        <v>a</v>
      </c>
      <c r="B3067" s="1">
        <v>44700</v>
      </c>
      <c r="C3067" s="1">
        <v>44698</v>
      </c>
      <c r="D3067" s="1" t="s">
        <v>56</v>
      </c>
      <c r="E3067" s="2" t="s">
        <v>406</v>
      </c>
      <c r="F3067" s="1"/>
      <c r="G3067" s="2">
        <v>30</v>
      </c>
      <c r="H3067" s="1"/>
      <c r="I3067" t="s">
        <v>0</v>
      </c>
      <c r="J3067" t="s">
        <v>5</v>
      </c>
      <c r="K3067" t="s">
        <v>376</v>
      </c>
      <c r="L3067" t="s">
        <v>70</v>
      </c>
      <c r="M3067" s="3" t="s">
        <v>1016</v>
      </c>
    </row>
    <row r="3068" spans="1:13" hidden="1" x14ac:dyDescent="0.25">
      <c r="A3068" s="1" t="str">
        <f>VLOOKUP(Table2[[#This Row],[Prod Line ]],Lists!A:E,5,0)</f>
        <v>a</v>
      </c>
      <c r="B3068" s="1">
        <v>44701</v>
      </c>
      <c r="C3068" s="1">
        <v>44699</v>
      </c>
      <c r="D3068" s="1" t="s">
        <v>56</v>
      </c>
      <c r="E3068" s="2" t="s">
        <v>405</v>
      </c>
      <c r="F3068" s="1"/>
      <c r="G3068" s="2">
        <v>15</v>
      </c>
      <c r="H3068" s="1"/>
      <c r="I3068" t="s">
        <v>1</v>
      </c>
      <c r="J3068" t="s">
        <v>5</v>
      </c>
      <c r="K3068" t="s">
        <v>376</v>
      </c>
      <c r="L3068" t="s">
        <v>407</v>
      </c>
      <c r="M3068" s="3" t="s">
        <v>2309</v>
      </c>
    </row>
    <row r="3069" spans="1:13" x14ac:dyDescent="0.25">
      <c r="A3069" s="1" t="str">
        <f>VLOOKUP(Table2[[#This Row],[Prod Line ]],Lists!A:E,5,0)</f>
        <v>a</v>
      </c>
      <c r="B3069" s="1">
        <v>44701</v>
      </c>
      <c r="C3069" s="1">
        <v>44699</v>
      </c>
      <c r="D3069" s="1" t="s">
        <v>56</v>
      </c>
      <c r="E3069" s="2" t="s">
        <v>405</v>
      </c>
      <c r="F3069" s="1"/>
      <c r="G3069" s="2">
        <v>10</v>
      </c>
      <c r="H3069" s="1"/>
      <c r="I3069" t="s">
        <v>0</v>
      </c>
      <c r="J3069" t="s">
        <v>64</v>
      </c>
      <c r="K3069" t="s">
        <v>370</v>
      </c>
      <c r="L3069" t="s">
        <v>70</v>
      </c>
      <c r="M3069" s="3" t="s">
        <v>2310</v>
      </c>
    </row>
    <row r="3070" spans="1:13" hidden="1" x14ac:dyDescent="0.25">
      <c r="A3070" s="1" t="str">
        <f>VLOOKUP(Table2[[#This Row],[Prod Line ]],Lists!A:E,5,0)</f>
        <v>a</v>
      </c>
      <c r="B3070" s="1">
        <v>44701</v>
      </c>
      <c r="C3070" s="1">
        <v>44699</v>
      </c>
      <c r="D3070" s="1" t="s">
        <v>56</v>
      </c>
      <c r="E3070" s="2" t="s">
        <v>405</v>
      </c>
      <c r="F3070" s="1"/>
      <c r="G3070" s="2">
        <v>2</v>
      </c>
      <c r="H3070" s="1"/>
      <c r="I3070" t="s">
        <v>1</v>
      </c>
      <c r="J3070" t="s">
        <v>2</v>
      </c>
      <c r="K3070" t="s">
        <v>19</v>
      </c>
      <c r="L3070" t="s">
        <v>349</v>
      </c>
      <c r="M3070" s="3" t="s">
        <v>575</v>
      </c>
    </row>
    <row r="3071" spans="1:13" hidden="1" x14ac:dyDescent="0.25">
      <c r="A3071" s="1" t="str">
        <f>VLOOKUP(Table2[[#This Row],[Prod Line ]],Lists!A:E,5,0)</f>
        <v>b</v>
      </c>
      <c r="B3071" s="1">
        <v>44701</v>
      </c>
      <c r="C3071" s="1">
        <v>44699</v>
      </c>
      <c r="D3071" s="1" t="s">
        <v>58</v>
      </c>
      <c r="E3071" s="2" t="s">
        <v>404</v>
      </c>
      <c r="F3071" s="1"/>
      <c r="G3071" s="2">
        <v>8</v>
      </c>
      <c r="H3071" s="1"/>
      <c r="I3071" t="s">
        <v>1</v>
      </c>
      <c r="J3071" t="s">
        <v>65</v>
      </c>
      <c r="K3071" t="s">
        <v>3</v>
      </c>
      <c r="L3071" t="s">
        <v>441</v>
      </c>
      <c r="M3071" s="3" t="s">
        <v>612</v>
      </c>
    </row>
    <row r="3072" spans="1:13" hidden="1" x14ac:dyDescent="0.25">
      <c r="A3072" s="1" t="str">
        <f>VLOOKUP(Table2[[#This Row],[Prod Line ]],Lists!A:E,5,0)</f>
        <v>a</v>
      </c>
      <c r="B3072" s="1">
        <v>44702</v>
      </c>
      <c r="C3072" s="1">
        <v>44700</v>
      </c>
      <c r="D3072" s="1" t="s">
        <v>56</v>
      </c>
      <c r="E3072" s="2" t="s">
        <v>404</v>
      </c>
      <c r="F3072" s="1"/>
      <c r="G3072" s="2">
        <v>22</v>
      </c>
      <c r="H3072" s="1"/>
      <c r="I3072" t="s">
        <v>1</v>
      </c>
      <c r="J3072" t="s">
        <v>64</v>
      </c>
      <c r="K3072" t="s">
        <v>367</v>
      </c>
      <c r="L3072" t="s">
        <v>407</v>
      </c>
      <c r="M3072" s="3" t="s">
        <v>2311</v>
      </c>
    </row>
    <row r="3073" spans="1:14" hidden="1" x14ac:dyDescent="0.25">
      <c r="A3073" s="1" t="str">
        <f>VLOOKUP(Table2[[#This Row],[Prod Line ]],Lists!A:E,5,0)</f>
        <v>c</v>
      </c>
      <c r="B3073" s="1">
        <v>44702</v>
      </c>
      <c r="C3073" s="1">
        <v>44700</v>
      </c>
      <c r="D3073" s="1" t="s">
        <v>60</v>
      </c>
      <c r="E3073" s="2" t="s">
        <v>405</v>
      </c>
      <c r="F3073" s="1"/>
      <c r="G3073" s="2">
        <v>5</v>
      </c>
      <c r="H3073" s="1"/>
      <c r="I3073" t="s">
        <v>1</v>
      </c>
      <c r="J3073" t="s">
        <v>65</v>
      </c>
      <c r="K3073" t="s">
        <v>3</v>
      </c>
      <c r="L3073" t="s">
        <v>441</v>
      </c>
      <c r="M3073" s="3" t="s">
        <v>441</v>
      </c>
    </row>
    <row r="3074" spans="1:14" hidden="1" x14ac:dyDescent="0.25">
      <c r="A3074" s="1" t="str">
        <f>VLOOKUP(Table2[[#This Row],[Prod Line ]],Lists!A:E,5,0)</f>
        <v>a</v>
      </c>
      <c r="B3074" s="1">
        <v>44704</v>
      </c>
      <c r="C3074" s="1">
        <v>44702</v>
      </c>
      <c r="D3074" s="1" t="s">
        <v>56</v>
      </c>
      <c r="E3074" s="2" t="s">
        <v>406</v>
      </c>
      <c r="F3074" s="1"/>
      <c r="G3074" s="2">
        <v>14</v>
      </c>
      <c r="H3074" s="1"/>
      <c r="I3074" t="s">
        <v>1</v>
      </c>
      <c r="J3074" t="s">
        <v>64</v>
      </c>
      <c r="K3074" t="s">
        <v>370</v>
      </c>
      <c r="L3074" t="s">
        <v>407</v>
      </c>
      <c r="M3074" s="3" t="s">
        <v>2312</v>
      </c>
    </row>
    <row r="3075" spans="1:14" hidden="1" x14ac:dyDescent="0.25">
      <c r="A3075" s="1" t="str">
        <f>VLOOKUP(Table2[[#This Row],[Prod Line ]],Lists!A:E,5,0)</f>
        <v>a</v>
      </c>
      <c r="B3075" s="1">
        <v>44704</v>
      </c>
      <c r="C3075" s="1">
        <v>44702</v>
      </c>
      <c r="D3075" s="1" t="s">
        <v>56</v>
      </c>
      <c r="E3075" s="2" t="s">
        <v>406</v>
      </c>
      <c r="F3075" s="1"/>
      <c r="G3075" s="2">
        <v>18</v>
      </c>
      <c r="H3075" s="1"/>
      <c r="I3075" t="s">
        <v>1</v>
      </c>
      <c r="J3075" t="s">
        <v>65</v>
      </c>
      <c r="K3075" t="s">
        <v>3</v>
      </c>
      <c r="L3075" t="s">
        <v>441</v>
      </c>
      <c r="M3075" s="3" t="s">
        <v>2313</v>
      </c>
    </row>
    <row r="3076" spans="1:14" hidden="1" x14ac:dyDescent="0.25">
      <c r="A3076" s="1" t="str">
        <f>VLOOKUP(Table2[[#This Row],[Prod Line ]],Lists!A:E,5,0)</f>
        <v>a</v>
      </c>
      <c r="B3076" s="1">
        <v>44704</v>
      </c>
      <c r="C3076" s="1">
        <v>44702</v>
      </c>
      <c r="D3076" s="1" t="s">
        <v>56</v>
      </c>
      <c r="E3076" s="2" t="s">
        <v>406</v>
      </c>
      <c r="F3076" s="1"/>
      <c r="G3076" s="2">
        <v>26</v>
      </c>
      <c r="H3076" s="1"/>
      <c r="I3076" t="s">
        <v>1</v>
      </c>
      <c r="J3076" t="s">
        <v>65</v>
      </c>
      <c r="K3076" t="s">
        <v>3</v>
      </c>
      <c r="L3076" t="s">
        <v>441</v>
      </c>
      <c r="M3076" s="3" t="s">
        <v>2314</v>
      </c>
    </row>
    <row r="3077" spans="1:14" hidden="1" x14ac:dyDescent="0.25">
      <c r="A3077" s="1" t="str">
        <f>VLOOKUP(Table2[[#This Row],[Prod Line ]],Lists!A:E,5,0)</f>
        <v>a</v>
      </c>
      <c r="B3077" s="1">
        <v>44704</v>
      </c>
      <c r="C3077" s="1">
        <v>44702</v>
      </c>
      <c r="D3077" s="1" t="s">
        <v>56</v>
      </c>
      <c r="E3077" s="2" t="s">
        <v>406</v>
      </c>
      <c r="F3077" s="1"/>
      <c r="G3077" s="2">
        <v>2</v>
      </c>
      <c r="H3077" s="1"/>
      <c r="I3077" t="s">
        <v>1</v>
      </c>
      <c r="J3077" t="s">
        <v>64</v>
      </c>
      <c r="K3077" t="s">
        <v>371</v>
      </c>
      <c r="L3077" t="s">
        <v>350</v>
      </c>
      <c r="M3077" s="3" t="s">
        <v>540</v>
      </c>
    </row>
    <row r="3078" spans="1:14" hidden="1" x14ac:dyDescent="0.25">
      <c r="A3078" s="1" t="str">
        <f>VLOOKUP(Table2[[#This Row],[Prod Line ]],Lists!A:E,5,0)</f>
        <v>a</v>
      </c>
      <c r="B3078" s="1">
        <v>44704</v>
      </c>
      <c r="C3078" s="1">
        <v>44702</v>
      </c>
      <c r="D3078" s="1" t="s">
        <v>56</v>
      </c>
      <c r="E3078" s="2" t="s">
        <v>404</v>
      </c>
      <c r="F3078" s="1"/>
      <c r="G3078" s="2">
        <v>5</v>
      </c>
      <c r="H3078" s="1"/>
      <c r="I3078" t="s">
        <v>1</v>
      </c>
      <c r="J3078" t="s">
        <v>64</v>
      </c>
      <c r="K3078" t="s">
        <v>371</v>
      </c>
      <c r="L3078" t="s">
        <v>350</v>
      </c>
      <c r="M3078" s="3" t="s">
        <v>540</v>
      </c>
    </row>
    <row r="3079" spans="1:14" hidden="1" x14ac:dyDescent="0.25">
      <c r="A3079" s="1" t="str">
        <f>VLOOKUP(Table2[[#This Row],[Prod Line ]],Lists!A:E,5,0)</f>
        <v>a</v>
      </c>
      <c r="B3079" s="1">
        <v>44704</v>
      </c>
      <c r="C3079" s="1">
        <v>44702</v>
      </c>
      <c r="D3079" s="1" t="s">
        <v>56</v>
      </c>
      <c r="E3079" s="2" t="s">
        <v>406</v>
      </c>
      <c r="F3079" s="1"/>
      <c r="G3079" s="2">
        <v>9</v>
      </c>
      <c r="H3079" s="1"/>
      <c r="I3079" t="s">
        <v>1</v>
      </c>
      <c r="J3079" t="s">
        <v>64</v>
      </c>
      <c r="K3079" t="s">
        <v>371</v>
      </c>
      <c r="L3079" t="s">
        <v>350</v>
      </c>
      <c r="M3079" s="3" t="s">
        <v>540</v>
      </c>
    </row>
    <row r="3080" spans="1:14" hidden="1" x14ac:dyDescent="0.25">
      <c r="A3080" s="1" t="str">
        <f>VLOOKUP(Table2[[#This Row],[Prod Line ]],Lists!A:E,5,0)</f>
        <v>b</v>
      </c>
      <c r="B3080" s="1">
        <v>44704</v>
      </c>
      <c r="C3080" s="1">
        <v>44702</v>
      </c>
      <c r="D3080" s="1" t="s">
        <v>58</v>
      </c>
      <c r="E3080" s="2" t="s">
        <v>404</v>
      </c>
      <c r="F3080" s="1"/>
      <c r="G3080" s="2">
        <v>8</v>
      </c>
      <c r="H3080" s="1"/>
      <c r="I3080" t="s">
        <v>1</v>
      </c>
      <c r="J3080" t="s">
        <v>26</v>
      </c>
      <c r="K3080" t="s">
        <v>25</v>
      </c>
      <c r="L3080" t="s">
        <v>441</v>
      </c>
      <c r="M3080" s="3" t="s">
        <v>441</v>
      </c>
    </row>
    <row r="3081" spans="1:14" hidden="1" x14ac:dyDescent="0.25">
      <c r="A3081" s="1" t="str">
        <f>VLOOKUP(Table2[[#This Row],[Prod Line ]],Lists!A:E,5,0)</f>
        <v>b</v>
      </c>
      <c r="B3081" s="1">
        <v>44704</v>
      </c>
      <c r="C3081" s="1">
        <v>44702</v>
      </c>
      <c r="D3081" s="1" t="s">
        <v>58</v>
      </c>
      <c r="E3081" s="2" t="s">
        <v>404</v>
      </c>
      <c r="F3081" s="1"/>
      <c r="G3081" s="2">
        <v>16</v>
      </c>
      <c r="H3081" s="1"/>
      <c r="I3081" t="s">
        <v>1</v>
      </c>
      <c r="J3081" t="s">
        <v>64</v>
      </c>
      <c r="K3081" t="s">
        <v>21</v>
      </c>
      <c r="L3081" t="s">
        <v>407</v>
      </c>
      <c r="M3081" s="3" t="s">
        <v>2315</v>
      </c>
    </row>
    <row r="3082" spans="1:14" hidden="1" x14ac:dyDescent="0.25">
      <c r="A3082" s="1" t="str">
        <f>VLOOKUP(Table2[[#This Row],[Prod Line ]],Lists!A:E,5,0)</f>
        <v>b</v>
      </c>
      <c r="B3082" s="1">
        <v>44704</v>
      </c>
      <c r="C3082" s="1">
        <v>44702</v>
      </c>
      <c r="D3082" s="1" t="s">
        <v>58</v>
      </c>
      <c r="E3082" s="2" t="s">
        <v>404</v>
      </c>
      <c r="F3082" s="1"/>
      <c r="G3082" s="2">
        <v>15</v>
      </c>
      <c r="H3082" s="1"/>
      <c r="I3082" t="s">
        <v>1</v>
      </c>
      <c r="J3082" t="s">
        <v>26</v>
      </c>
      <c r="K3082" t="s">
        <v>25</v>
      </c>
      <c r="L3082" t="s">
        <v>441</v>
      </c>
      <c r="M3082" s="3" t="s">
        <v>2316</v>
      </c>
    </row>
    <row r="3083" spans="1:14" hidden="1" x14ac:dyDescent="0.25">
      <c r="A3083" s="1" t="str">
        <f>VLOOKUP(Table2[[#This Row],[Prod Line ]],Lists!A:E,5,0)</f>
        <v>b</v>
      </c>
      <c r="B3083" s="1">
        <v>44704</v>
      </c>
      <c r="C3083" s="1">
        <v>44702</v>
      </c>
      <c r="D3083" s="1" t="s">
        <v>58</v>
      </c>
      <c r="E3083" s="2" t="s">
        <v>404</v>
      </c>
      <c r="F3083" s="1"/>
      <c r="G3083" s="2">
        <v>8</v>
      </c>
      <c r="H3083" s="1"/>
      <c r="I3083" t="s">
        <v>1</v>
      </c>
      <c r="J3083" t="s">
        <v>64</v>
      </c>
      <c r="K3083" t="s">
        <v>23</v>
      </c>
      <c r="L3083" t="s">
        <v>407</v>
      </c>
      <c r="M3083" s="3" t="s">
        <v>548</v>
      </c>
    </row>
    <row r="3084" spans="1:14" hidden="1" x14ac:dyDescent="0.25">
      <c r="A3084" s="1" t="str">
        <f>VLOOKUP(Table2[[#This Row],[Prod Line ]],Lists!A:E,5,0)</f>
        <v>d</v>
      </c>
      <c r="B3084" s="1">
        <v>44704</v>
      </c>
      <c r="C3084" s="1">
        <v>44702</v>
      </c>
      <c r="D3084" s="1" t="s">
        <v>62</v>
      </c>
      <c r="E3084" s="2" t="s">
        <v>405</v>
      </c>
      <c r="F3084" s="1"/>
      <c r="G3084" s="2">
        <v>23</v>
      </c>
      <c r="H3084" s="1"/>
      <c r="I3084" t="s">
        <v>1</v>
      </c>
      <c r="J3084" t="s">
        <v>2</v>
      </c>
      <c r="K3084" t="s">
        <v>19</v>
      </c>
      <c r="L3084" t="s">
        <v>349</v>
      </c>
      <c r="M3084" s="3" t="s">
        <v>846</v>
      </c>
    </row>
    <row r="3085" spans="1:14" x14ac:dyDescent="0.25">
      <c r="A3085" s="1" t="str">
        <f>VLOOKUP(Table2[[#This Row],[Prod Line ]],Lists!A:E,5,0)</f>
        <v>a</v>
      </c>
      <c r="B3085" s="1">
        <v>44705</v>
      </c>
      <c r="C3085" s="1">
        <v>44703</v>
      </c>
      <c r="D3085" s="1" t="s">
        <v>56</v>
      </c>
      <c r="E3085" s="2" t="s">
        <v>404</v>
      </c>
      <c r="F3085" s="1"/>
      <c r="G3085" s="2">
        <v>88</v>
      </c>
      <c r="H3085" s="1"/>
      <c r="I3085" t="s">
        <v>0</v>
      </c>
      <c r="J3085" t="s">
        <v>5</v>
      </c>
      <c r="K3085" t="s">
        <v>376</v>
      </c>
      <c r="L3085" t="s">
        <v>70</v>
      </c>
      <c r="M3085" s="3" t="s">
        <v>1234</v>
      </c>
    </row>
    <row r="3086" spans="1:14" hidden="1" x14ac:dyDescent="0.25">
      <c r="A3086" s="1" t="str">
        <f>VLOOKUP(Table2[[#This Row],[Prod Line ]],Lists!A:E,5,0)</f>
        <v>a</v>
      </c>
      <c r="B3086" s="1">
        <v>44705</v>
      </c>
      <c r="C3086" s="1">
        <v>44703</v>
      </c>
      <c r="D3086" s="1" t="s">
        <v>56</v>
      </c>
      <c r="E3086" s="2" t="s">
        <v>404</v>
      </c>
      <c r="F3086" s="1"/>
      <c r="G3086" s="2">
        <v>8</v>
      </c>
      <c r="H3086" s="1"/>
      <c r="I3086" t="s">
        <v>1</v>
      </c>
      <c r="J3086" t="s">
        <v>64</v>
      </c>
      <c r="K3086" t="s">
        <v>368</v>
      </c>
      <c r="L3086" t="s">
        <v>407</v>
      </c>
      <c r="M3086" s="3" t="s">
        <v>1810</v>
      </c>
    </row>
    <row r="3087" spans="1:14" x14ac:dyDescent="0.25">
      <c r="A3087" s="1" t="str">
        <f>VLOOKUP(Table2[[#This Row],[Prod Line ]],Lists!A:E,5,0)</f>
        <v>d</v>
      </c>
      <c r="B3087" s="1">
        <v>44705</v>
      </c>
      <c r="C3087" s="1">
        <v>44703</v>
      </c>
      <c r="D3087" s="1" t="s">
        <v>62</v>
      </c>
      <c r="E3087" s="2" t="s">
        <v>406</v>
      </c>
      <c r="F3087" s="1"/>
      <c r="G3087" s="2">
        <v>7</v>
      </c>
      <c r="H3087" s="1"/>
      <c r="I3087" t="s">
        <v>0</v>
      </c>
      <c r="J3087" t="s">
        <v>64</v>
      </c>
      <c r="K3087" t="s">
        <v>379</v>
      </c>
      <c r="L3087" t="s">
        <v>70</v>
      </c>
      <c r="M3087" s="3" t="s">
        <v>2319</v>
      </c>
    </row>
    <row r="3088" spans="1:14" x14ac:dyDescent="0.25">
      <c r="A3088" s="1" t="str">
        <f>VLOOKUP(Table2[[#This Row],[Prod Line ]],Lists!A:E,5,0)</f>
        <v>d</v>
      </c>
      <c r="B3088" s="1">
        <v>44705</v>
      </c>
      <c r="C3088" s="1">
        <v>44703</v>
      </c>
      <c r="D3088" s="1" t="s">
        <v>62</v>
      </c>
      <c r="E3088" s="2" t="s">
        <v>404</v>
      </c>
      <c r="F3088" s="1"/>
      <c r="G3088" s="2">
        <v>90</v>
      </c>
      <c r="H3088" s="1"/>
      <c r="I3088" t="s">
        <v>0</v>
      </c>
      <c r="J3088" t="s">
        <v>65</v>
      </c>
      <c r="K3088" t="s">
        <v>394</v>
      </c>
      <c r="L3088" t="s">
        <v>70</v>
      </c>
      <c r="M3088" s="3" t="s">
        <v>2317</v>
      </c>
      <c r="N3088" s="20" t="s">
        <v>2333</v>
      </c>
    </row>
    <row r="3089" spans="1:14" hidden="1" x14ac:dyDescent="0.25">
      <c r="A3089" s="1" t="str">
        <f>VLOOKUP(Table2[[#This Row],[Prod Line ]],Lists!A:E,5,0)</f>
        <v>d</v>
      </c>
      <c r="B3089" s="1">
        <v>44705</v>
      </c>
      <c r="C3089" s="1">
        <v>44703</v>
      </c>
      <c r="D3089" s="1" t="s">
        <v>62</v>
      </c>
      <c r="E3089" s="2" t="s">
        <v>404</v>
      </c>
      <c r="F3089" s="1"/>
      <c r="G3089" s="2">
        <v>33</v>
      </c>
      <c r="H3089" s="1"/>
      <c r="I3089" t="s">
        <v>1</v>
      </c>
      <c r="J3089" t="s">
        <v>64</v>
      </c>
      <c r="K3089" t="s">
        <v>379</v>
      </c>
      <c r="L3089" t="s">
        <v>407</v>
      </c>
      <c r="M3089" s="3" t="s">
        <v>2318</v>
      </c>
    </row>
    <row r="3090" spans="1:14" x14ac:dyDescent="0.25">
      <c r="A3090" s="1" t="str">
        <f>VLOOKUP(Table2[[#This Row],[Prod Line ]],Lists!A:E,5,0)</f>
        <v>b</v>
      </c>
      <c r="B3090" s="1">
        <v>44705</v>
      </c>
      <c r="C3090" s="1">
        <v>44703</v>
      </c>
      <c r="D3090" s="1" t="s">
        <v>58</v>
      </c>
      <c r="E3090" s="2" t="s">
        <v>404</v>
      </c>
      <c r="F3090" s="1"/>
      <c r="G3090" s="2">
        <v>5</v>
      </c>
      <c r="H3090" s="1"/>
      <c r="I3090" t="s">
        <v>0</v>
      </c>
      <c r="J3090" t="s">
        <v>64</v>
      </c>
      <c r="K3090" t="s">
        <v>21</v>
      </c>
      <c r="L3090" t="s">
        <v>70</v>
      </c>
      <c r="M3090" s="3" t="s">
        <v>2320</v>
      </c>
    </row>
    <row r="3091" spans="1:14" x14ac:dyDescent="0.25">
      <c r="A3091" s="1" t="str">
        <f>VLOOKUP(Table2[[#This Row],[Prod Line ]],Lists!A:E,5,0)</f>
        <v>b</v>
      </c>
      <c r="B3091" s="1">
        <v>44705</v>
      </c>
      <c r="C3091" s="1">
        <v>44703</v>
      </c>
      <c r="D3091" s="1" t="s">
        <v>58</v>
      </c>
      <c r="E3091" s="2" t="s">
        <v>404</v>
      </c>
      <c r="F3091" s="1"/>
      <c r="G3091" s="2">
        <v>4</v>
      </c>
      <c r="H3091" s="1"/>
      <c r="I3091" t="s">
        <v>0</v>
      </c>
      <c r="J3091" t="s">
        <v>65</v>
      </c>
      <c r="K3091" t="s">
        <v>3</v>
      </c>
      <c r="L3091" t="s">
        <v>70</v>
      </c>
      <c r="M3091" s="3" t="s">
        <v>2321</v>
      </c>
    </row>
    <row r="3092" spans="1:14" x14ac:dyDescent="0.25">
      <c r="A3092" s="1" t="str">
        <f>VLOOKUP(Table2[[#This Row],[Prod Line ]],Lists!A:E,5,0)</f>
        <v>c</v>
      </c>
      <c r="B3092" s="1">
        <v>44705</v>
      </c>
      <c r="C3092" s="1">
        <v>44703</v>
      </c>
      <c r="D3092" s="1" t="s">
        <v>60</v>
      </c>
      <c r="E3092" s="2" t="s">
        <v>405</v>
      </c>
      <c r="F3092" s="1"/>
      <c r="G3092" s="2">
        <v>10</v>
      </c>
      <c r="H3092" s="1"/>
      <c r="I3092" t="s">
        <v>0</v>
      </c>
      <c r="J3092" t="s">
        <v>66</v>
      </c>
      <c r="K3092" t="s">
        <v>4</v>
      </c>
      <c r="L3092" t="s">
        <v>70</v>
      </c>
      <c r="M3092" s="3" t="s">
        <v>2322</v>
      </c>
    </row>
    <row r="3093" spans="1:14" x14ac:dyDescent="0.25">
      <c r="A3093" s="1" t="str">
        <f>VLOOKUP(Table2[[#This Row],[Prod Line ]],Lists!A:E,5,0)</f>
        <v>d</v>
      </c>
      <c r="B3093" s="1">
        <v>44705</v>
      </c>
      <c r="C3093" s="1">
        <v>44703</v>
      </c>
      <c r="D3093" s="1" t="s">
        <v>62</v>
      </c>
      <c r="E3093" s="2" t="s">
        <v>405</v>
      </c>
      <c r="F3093" s="1"/>
      <c r="G3093" s="2">
        <v>10</v>
      </c>
      <c r="H3093" s="1"/>
      <c r="I3093" t="s">
        <v>0</v>
      </c>
      <c r="J3093" t="s">
        <v>65</v>
      </c>
      <c r="K3093" t="s">
        <v>394</v>
      </c>
      <c r="L3093" t="s">
        <v>70</v>
      </c>
      <c r="M3093" s="3" t="s">
        <v>2323</v>
      </c>
    </row>
    <row r="3094" spans="1:14" x14ac:dyDescent="0.25">
      <c r="A3094" s="1" t="str">
        <f>VLOOKUP(Table2[[#This Row],[Prod Line ]],Lists!A:E,5,0)</f>
        <v>a</v>
      </c>
      <c r="B3094" s="1">
        <v>44707</v>
      </c>
      <c r="C3094" s="1">
        <v>44705</v>
      </c>
      <c r="D3094" s="1" t="s">
        <v>56</v>
      </c>
      <c r="E3094" s="2" t="s">
        <v>406</v>
      </c>
      <c r="F3094" s="1"/>
      <c r="G3094" s="2">
        <v>63</v>
      </c>
      <c r="H3094" s="1"/>
      <c r="I3094" t="s">
        <v>0</v>
      </c>
      <c r="J3094" t="s">
        <v>64</v>
      </c>
      <c r="K3094" t="s">
        <v>367</v>
      </c>
      <c r="L3094" t="s">
        <v>70</v>
      </c>
      <c r="M3094" s="3" t="s">
        <v>2325</v>
      </c>
      <c r="N3094" s="20" t="s">
        <v>2335</v>
      </c>
    </row>
    <row r="3095" spans="1:14" hidden="1" x14ac:dyDescent="0.25">
      <c r="A3095" s="1" t="str">
        <f>VLOOKUP(Table2[[#This Row],[Prod Line ]],Lists!A:E,5,0)</f>
        <v>a</v>
      </c>
      <c r="B3095" s="1">
        <v>44707</v>
      </c>
      <c r="C3095" s="1">
        <v>44705</v>
      </c>
      <c r="D3095" s="1" t="s">
        <v>56</v>
      </c>
      <c r="E3095" s="2" t="s">
        <v>406</v>
      </c>
      <c r="F3095" s="1"/>
      <c r="G3095" s="2">
        <v>12</v>
      </c>
      <c r="H3095" s="1"/>
      <c r="I3095" t="s">
        <v>1</v>
      </c>
      <c r="J3095" t="s">
        <v>64</v>
      </c>
      <c r="K3095" t="s">
        <v>370</v>
      </c>
      <c r="L3095" t="s">
        <v>407</v>
      </c>
      <c r="M3095" s="3" t="s">
        <v>2324</v>
      </c>
    </row>
    <row r="3096" spans="1:14" hidden="1" x14ac:dyDescent="0.25">
      <c r="A3096" s="1" t="str">
        <f>VLOOKUP(Table2[[#This Row],[Prod Line ]],Lists!A:E,5,0)</f>
        <v>a</v>
      </c>
      <c r="B3096" s="1">
        <v>44707</v>
      </c>
      <c r="C3096" s="1">
        <v>44705</v>
      </c>
      <c r="D3096" s="1" t="s">
        <v>56</v>
      </c>
      <c r="E3096" s="2" t="s">
        <v>406</v>
      </c>
      <c r="F3096" s="1"/>
      <c r="G3096" s="2">
        <v>5</v>
      </c>
      <c r="H3096" s="1"/>
      <c r="I3096" t="s">
        <v>1</v>
      </c>
      <c r="J3096" t="s">
        <v>64</v>
      </c>
      <c r="K3096" t="s">
        <v>368</v>
      </c>
      <c r="L3096" t="s">
        <v>407</v>
      </c>
      <c r="M3096" s="3" t="s">
        <v>655</v>
      </c>
    </row>
    <row r="3097" spans="1:14" x14ac:dyDescent="0.25">
      <c r="A3097" s="1" t="str">
        <f>VLOOKUP(Table2[[#This Row],[Prod Line ]],Lists!A:E,5,0)</f>
        <v>b</v>
      </c>
      <c r="B3097" s="1">
        <v>44707</v>
      </c>
      <c r="C3097" s="1">
        <v>44705</v>
      </c>
      <c r="D3097" s="1" t="s">
        <v>58</v>
      </c>
      <c r="E3097" s="2" t="s">
        <v>405</v>
      </c>
      <c r="F3097" s="1"/>
      <c r="G3097" s="2">
        <v>15</v>
      </c>
      <c r="H3097" s="1"/>
      <c r="I3097" t="s">
        <v>0</v>
      </c>
      <c r="J3097" t="s">
        <v>64</v>
      </c>
      <c r="K3097" t="s">
        <v>20</v>
      </c>
      <c r="L3097" t="s">
        <v>70</v>
      </c>
      <c r="M3097" s="3" t="s">
        <v>1369</v>
      </c>
    </row>
    <row r="3098" spans="1:14" x14ac:dyDescent="0.25">
      <c r="A3098" s="1" t="str">
        <f>VLOOKUP(Table2[[#This Row],[Prod Line ]],Lists!A:E,5,0)</f>
        <v>b</v>
      </c>
      <c r="B3098" s="1">
        <v>44707</v>
      </c>
      <c r="C3098" s="1">
        <v>44705</v>
      </c>
      <c r="D3098" s="1" t="s">
        <v>58</v>
      </c>
      <c r="E3098" s="2" t="s">
        <v>406</v>
      </c>
      <c r="F3098" s="1"/>
      <c r="G3098" s="2">
        <v>10</v>
      </c>
      <c r="H3098" s="1"/>
      <c r="I3098" t="s">
        <v>0</v>
      </c>
      <c r="J3098" t="s">
        <v>65</v>
      </c>
      <c r="K3098" t="s">
        <v>3</v>
      </c>
      <c r="L3098" t="s">
        <v>70</v>
      </c>
      <c r="M3098" s="3" t="s">
        <v>2326</v>
      </c>
    </row>
    <row r="3099" spans="1:14" x14ac:dyDescent="0.25">
      <c r="A3099" s="1" t="str">
        <f>VLOOKUP(Table2[[#This Row],[Prod Line ]],Lists!A:E,5,0)</f>
        <v>b</v>
      </c>
      <c r="B3099" s="1">
        <v>44707</v>
      </c>
      <c r="C3099" s="1">
        <v>44705</v>
      </c>
      <c r="D3099" s="1" t="s">
        <v>58</v>
      </c>
      <c r="E3099" s="2" t="s">
        <v>406</v>
      </c>
      <c r="F3099" s="1"/>
      <c r="G3099" s="2">
        <v>10</v>
      </c>
      <c r="H3099" s="1"/>
      <c r="I3099" t="s">
        <v>0</v>
      </c>
      <c r="J3099" t="s">
        <v>65</v>
      </c>
      <c r="K3099" t="s">
        <v>3</v>
      </c>
      <c r="L3099" t="s">
        <v>70</v>
      </c>
      <c r="M3099" s="3" t="s">
        <v>2327</v>
      </c>
    </row>
    <row r="3100" spans="1:14" hidden="1" x14ac:dyDescent="0.25">
      <c r="A3100" s="1" t="str">
        <f>VLOOKUP(Table2[[#This Row],[Prod Line ]],Lists!A:E,5,0)</f>
        <v>d</v>
      </c>
      <c r="B3100" s="1">
        <v>44707</v>
      </c>
      <c r="C3100" s="1">
        <v>44705</v>
      </c>
      <c r="D3100" s="1" t="s">
        <v>62</v>
      </c>
      <c r="E3100" s="2" t="s">
        <v>405</v>
      </c>
      <c r="F3100" s="1"/>
      <c r="G3100" s="2">
        <v>18</v>
      </c>
      <c r="H3100" s="1"/>
      <c r="I3100" t="s">
        <v>1</v>
      </c>
      <c r="J3100" t="s">
        <v>64</v>
      </c>
      <c r="K3100" t="s">
        <v>379</v>
      </c>
      <c r="L3100" t="s">
        <v>407</v>
      </c>
      <c r="M3100" s="3" t="s">
        <v>655</v>
      </c>
    </row>
    <row r="3101" spans="1:14" hidden="1" x14ac:dyDescent="0.25">
      <c r="A3101" s="1" t="str">
        <f>VLOOKUP(Table2[[#This Row],[Prod Line ]],Lists!A:E,5,0)</f>
        <v>d</v>
      </c>
      <c r="B3101" s="1">
        <v>44707</v>
      </c>
      <c r="C3101" s="1">
        <v>44705</v>
      </c>
      <c r="D3101" s="1" t="s">
        <v>62</v>
      </c>
      <c r="E3101" s="2" t="s">
        <v>405</v>
      </c>
      <c r="F3101" s="1"/>
      <c r="G3101" s="2">
        <v>10</v>
      </c>
      <c r="H3101" s="1"/>
      <c r="I3101" t="s">
        <v>1</v>
      </c>
      <c r="J3101" t="s">
        <v>2</v>
      </c>
      <c r="K3101" t="s">
        <v>19</v>
      </c>
      <c r="L3101" t="s">
        <v>407</v>
      </c>
      <c r="M3101" s="3" t="s">
        <v>2328</v>
      </c>
    </row>
    <row r="3102" spans="1:14" hidden="1" x14ac:dyDescent="0.25">
      <c r="A3102" s="1" t="str">
        <f>VLOOKUP(Table2[[#This Row],[Prod Line ]],Lists!A:E,5,0)</f>
        <v>d</v>
      </c>
      <c r="B3102" s="1">
        <v>44707</v>
      </c>
      <c r="C3102" s="1">
        <v>44705</v>
      </c>
      <c r="D3102" s="1" t="s">
        <v>62</v>
      </c>
      <c r="E3102" s="2" t="s">
        <v>405</v>
      </c>
      <c r="F3102" s="1"/>
      <c r="G3102" s="2">
        <v>6</v>
      </c>
      <c r="H3102" s="1"/>
      <c r="I3102" t="s">
        <v>1</v>
      </c>
      <c r="J3102" t="s">
        <v>2</v>
      </c>
      <c r="K3102" t="s">
        <v>19</v>
      </c>
      <c r="L3102" t="s">
        <v>349</v>
      </c>
      <c r="M3102" s="3" t="s">
        <v>575</v>
      </c>
    </row>
    <row r="3103" spans="1:14" hidden="1" x14ac:dyDescent="0.25">
      <c r="A3103" s="1" t="str">
        <f>VLOOKUP(Table2[[#This Row],[Prod Line ]],Lists!A:E,5,0)</f>
        <v>a</v>
      </c>
      <c r="B3103" s="1">
        <v>44708</v>
      </c>
      <c r="C3103" s="1">
        <v>44706</v>
      </c>
      <c r="D3103" s="1" t="s">
        <v>56</v>
      </c>
      <c r="E3103" s="2" t="s">
        <v>406</v>
      </c>
      <c r="F3103" s="1"/>
      <c r="G3103" s="2">
        <v>12</v>
      </c>
      <c r="H3103" s="1"/>
      <c r="I3103" t="s">
        <v>1</v>
      </c>
      <c r="J3103" t="s">
        <v>64</v>
      </c>
      <c r="K3103" t="s">
        <v>370</v>
      </c>
      <c r="L3103" t="s">
        <v>407</v>
      </c>
      <c r="M3103" s="3" t="s">
        <v>2324</v>
      </c>
    </row>
    <row r="3104" spans="1:14" hidden="1" x14ac:dyDescent="0.25">
      <c r="A3104" s="1" t="str">
        <f>VLOOKUP(Table2[[#This Row],[Prod Line ]],Lists!A:E,5,0)</f>
        <v>b</v>
      </c>
      <c r="B3104" s="1">
        <v>44708</v>
      </c>
      <c r="C3104" s="1">
        <v>44706</v>
      </c>
      <c r="D3104" s="1" t="s">
        <v>58</v>
      </c>
      <c r="E3104" s="2" t="s">
        <v>404</v>
      </c>
      <c r="F3104" s="1"/>
      <c r="G3104" s="2">
        <v>5</v>
      </c>
      <c r="H3104" s="1"/>
      <c r="I3104" t="s">
        <v>1</v>
      </c>
      <c r="J3104" t="s">
        <v>26</v>
      </c>
      <c r="K3104" t="s">
        <v>25</v>
      </c>
      <c r="L3104" t="s">
        <v>441</v>
      </c>
      <c r="M3104" s="3" t="s">
        <v>612</v>
      </c>
    </row>
    <row r="3105" spans="1:14" x14ac:dyDescent="0.25">
      <c r="A3105" s="1" t="str">
        <f>VLOOKUP(Table2[[#This Row],[Prod Line ]],Lists!A:E,5,0)</f>
        <v>b</v>
      </c>
      <c r="B3105" s="1">
        <v>44708</v>
      </c>
      <c r="C3105" s="1">
        <v>44706</v>
      </c>
      <c r="D3105" s="1" t="s">
        <v>58</v>
      </c>
      <c r="E3105" s="2" t="s">
        <v>405</v>
      </c>
      <c r="F3105" s="1"/>
      <c r="G3105" s="2">
        <v>40</v>
      </c>
      <c r="H3105" s="1"/>
      <c r="I3105" t="s">
        <v>0</v>
      </c>
      <c r="J3105" t="s">
        <v>64</v>
      </c>
      <c r="K3105" t="s">
        <v>20</v>
      </c>
      <c r="L3105" t="s">
        <v>70</v>
      </c>
      <c r="M3105" s="3" t="s">
        <v>2329</v>
      </c>
      <c r="N3105" s="20" t="s">
        <v>2332</v>
      </c>
    </row>
    <row r="3106" spans="1:14" hidden="1" x14ac:dyDescent="0.25">
      <c r="A3106" s="1" t="str">
        <f>VLOOKUP(Table2[[#This Row],[Prod Line ]],Lists!A:E,5,0)</f>
        <v>b</v>
      </c>
      <c r="B3106" s="1">
        <v>44708</v>
      </c>
      <c r="C3106" s="1">
        <v>44706</v>
      </c>
      <c r="D3106" s="1" t="s">
        <v>58</v>
      </c>
      <c r="E3106" s="2" t="s">
        <v>406</v>
      </c>
      <c r="F3106" s="1"/>
      <c r="G3106" s="2">
        <v>2</v>
      </c>
      <c r="H3106" s="1"/>
      <c r="I3106" t="s">
        <v>1</v>
      </c>
      <c r="J3106" t="s">
        <v>65</v>
      </c>
      <c r="K3106" t="s">
        <v>27</v>
      </c>
      <c r="L3106" t="s">
        <v>441</v>
      </c>
      <c r="M3106" s="3" t="s">
        <v>612</v>
      </c>
    </row>
    <row r="3107" spans="1:14" hidden="1" x14ac:dyDescent="0.25">
      <c r="A3107" s="1" t="str">
        <f>VLOOKUP(Table2[[#This Row],[Prod Line ]],Lists!A:E,5,0)</f>
        <v>d</v>
      </c>
      <c r="B3107" s="1">
        <v>44708</v>
      </c>
      <c r="C3107" s="1">
        <v>44706</v>
      </c>
      <c r="D3107" s="1" t="s">
        <v>62</v>
      </c>
      <c r="E3107" s="2" t="s">
        <v>404</v>
      </c>
      <c r="F3107" s="1"/>
      <c r="G3107" s="2">
        <v>44</v>
      </c>
      <c r="H3107" s="1"/>
      <c r="I3107" t="s">
        <v>1</v>
      </c>
      <c r="J3107" t="s">
        <v>2</v>
      </c>
      <c r="K3107" t="s">
        <v>19</v>
      </c>
      <c r="L3107" t="s">
        <v>407</v>
      </c>
      <c r="M3107" s="3" t="s">
        <v>2330</v>
      </c>
    </row>
    <row r="3108" spans="1:14" hidden="1" x14ac:dyDescent="0.25">
      <c r="A3108" s="1" t="str">
        <f>VLOOKUP(Table2[[#This Row],[Prod Line ]],Lists!A:E,5,0)</f>
        <v>a</v>
      </c>
      <c r="B3108" s="1">
        <v>44708</v>
      </c>
      <c r="C3108" s="1">
        <v>44706</v>
      </c>
      <c r="D3108" s="1" t="s">
        <v>56</v>
      </c>
      <c r="E3108" s="2" t="s">
        <v>406</v>
      </c>
      <c r="F3108" s="1"/>
      <c r="G3108" s="2">
        <v>12</v>
      </c>
      <c r="H3108" s="1"/>
      <c r="I3108" t="s">
        <v>1</v>
      </c>
      <c r="J3108" t="s">
        <v>64</v>
      </c>
      <c r="K3108" t="s">
        <v>370</v>
      </c>
      <c r="L3108" t="s">
        <v>407</v>
      </c>
      <c r="M3108" s="3" t="s">
        <v>2324</v>
      </c>
    </row>
    <row r="3109" spans="1:14" ht="30" hidden="1" x14ac:dyDescent="0.25">
      <c r="A3109" s="1" t="str">
        <f>VLOOKUP(Table2[[#This Row],[Prod Line ]],Lists!A:E,5,0)</f>
        <v>a</v>
      </c>
      <c r="B3109" s="1">
        <v>44708</v>
      </c>
      <c r="C3109" s="1">
        <v>44706</v>
      </c>
      <c r="D3109" s="1" t="s">
        <v>56</v>
      </c>
      <c r="E3109" s="2" t="s">
        <v>406</v>
      </c>
      <c r="F3109" s="1"/>
      <c r="G3109" s="2">
        <v>15</v>
      </c>
      <c r="H3109" s="1"/>
      <c r="I3109" t="s">
        <v>1</v>
      </c>
      <c r="J3109" t="s">
        <v>65</v>
      </c>
      <c r="K3109" t="s">
        <v>372</v>
      </c>
      <c r="L3109" t="s">
        <v>441</v>
      </c>
      <c r="M3109" s="3" t="s">
        <v>1080</v>
      </c>
      <c r="N3109" s="20" t="s">
        <v>2334</v>
      </c>
    </row>
    <row r="3110" spans="1:14" x14ac:dyDescent="0.25">
      <c r="A3110" s="1" t="str">
        <f>VLOOKUP(Table2[[#This Row],[Prod Line ]],Lists!A:E,5,0)</f>
        <v>c</v>
      </c>
      <c r="B3110" s="1">
        <v>44709</v>
      </c>
      <c r="C3110" s="1">
        <v>44707</v>
      </c>
      <c r="D3110" s="1" t="s">
        <v>60</v>
      </c>
      <c r="E3110" s="2" t="s">
        <v>404</v>
      </c>
      <c r="F3110" s="1"/>
      <c r="G3110" s="2">
        <v>21</v>
      </c>
      <c r="H3110" s="1"/>
      <c r="I3110" t="s">
        <v>0</v>
      </c>
      <c r="J3110" t="s">
        <v>2</v>
      </c>
      <c r="K3110" t="s">
        <v>378</v>
      </c>
      <c r="L3110" t="s">
        <v>70</v>
      </c>
      <c r="M3110" s="3" t="s">
        <v>2331</v>
      </c>
    </row>
    <row r="3111" spans="1:14" hidden="1" x14ac:dyDescent="0.25">
      <c r="A3111" s="1" t="str">
        <f>VLOOKUP(Table2[[#This Row],[Prod Line ]],Lists!A:E,5,0)</f>
        <v>b</v>
      </c>
      <c r="B3111" s="1">
        <v>44709</v>
      </c>
      <c r="C3111" s="1">
        <v>44707</v>
      </c>
      <c r="D3111" s="1" t="s">
        <v>58</v>
      </c>
      <c r="E3111" s="2" t="s">
        <v>404</v>
      </c>
      <c r="F3111" s="1"/>
      <c r="G3111" s="2">
        <v>17</v>
      </c>
      <c r="H3111" s="1"/>
      <c r="I3111" t="s">
        <v>1</v>
      </c>
      <c r="J3111" t="s">
        <v>65</v>
      </c>
      <c r="K3111" t="s">
        <v>27</v>
      </c>
      <c r="L3111" t="s">
        <v>441</v>
      </c>
      <c r="M3111" s="3" t="s">
        <v>612</v>
      </c>
    </row>
    <row r="3112" spans="1:14" hidden="1" x14ac:dyDescent="0.25">
      <c r="A3112" s="1" t="str">
        <f>VLOOKUP(Table2[[#This Row],[Prod Line ]],Lists!A:E,5,0)</f>
        <v>d</v>
      </c>
      <c r="B3112" s="1">
        <v>44709</v>
      </c>
      <c r="C3112" s="1">
        <v>44707</v>
      </c>
      <c r="D3112" s="1" t="s">
        <v>62</v>
      </c>
      <c r="E3112" s="2" t="s">
        <v>406</v>
      </c>
      <c r="F3112" s="1"/>
      <c r="G3112" s="2">
        <v>4</v>
      </c>
      <c r="H3112" s="1"/>
      <c r="I3112" t="s">
        <v>1</v>
      </c>
      <c r="J3112" t="s">
        <v>2</v>
      </c>
      <c r="K3112" t="s">
        <v>19</v>
      </c>
      <c r="L3112" t="s">
        <v>349</v>
      </c>
      <c r="M3112" s="3" t="s">
        <v>575</v>
      </c>
    </row>
    <row r="3113" spans="1:14" hidden="1" x14ac:dyDescent="0.25">
      <c r="A3113" s="1" t="str">
        <f>VLOOKUP(Table2[[#This Row],[Prod Line ]],Lists!A:E,5,0)</f>
        <v>d</v>
      </c>
      <c r="B3113" s="1">
        <v>44709</v>
      </c>
      <c r="C3113" s="1">
        <v>44707</v>
      </c>
      <c r="D3113" s="1" t="s">
        <v>62</v>
      </c>
      <c r="E3113" s="2" t="s">
        <v>404</v>
      </c>
      <c r="F3113" s="1"/>
      <c r="G3113" s="2">
        <v>4</v>
      </c>
      <c r="H3113" s="1"/>
      <c r="I3113" t="s">
        <v>1</v>
      </c>
      <c r="J3113" t="s">
        <v>2</v>
      </c>
      <c r="K3113" t="s">
        <v>19</v>
      </c>
      <c r="L3113" t="s">
        <v>349</v>
      </c>
      <c r="M3113" s="3" t="s">
        <v>575</v>
      </c>
    </row>
    <row r="3114" spans="1:14" hidden="1" x14ac:dyDescent="0.25">
      <c r="A3114" s="1" t="str">
        <f>VLOOKUP(Table2[[#This Row],[Prod Line ]],Lists!A:E,5,0)</f>
        <v>b</v>
      </c>
      <c r="B3114" s="1">
        <v>44709</v>
      </c>
      <c r="C3114" s="1">
        <v>44708</v>
      </c>
      <c r="D3114" s="1" t="s">
        <v>58</v>
      </c>
      <c r="E3114" s="2" t="s">
        <v>406</v>
      </c>
      <c r="F3114" s="1"/>
      <c r="G3114" s="2">
        <v>15</v>
      </c>
      <c r="H3114" s="1"/>
      <c r="I3114" t="s">
        <v>1</v>
      </c>
      <c r="J3114" t="s">
        <v>64</v>
      </c>
      <c r="K3114" t="s">
        <v>21</v>
      </c>
      <c r="L3114" t="s">
        <v>407</v>
      </c>
      <c r="M3114" s="3" t="s">
        <v>2168</v>
      </c>
    </row>
    <row r="3115" spans="1:14" hidden="1" x14ac:dyDescent="0.25">
      <c r="A3115" s="1" t="str">
        <f>VLOOKUP(Table2[[#This Row],[Prod Line ]],Lists!A:E,5,0)</f>
        <v>a</v>
      </c>
      <c r="B3115" s="1">
        <v>44712</v>
      </c>
      <c r="C3115" s="1">
        <v>44710</v>
      </c>
      <c r="D3115" s="1" t="s">
        <v>56</v>
      </c>
      <c r="E3115" s="2" t="s">
        <v>406</v>
      </c>
      <c r="F3115" s="1"/>
      <c r="G3115" s="2">
        <v>6</v>
      </c>
      <c r="H3115" s="1"/>
      <c r="I3115" t="s">
        <v>1</v>
      </c>
      <c r="J3115" t="s">
        <v>64</v>
      </c>
      <c r="K3115" t="s">
        <v>367</v>
      </c>
      <c r="L3115" t="s">
        <v>72</v>
      </c>
      <c r="M3115" s="3" t="s">
        <v>2336</v>
      </c>
    </row>
    <row r="3116" spans="1:14" hidden="1" x14ac:dyDescent="0.25">
      <c r="A3116" s="1" t="str">
        <f>VLOOKUP(Table2[[#This Row],[Prod Line ]],Lists!A:E,5,0)</f>
        <v>a</v>
      </c>
      <c r="B3116" s="1">
        <v>44712</v>
      </c>
      <c r="C3116" s="1">
        <v>44710</v>
      </c>
      <c r="D3116" s="1" t="s">
        <v>56</v>
      </c>
      <c r="E3116" s="2" t="s">
        <v>405</v>
      </c>
      <c r="F3116" s="1"/>
      <c r="G3116" s="2">
        <v>23</v>
      </c>
      <c r="H3116" s="1"/>
      <c r="I3116" t="s">
        <v>1</v>
      </c>
      <c r="J3116" t="s">
        <v>5</v>
      </c>
      <c r="K3116" t="s">
        <v>375</v>
      </c>
      <c r="L3116" t="s">
        <v>344</v>
      </c>
      <c r="M3116" s="3" t="s">
        <v>1217</v>
      </c>
    </row>
    <row r="3117" spans="1:14" hidden="1" x14ac:dyDescent="0.25">
      <c r="A3117" s="1" t="str">
        <f>VLOOKUP(Table2[[#This Row],[Prod Line ]],Lists!A:E,5,0)</f>
        <v>a</v>
      </c>
      <c r="B3117" s="1">
        <v>44712</v>
      </c>
      <c r="C3117" s="1">
        <v>44710</v>
      </c>
      <c r="D3117" s="1" t="s">
        <v>56</v>
      </c>
      <c r="E3117" s="2" t="s">
        <v>405</v>
      </c>
      <c r="F3117" s="1"/>
      <c r="G3117" s="2">
        <v>60</v>
      </c>
      <c r="H3117" s="1"/>
      <c r="I3117" t="s">
        <v>1</v>
      </c>
      <c r="J3117" t="s">
        <v>2</v>
      </c>
      <c r="K3117" t="s">
        <v>19</v>
      </c>
      <c r="L3117" t="s">
        <v>407</v>
      </c>
      <c r="M3117" s="3" t="s">
        <v>48</v>
      </c>
    </row>
    <row r="3118" spans="1:14" hidden="1" x14ac:dyDescent="0.25">
      <c r="A3118" s="1" t="str">
        <f>VLOOKUP(Table2[[#This Row],[Prod Line ]],Lists!A:E,5,0)</f>
        <v>a</v>
      </c>
      <c r="B3118" s="1">
        <v>44712</v>
      </c>
      <c r="C3118" s="1">
        <v>44710</v>
      </c>
      <c r="D3118" s="1" t="s">
        <v>56</v>
      </c>
      <c r="E3118" s="2" t="s">
        <v>406</v>
      </c>
      <c r="F3118" s="1"/>
      <c r="G3118" s="2">
        <v>25</v>
      </c>
      <c r="H3118" s="1"/>
      <c r="I3118" t="s">
        <v>1</v>
      </c>
      <c r="J3118" t="s">
        <v>2</v>
      </c>
      <c r="K3118" t="s">
        <v>19</v>
      </c>
      <c r="L3118" t="s">
        <v>407</v>
      </c>
      <c r="M3118" s="3" t="s">
        <v>1754</v>
      </c>
    </row>
    <row r="3119" spans="1:14" hidden="1" x14ac:dyDescent="0.25">
      <c r="A3119" s="1" t="str">
        <f>VLOOKUP(Table2[[#This Row],[Prod Line ]],Lists!A:E,5,0)</f>
        <v>a</v>
      </c>
      <c r="B3119" s="1">
        <v>44712</v>
      </c>
      <c r="C3119" s="1">
        <v>44710</v>
      </c>
      <c r="D3119" s="1" t="s">
        <v>56</v>
      </c>
      <c r="E3119" s="2" t="s">
        <v>406</v>
      </c>
      <c r="F3119" s="1"/>
      <c r="G3119" s="2">
        <v>15</v>
      </c>
      <c r="H3119" s="1"/>
      <c r="I3119" t="s">
        <v>1</v>
      </c>
      <c r="J3119" t="s">
        <v>64</v>
      </c>
      <c r="K3119" t="s">
        <v>368</v>
      </c>
      <c r="L3119" t="s">
        <v>407</v>
      </c>
      <c r="M3119" s="3" t="s">
        <v>655</v>
      </c>
    </row>
    <row r="3120" spans="1:14" x14ac:dyDescent="0.25">
      <c r="A3120" s="1" t="str">
        <f>VLOOKUP(Table2[[#This Row],[Prod Line ]],Lists!A:E,5,0)</f>
        <v>b</v>
      </c>
      <c r="B3120" s="1">
        <v>44712</v>
      </c>
      <c r="C3120" s="1">
        <v>44710</v>
      </c>
      <c r="D3120" s="1" t="s">
        <v>58</v>
      </c>
      <c r="E3120" s="2" t="s">
        <v>406</v>
      </c>
      <c r="F3120" s="1"/>
      <c r="G3120" s="2">
        <v>25</v>
      </c>
      <c r="H3120" s="1"/>
      <c r="I3120" t="s">
        <v>0</v>
      </c>
      <c r="J3120" t="s">
        <v>65</v>
      </c>
      <c r="K3120" t="s">
        <v>3</v>
      </c>
      <c r="L3120" t="s">
        <v>70</v>
      </c>
      <c r="M3120" s="3" t="s">
        <v>2337</v>
      </c>
    </row>
    <row r="3121" spans="1:13" hidden="1" x14ac:dyDescent="0.25">
      <c r="A3121" s="1" t="str">
        <f>VLOOKUP(Table2[[#This Row],[Prod Line ]],Lists!A:E,5,0)</f>
        <v>b</v>
      </c>
      <c r="B3121" s="1">
        <v>44712</v>
      </c>
      <c r="C3121" s="1">
        <v>44710</v>
      </c>
      <c r="D3121" s="1" t="s">
        <v>58</v>
      </c>
      <c r="E3121" s="2" t="s">
        <v>405</v>
      </c>
      <c r="F3121" s="1"/>
      <c r="G3121" s="2">
        <v>3</v>
      </c>
      <c r="H3121" s="1"/>
      <c r="I3121" t="s">
        <v>1</v>
      </c>
      <c r="J3121" t="s">
        <v>64</v>
      </c>
      <c r="K3121" t="s">
        <v>21</v>
      </c>
      <c r="L3121" t="s">
        <v>407</v>
      </c>
      <c r="M3121" s="3" t="s">
        <v>655</v>
      </c>
    </row>
    <row r="3122" spans="1:13" x14ac:dyDescent="0.25">
      <c r="A3122" s="1" t="str">
        <f>VLOOKUP(Table2[[#This Row],[Prod Line ]],Lists!A:E,5,0)</f>
        <v>b</v>
      </c>
      <c r="B3122" s="1">
        <v>44712</v>
      </c>
      <c r="C3122" s="1">
        <v>44710</v>
      </c>
      <c r="D3122" s="1" t="s">
        <v>58</v>
      </c>
      <c r="E3122" s="2" t="s">
        <v>405</v>
      </c>
      <c r="F3122" s="1"/>
      <c r="G3122" s="2">
        <v>6</v>
      </c>
      <c r="H3122" s="1"/>
      <c r="I3122" t="s">
        <v>0</v>
      </c>
      <c r="J3122" t="s">
        <v>65</v>
      </c>
      <c r="K3122" t="s">
        <v>3</v>
      </c>
      <c r="L3122" t="s">
        <v>70</v>
      </c>
      <c r="M3122" s="3" t="s">
        <v>2338</v>
      </c>
    </row>
    <row r="3123" spans="1:13" hidden="1" x14ac:dyDescent="0.25">
      <c r="A3123" s="1" t="str">
        <f>VLOOKUP(Table2[[#This Row],[Prod Line ]],Lists!A:E,5,0)</f>
        <v>b</v>
      </c>
      <c r="B3123" s="1">
        <v>44712</v>
      </c>
      <c r="C3123" s="1">
        <v>44710</v>
      </c>
      <c r="D3123" s="1" t="s">
        <v>58</v>
      </c>
      <c r="E3123" s="2" t="s">
        <v>405</v>
      </c>
      <c r="F3123" s="1"/>
      <c r="G3123" s="2">
        <v>18</v>
      </c>
      <c r="H3123" s="1"/>
      <c r="I3123" t="s">
        <v>1</v>
      </c>
      <c r="J3123" t="s">
        <v>2</v>
      </c>
      <c r="K3123" t="s">
        <v>19</v>
      </c>
      <c r="L3123" t="s">
        <v>349</v>
      </c>
      <c r="M3123" s="3" t="s">
        <v>575</v>
      </c>
    </row>
    <row r="3124" spans="1:13" hidden="1" x14ac:dyDescent="0.25">
      <c r="A3124" s="1" t="str">
        <f>VLOOKUP(Table2[[#This Row],[Prod Line ]],Lists!A:E,5,0)</f>
        <v>b</v>
      </c>
      <c r="B3124" s="1">
        <v>44712</v>
      </c>
      <c r="C3124" s="1">
        <v>44710</v>
      </c>
      <c r="D3124" s="1" t="s">
        <v>58</v>
      </c>
      <c r="E3124" s="2" t="s">
        <v>405</v>
      </c>
      <c r="F3124" s="1"/>
      <c r="G3124" s="2">
        <v>5</v>
      </c>
      <c r="H3124" s="1"/>
      <c r="I3124" t="s">
        <v>1</v>
      </c>
      <c r="J3124" t="s">
        <v>26</v>
      </c>
      <c r="K3124" t="s">
        <v>25</v>
      </c>
      <c r="L3124" t="s">
        <v>441</v>
      </c>
      <c r="M3124" s="3" t="s">
        <v>441</v>
      </c>
    </row>
    <row r="3125" spans="1:13" x14ac:dyDescent="0.25">
      <c r="A3125" s="1" t="str">
        <f>VLOOKUP(Table2[[#This Row],[Prod Line ]],Lists!A:E,5,0)</f>
        <v>c</v>
      </c>
      <c r="B3125" s="1">
        <v>44712</v>
      </c>
      <c r="C3125" s="1">
        <v>44710</v>
      </c>
      <c r="D3125" s="1" t="s">
        <v>60</v>
      </c>
      <c r="E3125" s="2" t="s">
        <v>404</v>
      </c>
      <c r="F3125" s="1"/>
      <c r="G3125" s="2">
        <v>36</v>
      </c>
      <c r="H3125" s="1"/>
      <c r="I3125" t="s">
        <v>0</v>
      </c>
      <c r="J3125" t="s">
        <v>2</v>
      </c>
      <c r="K3125" t="s">
        <v>378</v>
      </c>
      <c r="L3125" t="s">
        <v>70</v>
      </c>
      <c r="M3125" s="3" t="s">
        <v>2339</v>
      </c>
    </row>
    <row r="3126" spans="1:13" x14ac:dyDescent="0.25">
      <c r="A3126" s="1" t="str">
        <f>VLOOKUP(Table2[[#This Row],[Prod Line ]],Lists!A:E,5,0)</f>
        <v>c</v>
      </c>
      <c r="B3126" s="1">
        <v>44712</v>
      </c>
      <c r="C3126" s="1">
        <v>44710</v>
      </c>
      <c r="D3126" s="1" t="s">
        <v>60</v>
      </c>
      <c r="E3126" s="2" t="s">
        <v>404</v>
      </c>
      <c r="F3126" s="1"/>
      <c r="G3126" s="2">
        <v>36</v>
      </c>
      <c r="H3126" s="1"/>
      <c r="I3126" t="s">
        <v>0</v>
      </c>
      <c r="J3126" t="s">
        <v>65</v>
      </c>
      <c r="K3126" t="s">
        <v>3</v>
      </c>
      <c r="L3126" t="s">
        <v>70</v>
      </c>
      <c r="M3126" s="3" t="s">
        <v>2340</v>
      </c>
    </row>
    <row r="3127" spans="1:13" x14ac:dyDescent="0.25">
      <c r="A3127" s="1" t="str">
        <f>VLOOKUP(Table2[[#This Row],[Prod Line ]],Lists!A:E,5,0)</f>
        <v>d</v>
      </c>
      <c r="B3127" s="1">
        <v>44713</v>
      </c>
      <c r="C3127" s="1">
        <v>44711</v>
      </c>
      <c r="D3127" s="1" t="s">
        <v>62</v>
      </c>
      <c r="E3127" s="2" t="s">
        <v>405</v>
      </c>
      <c r="F3127" s="1"/>
      <c r="G3127" s="2">
        <v>15</v>
      </c>
      <c r="H3127" s="1"/>
      <c r="I3127" t="s">
        <v>0</v>
      </c>
      <c r="J3127" t="s">
        <v>5</v>
      </c>
      <c r="K3127" t="s">
        <v>397</v>
      </c>
      <c r="L3127" t="s">
        <v>70</v>
      </c>
      <c r="M3127" s="3" t="s">
        <v>1910</v>
      </c>
    </row>
    <row r="3128" spans="1:13" hidden="1" x14ac:dyDescent="0.25">
      <c r="A3128" s="1" t="str">
        <f>VLOOKUP(Table2[[#This Row],[Prod Line ]],Lists!A:E,5,0)</f>
        <v>d</v>
      </c>
      <c r="B3128" s="1">
        <v>44713</v>
      </c>
      <c r="C3128" s="1">
        <v>44711</v>
      </c>
      <c r="D3128" s="1" t="s">
        <v>62</v>
      </c>
      <c r="E3128" s="2" t="s">
        <v>406</v>
      </c>
      <c r="F3128" s="1"/>
      <c r="G3128" s="2">
        <v>20</v>
      </c>
      <c r="H3128" s="1"/>
      <c r="I3128" t="s">
        <v>1</v>
      </c>
      <c r="J3128" t="s">
        <v>2</v>
      </c>
      <c r="K3128" t="s">
        <v>19</v>
      </c>
      <c r="L3128" t="s">
        <v>407</v>
      </c>
      <c r="M3128" s="3" t="s">
        <v>834</v>
      </c>
    </row>
    <row r="3129" spans="1:13" x14ac:dyDescent="0.25">
      <c r="A3129" s="1" t="str">
        <f>VLOOKUP(Table2[[#This Row],[Prod Line ]],Lists!A:E,5,0)</f>
        <v>b</v>
      </c>
      <c r="B3129" s="1">
        <v>44713</v>
      </c>
      <c r="C3129" s="1">
        <v>44711</v>
      </c>
      <c r="D3129" s="1" t="s">
        <v>58</v>
      </c>
      <c r="E3129" s="2" t="s">
        <v>405</v>
      </c>
      <c r="F3129" s="1"/>
      <c r="G3129" s="2">
        <v>17</v>
      </c>
      <c r="H3129" s="1"/>
      <c r="I3129" t="s">
        <v>0</v>
      </c>
      <c r="J3129" t="s">
        <v>26</v>
      </c>
      <c r="K3129" t="s">
        <v>26</v>
      </c>
      <c r="L3129" t="s">
        <v>70</v>
      </c>
      <c r="M3129" s="3" t="s">
        <v>2341</v>
      </c>
    </row>
    <row r="3130" spans="1:13" x14ac:dyDescent="0.25">
      <c r="A3130" s="1" t="str">
        <f>VLOOKUP(Table2[[#This Row],[Prod Line ]],Lists!A:E,5,0)</f>
        <v>b</v>
      </c>
      <c r="B3130" s="1">
        <v>44713</v>
      </c>
      <c r="C3130" s="1">
        <v>44711</v>
      </c>
      <c r="D3130" s="1" t="s">
        <v>58</v>
      </c>
      <c r="E3130" s="2" t="s">
        <v>405</v>
      </c>
      <c r="F3130" s="1"/>
      <c r="G3130" s="2">
        <v>12</v>
      </c>
      <c r="H3130" s="1"/>
      <c r="I3130" t="s">
        <v>0</v>
      </c>
      <c r="J3130" t="s">
        <v>65</v>
      </c>
      <c r="K3130" t="s">
        <v>3</v>
      </c>
      <c r="L3130" t="s">
        <v>70</v>
      </c>
      <c r="M3130" s="3" t="s">
        <v>2342</v>
      </c>
    </row>
    <row r="3131" spans="1:13" hidden="1" x14ac:dyDescent="0.25">
      <c r="A3131" s="1" t="str">
        <f>VLOOKUP(Table2[[#This Row],[Prod Line ]],Lists!A:E,5,0)</f>
        <v>a</v>
      </c>
      <c r="B3131" s="1">
        <v>44713</v>
      </c>
      <c r="C3131" s="1">
        <v>44711</v>
      </c>
      <c r="D3131" s="1" t="s">
        <v>56</v>
      </c>
      <c r="E3131" s="2" t="s">
        <v>406</v>
      </c>
      <c r="F3131" s="1"/>
      <c r="G3131" s="2">
        <v>32</v>
      </c>
      <c r="H3131" s="1"/>
      <c r="I3131" t="s">
        <v>1</v>
      </c>
      <c r="J3131" t="s">
        <v>2</v>
      </c>
      <c r="K3131" t="s">
        <v>19</v>
      </c>
      <c r="L3131" t="s">
        <v>407</v>
      </c>
      <c r="M3131" s="3" t="s">
        <v>834</v>
      </c>
    </row>
    <row r="3132" spans="1:13" hidden="1" x14ac:dyDescent="0.25">
      <c r="A3132" s="1" t="str">
        <f>VLOOKUP(Table2[[#This Row],[Prod Line ]],Lists!A:E,5,0)</f>
        <v>a</v>
      </c>
      <c r="B3132" s="1">
        <v>44713</v>
      </c>
      <c r="C3132" s="1">
        <v>44711</v>
      </c>
      <c r="D3132" s="1" t="s">
        <v>56</v>
      </c>
      <c r="E3132" s="2" t="s">
        <v>406</v>
      </c>
      <c r="F3132" s="1"/>
      <c r="G3132" s="2">
        <v>16</v>
      </c>
      <c r="H3132" s="1"/>
      <c r="I3132" t="s">
        <v>1</v>
      </c>
      <c r="J3132" t="s">
        <v>64</v>
      </c>
      <c r="K3132" t="s">
        <v>370</v>
      </c>
      <c r="L3132" t="s">
        <v>407</v>
      </c>
      <c r="M3132" s="3" t="s">
        <v>750</v>
      </c>
    </row>
    <row r="3133" spans="1:13" hidden="1" x14ac:dyDescent="0.25">
      <c r="A3133" s="1" t="str">
        <f>VLOOKUP(Table2[[#This Row],[Prod Line ]],Lists!A:E,5,0)</f>
        <v>c</v>
      </c>
      <c r="B3133" s="1">
        <v>44713</v>
      </c>
      <c r="C3133" s="1">
        <v>44711</v>
      </c>
      <c r="D3133" s="1" t="s">
        <v>60</v>
      </c>
      <c r="E3133" s="2" t="s">
        <v>405</v>
      </c>
      <c r="F3133" s="1"/>
      <c r="G3133" s="2">
        <v>5</v>
      </c>
      <c r="H3133" s="1"/>
      <c r="I3133" t="s">
        <v>1</v>
      </c>
      <c r="J3133" t="s">
        <v>64</v>
      </c>
      <c r="K3133" t="s">
        <v>368</v>
      </c>
      <c r="L3133" t="s">
        <v>407</v>
      </c>
      <c r="M3133" s="3" t="s">
        <v>2343</v>
      </c>
    </row>
    <row r="3134" spans="1:13" hidden="1" x14ac:dyDescent="0.25">
      <c r="A3134" s="1" t="str">
        <f>VLOOKUP(Table2[[#This Row],[Prod Line ]],Lists!A:E,5,0)</f>
        <v>c</v>
      </c>
      <c r="B3134" s="1">
        <v>44713</v>
      </c>
      <c r="C3134" s="1">
        <v>44711</v>
      </c>
      <c r="D3134" s="1" t="s">
        <v>60</v>
      </c>
      <c r="E3134" s="2" t="s">
        <v>404</v>
      </c>
      <c r="F3134" s="1"/>
      <c r="G3134" s="2">
        <v>39</v>
      </c>
      <c r="H3134" s="1"/>
      <c r="I3134" t="s">
        <v>1</v>
      </c>
      <c r="J3134" t="s">
        <v>2</v>
      </c>
      <c r="K3134" t="s">
        <v>377</v>
      </c>
      <c r="L3134" t="s">
        <v>407</v>
      </c>
      <c r="M3134" s="3" t="s">
        <v>2344</v>
      </c>
    </row>
    <row r="3135" spans="1:13" x14ac:dyDescent="0.25">
      <c r="A3135" s="1" t="str">
        <f>VLOOKUP(Table2[[#This Row],[Prod Line ]],Lists!A:E,5,0)</f>
        <v>a</v>
      </c>
      <c r="B3135" s="1">
        <v>44715</v>
      </c>
      <c r="C3135" s="1">
        <v>44713</v>
      </c>
      <c r="D3135" s="1" t="s">
        <v>56</v>
      </c>
      <c r="E3135" s="2" t="s">
        <v>406</v>
      </c>
      <c r="F3135" s="1"/>
      <c r="G3135" s="2">
        <v>17</v>
      </c>
      <c r="H3135" s="1"/>
      <c r="I3135" t="s">
        <v>0</v>
      </c>
      <c r="J3135" t="s">
        <v>65</v>
      </c>
      <c r="K3135" t="s">
        <v>372</v>
      </c>
      <c r="L3135" t="s">
        <v>70</v>
      </c>
      <c r="M3135" s="3" t="s">
        <v>1080</v>
      </c>
    </row>
    <row r="3136" spans="1:13" hidden="1" x14ac:dyDescent="0.25">
      <c r="A3136" s="1" t="str">
        <f>VLOOKUP(Table2[[#This Row],[Prod Line ]],Lists!A:E,5,0)</f>
        <v>a</v>
      </c>
      <c r="B3136" s="1">
        <v>44715</v>
      </c>
      <c r="C3136" s="1">
        <v>44713</v>
      </c>
      <c r="D3136" s="1" t="s">
        <v>56</v>
      </c>
      <c r="E3136" s="2" t="s">
        <v>405</v>
      </c>
      <c r="F3136" s="1"/>
      <c r="G3136" s="2">
        <v>30</v>
      </c>
      <c r="H3136" s="1"/>
      <c r="I3136" t="s">
        <v>1</v>
      </c>
      <c r="J3136" t="s">
        <v>64</v>
      </c>
      <c r="K3136" t="s">
        <v>370</v>
      </c>
      <c r="L3136" t="s">
        <v>407</v>
      </c>
      <c r="M3136" s="3" t="s">
        <v>2324</v>
      </c>
    </row>
    <row r="3137" spans="1:13" hidden="1" x14ac:dyDescent="0.25">
      <c r="A3137" s="1" t="str">
        <f>VLOOKUP(Table2[[#This Row],[Prod Line ]],Lists!A:E,5,0)</f>
        <v>a</v>
      </c>
      <c r="B3137" s="1">
        <v>44715</v>
      </c>
      <c r="C3137" s="1">
        <v>44713</v>
      </c>
      <c r="D3137" s="1" t="s">
        <v>56</v>
      </c>
      <c r="E3137" s="2" t="s">
        <v>406</v>
      </c>
      <c r="F3137" s="1"/>
      <c r="G3137" s="2">
        <v>10</v>
      </c>
      <c r="H3137" s="1"/>
      <c r="I3137" t="s">
        <v>1</v>
      </c>
      <c r="J3137" t="s">
        <v>64</v>
      </c>
      <c r="K3137" t="s">
        <v>370</v>
      </c>
      <c r="L3137" t="s">
        <v>407</v>
      </c>
      <c r="M3137" s="3" t="s">
        <v>2324</v>
      </c>
    </row>
    <row r="3138" spans="1:13" x14ac:dyDescent="0.25">
      <c r="A3138" s="1" t="str">
        <f>VLOOKUP(Table2[[#This Row],[Prod Line ]],Lists!A:E,5,0)</f>
        <v>b</v>
      </c>
      <c r="B3138" s="1">
        <v>44715</v>
      </c>
      <c r="C3138" s="1">
        <v>44713</v>
      </c>
      <c r="D3138" s="1" t="s">
        <v>58</v>
      </c>
      <c r="E3138" s="2" t="s">
        <v>405</v>
      </c>
      <c r="F3138" s="1"/>
      <c r="G3138" s="2">
        <v>7</v>
      </c>
      <c r="H3138" s="1"/>
      <c r="I3138" t="s">
        <v>0</v>
      </c>
      <c r="J3138" t="s">
        <v>66</v>
      </c>
      <c r="K3138" t="s">
        <v>4</v>
      </c>
      <c r="L3138" t="s">
        <v>70</v>
      </c>
      <c r="M3138" s="3" t="s">
        <v>922</v>
      </c>
    </row>
    <row r="3139" spans="1:13" hidden="1" x14ac:dyDescent="0.25">
      <c r="A3139" s="1" t="str">
        <f>VLOOKUP(Table2[[#This Row],[Prod Line ]],Lists!A:E,5,0)</f>
        <v>d</v>
      </c>
      <c r="B3139" s="1">
        <v>44715</v>
      </c>
      <c r="C3139" s="1">
        <v>44713</v>
      </c>
      <c r="D3139" s="1" t="s">
        <v>62</v>
      </c>
      <c r="E3139" s="2" t="s">
        <v>404</v>
      </c>
      <c r="F3139" s="1"/>
      <c r="G3139" s="2">
        <v>5</v>
      </c>
      <c r="H3139" s="1"/>
      <c r="I3139" t="s">
        <v>1</v>
      </c>
      <c r="J3139" t="s">
        <v>2</v>
      </c>
      <c r="K3139" t="s">
        <v>19</v>
      </c>
      <c r="L3139" t="s">
        <v>349</v>
      </c>
      <c r="M3139" s="3" t="s">
        <v>575</v>
      </c>
    </row>
    <row r="3140" spans="1:13" hidden="1" x14ac:dyDescent="0.25">
      <c r="A3140" s="1" t="str">
        <f>VLOOKUP(Table2[[#This Row],[Prod Line ]],Lists!A:E,5,0)</f>
        <v>d</v>
      </c>
      <c r="B3140" s="1">
        <v>44715</v>
      </c>
      <c r="C3140" s="1">
        <v>44713</v>
      </c>
      <c r="D3140" s="1" t="s">
        <v>62</v>
      </c>
      <c r="E3140" s="2" t="s">
        <v>406</v>
      </c>
      <c r="F3140" s="1"/>
      <c r="G3140" s="2">
        <v>4</v>
      </c>
      <c r="H3140" s="1"/>
      <c r="I3140" t="s">
        <v>1</v>
      </c>
      <c r="J3140" t="s">
        <v>2</v>
      </c>
      <c r="K3140" t="s">
        <v>19</v>
      </c>
      <c r="L3140" t="s">
        <v>407</v>
      </c>
      <c r="M3140" s="3" t="s">
        <v>834</v>
      </c>
    </row>
    <row r="3141" spans="1:13" hidden="1" x14ac:dyDescent="0.25">
      <c r="A3141" s="1" t="str">
        <f>VLOOKUP(Table2[[#This Row],[Prod Line ]],Lists!A:E,5,0)</f>
        <v>d</v>
      </c>
      <c r="B3141" s="1">
        <v>44716</v>
      </c>
      <c r="C3141" s="1">
        <v>44714</v>
      </c>
      <c r="D3141" s="1" t="s">
        <v>62</v>
      </c>
      <c r="E3141" s="2" t="s">
        <v>404</v>
      </c>
      <c r="F3141" s="1"/>
      <c r="G3141" s="2">
        <v>5</v>
      </c>
      <c r="H3141" s="1"/>
      <c r="I3141" t="s">
        <v>1</v>
      </c>
      <c r="J3141" t="s">
        <v>2</v>
      </c>
      <c r="K3141" t="s">
        <v>19</v>
      </c>
      <c r="L3141" t="s">
        <v>407</v>
      </c>
      <c r="M3141" s="3" t="s">
        <v>575</v>
      </c>
    </row>
    <row r="3142" spans="1:13" hidden="1" x14ac:dyDescent="0.25">
      <c r="A3142" s="1" t="str">
        <f>VLOOKUP(Table2[[#This Row],[Prod Line ]],Lists!A:E,5,0)</f>
        <v>d</v>
      </c>
      <c r="B3142" s="1">
        <v>44716</v>
      </c>
      <c r="C3142" s="1">
        <v>44714</v>
      </c>
      <c r="D3142" s="1" t="s">
        <v>62</v>
      </c>
      <c r="E3142" s="2" t="s">
        <v>405</v>
      </c>
      <c r="F3142" s="1"/>
      <c r="G3142" s="2">
        <v>35</v>
      </c>
      <c r="H3142" s="1"/>
      <c r="I3142" t="s">
        <v>1</v>
      </c>
      <c r="J3142" t="s">
        <v>2</v>
      </c>
      <c r="K3142" t="s">
        <v>19</v>
      </c>
      <c r="L3142" t="s">
        <v>407</v>
      </c>
      <c r="M3142" s="3" t="s">
        <v>2345</v>
      </c>
    </row>
    <row r="3143" spans="1:13" hidden="1" x14ac:dyDescent="0.25">
      <c r="A3143" s="1" t="str">
        <f>VLOOKUP(Table2[[#This Row],[Prod Line ]],Lists!A:E,5,0)</f>
        <v>d</v>
      </c>
      <c r="B3143" s="1">
        <v>44716</v>
      </c>
      <c r="C3143" s="1">
        <v>44714</v>
      </c>
      <c r="D3143" s="1" t="s">
        <v>62</v>
      </c>
      <c r="E3143" s="2" t="s">
        <v>405</v>
      </c>
      <c r="F3143" s="1"/>
      <c r="G3143" s="2">
        <v>30</v>
      </c>
      <c r="H3143" s="1"/>
      <c r="I3143" t="s">
        <v>1</v>
      </c>
      <c r="J3143" t="s">
        <v>64</v>
      </c>
      <c r="K3143" t="s">
        <v>379</v>
      </c>
      <c r="L3143" t="s">
        <v>407</v>
      </c>
      <c r="M3143" s="3" t="s">
        <v>641</v>
      </c>
    </row>
    <row r="3144" spans="1:13" hidden="1" x14ac:dyDescent="0.25">
      <c r="A3144" s="1" t="str">
        <f>VLOOKUP(Table2[[#This Row],[Prod Line ]],Lists!A:E,5,0)</f>
        <v>a</v>
      </c>
      <c r="B3144" s="1">
        <v>44716</v>
      </c>
      <c r="C3144" s="1">
        <v>44714</v>
      </c>
      <c r="D3144" s="1" t="s">
        <v>56</v>
      </c>
      <c r="E3144" s="2" t="s">
        <v>406</v>
      </c>
      <c r="F3144" s="1"/>
      <c r="G3144" s="2">
        <v>15</v>
      </c>
      <c r="H3144" s="1"/>
      <c r="I3144" t="s">
        <v>1</v>
      </c>
      <c r="J3144" t="s">
        <v>64</v>
      </c>
      <c r="K3144" t="s">
        <v>370</v>
      </c>
      <c r="L3144" t="s">
        <v>407</v>
      </c>
      <c r="M3144" s="3" t="s">
        <v>2346</v>
      </c>
    </row>
    <row r="3145" spans="1:13" hidden="1" x14ac:dyDescent="0.25">
      <c r="A3145" s="1" t="str">
        <f>VLOOKUP(Table2[[#This Row],[Prod Line ]],Lists!A:E,5,0)</f>
        <v>a</v>
      </c>
      <c r="B3145" s="1">
        <v>44716</v>
      </c>
      <c r="C3145" s="1">
        <v>44714</v>
      </c>
      <c r="D3145" s="1" t="s">
        <v>56</v>
      </c>
      <c r="E3145" s="2" t="s">
        <v>404</v>
      </c>
      <c r="F3145" s="1"/>
      <c r="G3145" s="2">
        <v>5</v>
      </c>
      <c r="H3145" s="1"/>
      <c r="I3145" t="s">
        <v>1</v>
      </c>
      <c r="J3145" t="s">
        <v>64</v>
      </c>
      <c r="K3145" t="s">
        <v>370</v>
      </c>
      <c r="L3145" t="s">
        <v>407</v>
      </c>
      <c r="M3145" s="3" t="s">
        <v>750</v>
      </c>
    </row>
    <row r="3146" spans="1:13" hidden="1" x14ac:dyDescent="0.25">
      <c r="A3146" s="1" t="str">
        <f>VLOOKUP(Table2[[#This Row],[Prod Line ]],Lists!A:E,5,0)</f>
        <v>c</v>
      </c>
      <c r="B3146" s="1">
        <v>44716</v>
      </c>
      <c r="C3146" s="1">
        <v>44714</v>
      </c>
      <c r="D3146" s="1" t="s">
        <v>60</v>
      </c>
      <c r="E3146" s="2" t="s">
        <v>405</v>
      </c>
      <c r="F3146" s="1"/>
      <c r="G3146" s="2">
        <v>56</v>
      </c>
      <c r="H3146" s="1"/>
      <c r="I3146" t="s">
        <v>1</v>
      </c>
      <c r="J3146" t="s">
        <v>2</v>
      </c>
      <c r="K3146" t="s">
        <v>377</v>
      </c>
      <c r="L3146" t="s">
        <v>407</v>
      </c>
      <c r="M3146" s="3" t="s">
        <v>2347</v>
      </c>
    </row>
    <row r="3147" spans="1:13" hidden="1" x14ac:dyDescent="0.25">
      <c r="A3147" s="1" t="str">
        <f>VLOOKUP(Table2[[#This Row],[Prod Line ]],Lists!A:E,5,0)</f>
        <v>a</v>
      </c>
      <c r="B3147" s="1">
        <v>44718</v>
      </c>
      <c r="C3147" s="1">
        <v>44716</v>
      </c>
      <c r="D3147" s="1" t="s">
        <v>56</v>
      </c>
      <c r="E3147" s="2" t="s">
        <v>406</v>
      </c>
      <c r="F3147" s="1"/>
      <c r="G3147" s="2">
        <v>35</v>
      </c>
      <c r="H3147" s="1"/>
      <c r="I3147" t="s">
        <v>1</v>
      </c>
      <c r="J3147" t="s">
        <v>2</v>
      </c>
      <c r="K3147" t="s">
        <v>19</v>
      </c>
      <c r="L3147" t="s">
        <v>407</v>
      </c>
      <c r="M3147" s="3" t="s">
        <v>2348</v>
      </c>
    </row>
    <row r="3148" spans="1:13" x14ac:dyDescent="0.25">
      <c r="A3148" s="1" t="str">
        <f>VLOOKUP(Table2[[#This Row],[Prod Line ]],Lists!A:E,5,0)</f>
        <v>a</v>
      </c>
      <c r="B3148" s="1">
        <v>44718</v>
      </c>
      <c r="C3148" s="1">
        <v>44716</v>
      </c>
      <c r="D3148" s="1" t="s">
        <v>56</v>
      </c>
      <c r="E3148" s="2" t="s">
        <v>406</v>
      </c>
      <c r="F3148" s="1"/>
      <c r="G3148" s="2">
        <v>10</v>
      </c>
      <c r="H3148" s="1"/>
      <c r="I3148" t="s">
        <v>0</v>
      </c>
      <c r="J3148" t="s">
        <v>64</v>
      </c>
      <c r="K3148" t="s">
        <v>363</v>
      </c>
      <c r="L3148" t="s">
        <v>70</v>
      </c>
      <c r="M3148" s="3" t="s">
        <v>2349</v>
      </c>
    </row>
    <row r="3149" spans="1:13" hidden="1" x14ac:dyDescent="0.25">
      <c r="A3149" s="1" t="str">
        <f>VLOOKUP(Table2[[#This Row],[Prod Line ]],Lists!A:E,5,0)</f>
        <v>a</v>
      </c>
      <c r="B3149" s="1">
        <v>44718</v>
      </c>
      <c r="C3149" s="1">
        <v>44716</v>
      </c>
      <c r="D3149" s="1" t="s">
        <v>56</v>
      </c>
      <c r="E3149" s="2" t="s">
        <v>405</v>
      </c>
      <c r="F3149" s="1"/>
      <c r="G3149" s="2">
        <v>15</v>
      </c>
      <c r="H3149" s="1"/>
      <c r="I3149" t="s">
        <v>1</v>
      </c>
      <c r="J3149" t="s">
        <v>2</v>
      </c>
      <c r="K3149" t="s">
        <v>19</v>
      </c>
      <c r="L3149" t="s">
        <v>407</v>
      </c>
      <c r="M3149" s="3" t="s">
        <v>1550</v>
      </c>
    </row>
    <row r="3150" spans="1:13" x14ac:dyDescent="0.25">
      <c r="A3150" s="1" t="str">
        <f>VLOOKUP(Table2[[#This Row],[Prod Line ]],Lists!A:E,5,0)</f>
        <v>a</v>
      </c>
      <c r="B3150" s="1">
        <v>44718</v>
      </c>
      <c r="C3150" s="1">
        <v>44716</v>
      </c>
      <c r="D3150" s="1" t="s">
        <v>56</v>
      </c>
      <c r="E3150" s="2" t="s">
        <v>405</v>
      </c>
      <c r="F3150" s="1"/>
      <c r="G3150" s="2">
        <v>20</v>
      </c>
      <c r="H3150" s="1"/>
      <c r="I3150" t="s">
        <v>0</v>
      </c>
      <c r="J3150" t="s">
        <v>66</v>
      </c>
      <c r="K3150" t="s">
        <v>4</v>
      </c>
      <c r="L3150" t="s">
        <v>70</v>
      </c>
      <c r="M3150" s="3" t="s">
        <v>2350</v>
      </c>
    </row>
    <row r="3151" spans="1:13" x14ac:dyDescent="0.25">
      <c r="A3151" s="1" t="str">
        <f>VLOOKUP(Table2[[#This Row],[Prod Line ]],Lists!A:E,5,0)</f>
        <v>a</v>
      </c>
      <c r="B3151" s="1">
        <v>44718</v>
      </c>
      <c r="C3151" s="1">
        <v>44716</v>
      </c>
      <c r="D3151" s="1" t="s">
        <v>56</v>
      </c>
      <c r="E3151" s="2" t="s">
        <v>406</v>
      </c>
      <c r="F3151" s="1"/>
      <c r="G3151" s="2">
        <v>7</v>
      </c>
      <c r="H3151" s="1"/>
      <c r="I3151" t="s">
        <v>0</v>
      </c>
      <c r="J3151" t="s">
        <v>64</v>
      </c>
      <c r="K3151" t="s">
        <v>367</v>
      </c>
      <c r="L3151" t="s">
        <v>70</v>
      </c>
      <c r="M3151" s="3" t="s">
        <v>921</v>
      </c>
    </row>
    <row r="3152" spans="1:13" x14ac:dyDescent="0.25">
      <c r="A3152" s="1" t="str">
        <f>VLOOKUP(Table2[[#This Row],[Prod Line ]],Lists!A:E,5,0)</f>
        <v>a</v>
      </c>
      <c r="B3152" s="1">
        <v>44718</v>
      </c>
      <c r="C3152" s="1">
        <v>44716</v>
      </c>
      <c r="D3152" s="1" t="s">
        <v>56</v>
      </c>
      <c r="E3152" s="2" t="s">
        <v>406</v>
      </c>
      <c r="F3152" s="1"/>
      <c r="G3152" s="2">
        <v>10</v>
      </c>
      <c r="H3152" s="1"/>
      <c r="I3152" t="s">
        <v>0</v>
      </c>
      <c r="J3152" t="s">
        <v>64</v>
      </c>
      <c r="K3152" t="s">
        <v>363</v>
      </c>
      <c r="L3152" t="s">
        <v>70</v>
      </c>
      <c r="M3152" s="3" t="s">
        <v>2351</v>
      </c>
    </row>
    <row r="3153" spans="1:13" hidden="1" x14ac:dyDescent="0.25">
      <c r="A3153" s="1" t="str">
        <f>VLOOKUP(Table2[[#This Row],[Prod Line ]],Lists!A:E,5,0)</f>
        <v>a</v>
      </c>
      <c r="B3153" s="1">
        <v>44718</v>
      </c>
      <c r="C3153" s="1">
        <v>44716</v>
      </c>
      <c r="D3153" s="1" t="s">
        <v>56</v>
      </c>
      <c r="E3153" s="2" t="s">
        <v>406</v>
      </c>
      <c r="F3153" s="1"/>
      <c r="G3153" s="2">
        <v>11</v>
      </c>
      <c r="H3153" s="1"/>
      <c r="I3153" t="s">
        <v>1</v>
      </c>
      <c r="J3153" t="s">
        <v>2</v>
      </c>
      <c r="K3153" t="s">
        <v>19</v>
      </c>
      <c r="L3153" t="s">
        <v>407</v>
      </c>
      <c r="M3153" s="3" t="s">
        <v>2352</v>
      </c>
    </row>
    <row r="3154" spans="1:13" hidden="1" x14ac:dyDescent="0.25">
      <c r="A3154" s="1" t="str">
        <f>VLOOKUP(Table2[[#This Row],[Prod Line ]],Lists!A:E,5,0)</f>
        <v>b</v>
      </c>
      <c r="B3154" s="1">
        <v>44718</v>
      </c>
      <c r="C3154" s="1">
        <v>44716</v>
      </c>
      <c r="D3154" s="1" t="s">
        <v>58</v>
      </c>
      <c r="E3154" s="2" t="s">
        <v>404</v>
      </c>
      <c r="F3154" s="1"/>
      <c r="G3154" s="2">
        <v>3</v>
      </c>
      <c r="H3154" s="1"/>
      <c r="I3154" t="s">
        <v>1</v>
      </c>
      <c r="J3154" t="s">
        <v>26</v>
      </c>
      <c r="K3154" t="s">
        <v>26</v>
      </c>
      <c r="L3154" t="s">
        <v>441</v>
      </c>
      <c r="M3154" s="3" t="s">
        <v>605</v>
      </c>
    </row>
    <row r="3155" spans="1:13" x14ac:dyDescent="0.25">
      <c r="A3155" s="1" t="str">
        <f>VLOOKUP(Table2[[#This Row],[Prod Line ]],Lists!A:E,5,0)</f>
        <v>b</v>
      </c>
      <c r="B3155" s="1">
        <v>44718</v>
      </c>
      <c r="C3155" s="1">
        <v>44716</v>
      </c>
      <c r="D3155" s="1" t="s">
        <v>58</v>
      </c>
      <c r="E3155" s="2" t="s">
        <v>405</v>
      </c>
      <c r="F3155" s="1"/>
      <c r="G3155" s="2">
        <v>12</v>
      </c>
      <c r="H3155" s="1"/>
      <c r="I3155" t="s">
        <v>0</v>
      </c>
      <c r="J3155" t="s">
        <v>26</v>
      </c>
      <c r="K3155" t="s">
        <v>26</v>
      </c>
      <c r="L3155" t="s">
        <v>70</v>
      </c>
      <c r="M3155" s="3" t="s">
        <v>2353</v>
      </c>
    </row>
    <row r="3156" spans="1:13" hidden="1" x14ac:dyDescent="0.25">
      <c r="A3156" s="1" t="str">
        <f>VLOOKUP(Table2[[#This Row],[Prod Line ]],Lists!A:E,5,0)</f>
        <v>b</v>
      </c>
      <c r="B3156" s="1">
        <v>44718</v>
      </c>
      <c r="C3156" s="1">
        <v>44716</v>
      </c>
      <c r="D3156" s="1" t="s">
        <v>58</v>
      </c>
      <c r="E3156" s="2" t="s">
        <v>406</v>
      </c>
      <c r="F3156" s="1"/>
      <c r="G3156" s="2">
        <v>14</v>
      </c>
      <c r="H3156" s="1"/>
      <c r="I3156" t="s">
        <v>1</v>
      </c>
      <c r="J3156" t="s">
        <v>2</v>
      </c>
      <c r="K3156" t="s">
        <v>19</v>
      </c>
      <c r="L3156" t="s">
        <v>349</v>
      </c>
      <c r="M3156" s="3" t="s">
        <v>575</v>
      </c>
    </row>
    <row r="3157" spans="1:13" hidden="1" x14ac:dyDescent="0.25">
      <c r="A3157" s="1" t="str">
        <f>VLOOKUP(Table2[[#This Row],[Prod Line ]],Lists!A:E,5,0)</f>
        <v>c</v>
      </c>
      <c r="B3157" s="1">
        <v>44718</v>
      </c>
      <c r="C3157" s="1">
        <v>44716</v>
      </c>
      <c r="D3157" s="1" t="s">
        <v>60</v>
      </c>
      <c r="E3157" s="2" t="s">
        <v>404</v>
      </c>
      <c r="F3157" s="1"/>
      <c r="G3157" s="2">
        <v>12</v>
      </c>
      <c r="H3157" s="1"/>
      <c r="I3157" t="s">
        <v>1</v>
      </c>
      <c r="J3157" t="s">
        <v>64</v>
      </c>
      <c r="K3157" t="s">
        <v>381</v>
      </c>
      <c r="L3157" t="s">
        <v>407</v>
      </c>
      <c r="M3157" s="3" t="s">
        <v>1779</v>
      </c>
    </row>
    <row r="3158" spans="1:13" hidden="1" x14ac:dyDescent="0.25">
      <c r="A3158" s="1" t="str">
        <f>VLOOKUP(Table2[[#This Row],[Prod Line ]],Lists!A:E,5,0)</f>
        <v>d</v>
      </c>
      <c r="B3158" s="1">
        <v>44718</v>
      </c>
      <c r="C3158" s="1">
        <v>44716</v>
      </c>
      <c r="D3158" s="1" t="s">
        <v>62</v>
      </c>
      <c r="E3158" s="2" t="s">
        <v>405</v>
      </c>
      <c r="F3158" s="1"/>
      <c r="G3158" s="2">
        <v>10</v>
      </c>
      <c r="H3158" s="1"/>
      <c r="I3158" t="s">
        <v>1</v>
      </c>
      <c r="J3158" t="s">
        <v>64</v>
      </c>
      <c r="K3158" t="s">
        <v>379</v>
      </c>
      <c r="L3158" t="s">
        <v>407</v>
      </c>
      <c r="M3158" s="3" t="s">
        <v>1216</v>
      </c>
    </row>
    <row r="3159" spans="1:13" hidden="1" x14ac:dyDescent="0.25">
      <c r="A3159" s="1" t="str">
        <f>VLOOKUP(Table2[[#This Row],[Prod Line ]],Lists!A:E,5,0)</f>
        <v>d</v>
      </c>
      <c r="B3159" s="1">
        <v>44718</v>
      </c>
      <c r="C3159" s="1">
        <v>44716</v>
      </c>
      <c r="D3159" s="1" t="s">
        <v>62</v>
      </c>
      <c r="E3159" s="2" t="s">
        <v>405</v>
      </c>
      <c r="F3159" s="1"/>
      <c r="G3159" s="2">
        <v>5</v>
      </c>
      <c r="H3159" s="1"/>
      <c r="I3159" t="s">
        <v>1</v>
      </c>
      <c r="J3159" t="s">
        <v>2</v>
      </c>
      <c r="K3159" t="s">
        <v>19</v>
      </c>
      <c r="L3159" t="s">
        <v>349</v>
      </c>
      <c r="M3159" s="3" t="s">
        <v>575</v>
      </c>
    </row>
    <row r="3160" spans="1:13" x14ac:dyDescent="0.25">
      <c r="A3160" s="1" t="str">
        <f>VLOOKUP(Table2[[#This Row],[Prod Line ]],Lists!A:E,5,0)</f>
        <v>a</v>
      </c>
      <c r="B3160" s="1">
        <v>44718</v>
      </c>
      <c r="C3160" s="1">
        <v>44717</v>
      </c>
      <c r="D3160" s="1" t="s">
        <v>56</v>
      </c>
      <c r="E3160" s="2" t="s">
        <v>404</v>
      </c>
      <c r="F3160" s="1"/>
      <c r="G3160" s="2">
        <v>6</v>
      </c>
      <c r="H3160" s="1"/>
      <c r="I3160" t="s">
        <v>0</v>
      </c>
      <c r="J3160" t="s">
        <v>64</v>
      </c>
      <c r="K3160" t="s">
        <v>370</v>
      </c>
      <c r="L3160" t="s">
        <v>70</v>
      </c>
      <c r="M3160" s="3" t="s">
        <v>2354</v>
      </c>
    </row>
    <row r="3161" spans="1:13" x14ac:dyDescent="0.25">
      <c r="A3161" s="1" t="str">
        <f>VLOOKUP(Table2[[#This Row],[Prod Line ]],Lists!A:E,5,0)</f>
        <v>a</v>
      </c>
      <c r="B3161" s="1">
        <v>44718</v>
      </c>
      <c r="C3161" s="1">
        <v>44717</v>
      </c>
      <c r="D3161" s="1" t="s">
        <v>56</v>
      </c>
      <c r="E3161" s="2" t="s">
        <v>404</v>
      </c>
      <c r="F3161" s="1"/>
      <c r="G3161" s="2">
        <v>4</v>
      </c>
      <c r="H3161" s="1"/>
      <c r="I3161" t="s">
        <v>0</v>
      </c>
      <c r="J3161" t="s">
        <v>64</v>
      </c>
      <c r="K3161" t="s">
        <v>368</v>
      </c>
      <c r="L3161" t="s">
        <v>70</v>
      </c>
      <c r="M3161" s="3" t="s">
        <v>2355</v>
      </c>
    </row>
    <row r="3162" spans="1:13" hidden="1" x14ac:dyDescent="0.25">
      <c r="A3162" s="1" t="str">
        <f>VLOOKUP(Table2[[#This Row],[Prod Line ]],Lists!A:E,5,0)</f>
        <v>d</v>
      </c>
      <c r="B3162" s="1">
        <v>44719</v>
      </c>
      <c r="C3162" s="1">
        <v>44717</v>
      </c>
      <c r="D3162" s="1" t="s">
        <v>62</v>
      </c>
      <c r="E3162" s="2" t="s">
        <v>405</v>
      </c>
      <c r="F3162" s="1"/>
      <c r="G3162" s="2">
        <v>5</v>
      </c>
      <c r="H3162" s="1"/>
      <c r="I3162" t="s">
        <v>1</v>
      </c>
      <c r="J3162" t="s">
        <v>64</v>
      </c>
      <c r="K3162" t="s">
        <v>379</v>
      </c>
      <c r="L3162" t="s">
        <v>407</v>
      </c>
      <c r="M3162" s="3" t="s">
        <v>573</v>
      </c>
    </row>
    <row r="3163" spans="1:13" x14ac:dyDescent="0.25">
      <c r="A3163" s="1" t="str">
        <f>VLOOKUP(Table2[[#This Row],[Prod Line ]],Lists!A:E,5,0)</f>
        <v>a</v>
      </c>
      <c r="B3163" s="1">
        <v>44719</v>
      </c>
      <c r="C3163" s="1">
        <v>44717</v>
      </c>
      <c r="D3163" s="1" t="s">
        <v>56</v>
      </c>
      <c r="E3163" s="2" t="s">
        <v>405</v>
      </c>
      <c r="F3163" s="1"/>
      <c r="G3163" s="2">
        <v>10</v>
      </c>
      <c r="H3163" s="1"/>
      <c r="I3163" t="s">
        <v>0</v>
      </c>
      <c r="J3163" t="s">
        <v>64</v>
      </c>
      <c r="K3163" t="s">
        <v>367</v>
      </c>
      <c r="L3163" t="s">
        <v>70</v>
      </c>
      <c r="M3163" s="3" t="s">
        <v>2356</v>
      </c>
    </row>
    <row r="3164" spans="1:13" hidden="1" x14ac:dyDescent="0.25">
      <c r="A3164" s="1" t="str">
        <f>VLOOKUP(Table2[[#This Row],[Prod Line ]],Lists!A:E,5,0)</f>
        <v>a</v>
      </c>
      <c r="B3164" s="1">
        <v>44719</v>
      </c>
      <c r="C3164" s="1">
        <v>44717</v>
      </c>
      <c r="D3164" s="1" t="s">
        <v>56</v>
      </c>
      <c r="E3164" s="2" t="s">
        <v>405</v>
      </c>
      <c r="F3164" s="1"/>
      <c r="G3164" s="2">
        <v>8</v>
      </c>
      <c r="H3164" s="1"/>
      <c r="I3164" t="s">
        <v>1</v>
      </c>
      <c r="J3164" t="s">
        <v>64</v>
      </c>
      <c r="K3164" t="s">
        <v>371</v>
      </c>
      <c r="L3164" t="s">
        <v>441</v>
      </c>
      <c r="M3164" s="3" t="s">
        <v>441</v>
      </c>
    </row>
    <row r="3165" spans="1:13" hidden="1" x14ac:dyDescent="0.25">
      <c r="A3165" s="1" t="str">
        <f>VLOOKUP(Table2[[#This Row],[Prod Line ]],Lists!A:E,5,0)</f>
        <v>a</v>
      </c>
      <c r="B3165" s="1">
        <v>44719</v>
      </c>
      <c r="C3165" s="1">
        <v>44717</v>
      </c>
      <c r="D3165" s="1" t="s">
        <v>56</v>
      </c>
      <c r="E3165" s="2" t="s">
        <v>405</v>
      </c>
      <c r="F3165" s="1"/>
      <c r="G3165" s="2">
        <v>9</v>
      </c>
      <c r="H3165" s="1"/>
      <c r="I3165" t="s">
        <v>1</v>
      </c>
      <c r="J3165" t="s">
        <v>64</v>
      </c>
      <c r="K3165" t="s">
        <v>370</v>
      </c>
      <c r="L3165" t="s">
        <v>407</v>
      </c>
      <c r="M3165" s="3" t="s">
        <v>2357</v>
      </c>
    </row>
    <row r="3166" spans="1:13" x14ac:dyDescent="0.25">
      <c r="A3166" s="1" t="str">
        <f>VLOOKUP(Table2[[#This Row],[Prod Line ]],Lists!A:E,5,0)</f>
        <v>b</v>
      </c>
      <c r="B3166" s="1">
        <v>44719</v>
      </c>
      <c r="C3166" s="1">
        <v>44717</v>
      </c>
      <c r="D3166" s="1" t="s">
        <v>58</v>
      </c>
      <c r="E3166" s="2" t="s">
        <v>404</v>
      </c>
      <c r="F3166" s="1"/>
      <c r="G3166" s="2">
        <v>8</v>
      </c>
      <c r="H3166" s="1"/>
      <c r="I3166" t="s">
        <v>0</v>
      </c>
      <c r="J3166" t="s">
        <v>66</v>
      </c>
      <c r="K3166" t="s">
        <v>4</v>
      </c>
      <c r="L3166" t="s">
        <v>70</v>
      </c>
      <c r="M3166" s="3" t="s">
        <v>922</v>
      </c>
    </row>
    <row r="3167" spans="1:13" hidden="1" x14ac:dyDescent="0.25">
      <c r="A3167" s="1" t="str">
        <f>VLOOKUP(Table2[[#This Row],[Prod Line ]],Lists!A:E,5,0)</f>
        <v>d</v>
      </c>
      <c r="B3167" s="1">
        <v>44719</v>
      </c>
      <c r="C3167" s="1">
        <v>44717</v>
      </c>
      <c r="D3167" s="1" t="s">
        <v>62</v>
      </c>
      <c r="E3167" s="2" t="s">
        <v>404</v>
      </c>
      <c r="F3167" s="1"/>
      <c r="G3167" s="2">
        <v>15</v>
      </c>
      <c r="H3167" s="1"/>
      <c r="I3167" t="s">
        <v>1</v>
      </c>
      <c r="J3167" t="s">
        <v>5</v>
      </c>
      <c r="K3167" t="s">
        <v>397</v>
      </c>
      <c r="L3167" t="s">
        <v>407</v>
      </c>
      <c r="M3167" s="3" t="s">
        <v>1126</v>
      </c>
    </row>
    <row r="3168" spans="1:13" hidden="1" x14ac:dyDescent="0.25">
      <c r="A3168" s="1" t="str">
        <f>VLOOKUP(Table2[[#This Row],[Prod Line ]],Lists!A:E,5,0)</f>
        <v>d</v>
      </c>
      <c r="B3168" s="1">
        <v>44719</v>
      </c>
      <c r="C3168" s="1">
        <v>44717</v>
      </c>
      <c r="D3168" s="1" t="s">
        <v>62</v>
      </c>
      <c r="E3168" s="2" t="s">
        <v>405</v>
      </c>
      <c r="F3168" s="1"/>
      <c r="G3168" s="2">
        <v>20</v>
      </c>
      <c r="H3168" s="1"/>
      <c r="I3168" t="s">
        <v>1</v>
      </c>
      <c r="J3168" t="s">
        <v>2</v>
      </c>
      <c r="K3168" t="s">
        <v>19</v>
      </c>
      <c r="L3168" t="s">
        <v>72</v>
      </c>
      <c r="M3168" s="3" t="s">
        <v>48</v>
      </c>
    </row>
    <row r="3169" spans="1:13" hidden="1" x14ac:dyDescent="0.25">
      <c r="A3169" s="1" t="str">
        <f>VLOOKUP(Table2[[#This Row],[Prod Line ]],Lists!A:E,5,0)</f>
        <v>d</v>
      </c>
      <c r="B3169" s="1">
        <v>44719</v>
      </c>
      <c r="C3169" s="1">
        <v>44717</v>
      </c>
      <c r="D3169" s="1" t="s">
        <v>62</v>
      </c>
      <c r="E3169" s="2" t="s">
        <v>405</v>
      </c>
      <c r="F3169" s="1"/>
      <c r="G3169" s="2">
        <v>10</v>
      </c>
      <c r="H3169" s="1"/>
      <c r="I3169" t="s">
        <v>1</v>
      </c>
      <c r="J3169" t="s">
        <v>65</v>
      </c>
      <c r="K3169" t="s">
        <v>394</v>
      </c>
      <c r="L3169" t="s">
        <v>407</v>
      </c>
      <c r="M3169" s="3" t="s">
        <v>2358</v>
      </c>
    </row>
    <row r="3170" spans="1:13" hidden="1" x14ac:dyDescent="0.25">
      <c r="A3170" s="1" t="str">
        <f>VLOOKUP(Table2[[#This Row],[Prod Line ]],Lists!A:E,5,0)</f>
        <v>d</v>
      </c>
      <c r="B3170" s="1">
        <v>44719</v>
      </c>
      <c r="C3170" s="1">
        <v>44717</v>
      </c>
      <c r="D3170" s="1" t="s">
        <v>62</v>
      </c>
      <c r="E3170" s="2" t="s">
        <v>405</v>
      </c>
      <c r="F3170" s="1"/>
      <c r="G3170" s="2">
        <v>10</v>
      </c>
      <c r="H3170" s="1"/>
      <c r="I3170" t="s">
        <v>1</v>
      </c>
      <c r="J3170" t="s">
        <v>64</v>
      </c>
      <c r="K3170" t="s">
        <v>379</v>
      </c>
      <c r="L3170" t="s">
        <v>407</v>
      </c>
      <c r="M3170" s="3" t="s">
        <v>2359</v>
      </c>
    </row>
    <row r="3171" spans="1:13" hidden="1" x14ac:dyDescent="0.25">
      <c r="A3171" s="1" t="str">
        <f>VLOOKUP(Table2[[#This Row],[Prod Line ]],Lists!A:E,5,0)</f>
        <v>a</v>
      </c>
      <c r="B3171" s="1">
        <v>44719</v>
      </c>
      <c r="C3171" s="1">
        <v>44718</v>
      </c>
      <c r="D3171" s="1" t="s">
        <v>56</v>
      </c>
      <c r="E3171" s="2" t="s">
        <v>406</v>
      </c>
      <c r="F3171" s="1"/>
      <c r="G3171" s="2">
        <v>10</v>
      </c>
      <c r="H3171" s="1"/>
      <c r="I3171" t="s">
        <v>1</v>
      </c>
      <c r="J3171" t="s">
        <v>2</v>
      </c>
      <c r="K3171" t="s">
        <v>19</v>
      </c>
      <c r="L3171" t="s">
        <v>349</v>
      </c>
      <c r="M3171" s="3" t="s">
        <v>575</v>
      </c>
    </row>
    <row r="3172" spans="1:13" hidden="1" x14ac:dyDescent="0.25">
      <c r="A3172" s="1" t="str">
        <f>VLOOKUP(Table2[[#This Row],[Prod Line ]],Lists!A:E,5,0)</f>
        <v>a</v>
      </c>
      <c r="B3172" s="1">
        <v>44719</v>
      </c>
      <c r="C3172" s="1">
        <v>44718</v>
      </c>
      <c r="D3172" s="1" t="s">
        <v>56</v>
      </c>
      <c r="E3172" s="2" t="s">
        <v>406</v>
      </c>
      <c r="F3172" s="1"/>
      <c r="G3172" s="2">
        <v>7</v>
      </c>
      <c r="H3172" s="1"/>
      <c r="I3172" t="s">
        <v>1</v>
      </c>
      <c r="J3172" t="s">
        <v>64</v>
      </c>
      <c r="K3172" t="s">
        <v>370</v>
      </c>
      <c r="L3172" t="s">
        <v>407</v>
      </c>
      <c r="M3172" s="3" t="s">
        <v>655</v>
      </c>
    </row>
    <row r="3173" spans="1:13" x14ac:dyDescent="0.25">
      <c r="A3173" s="1" t="str">
        <f>VLOOKUP(Table2[[#This Row],[Prod Line ]],Lists!A:E,5,0)</f>
        <v>a</v>
      </c>
      <c r="B3173" s="1">
        <v>44719</v>
      </c>
      <c r="C3173" s="1">
        <v>44718</v>
      </c>
      <c r="D3173" s="1" t="s">
        <v>56</v>
      </c>
      <c r="E3173" s="2" t="s">
        <v>406</v>
      </c>
      <c r="F3173" s="1"/>
      <c r="G3173" s="2">
        <v>22</v>
      </c>
      <c r="H3173" s="1"/>
      <c r="I3173" t="s">
        <v>0</v>
      </c>
      <c r="J3173" t="s">
        <v>64</v>
      </c>
      <c r="K3173" t="s">
        <v>370</v>
      </c>
      <c r="L3173" t="s">
        <v>70</v>
      </c>
      <c r="M3173" s="3" t="s">
        <v>2360</v>
      </c>
    </row>
    <row r="3174" spans="1:13" hidden="1" x14ac:dyDescent="0.25">
      <c r="A3174" s="1" t="str">
        <f>VLOOKUP(Table2[[#This Row],[Prod Line ]],Lists!A:E,5,0)</f>
        <v>a</v>
      </c>
      <c r="B3174" s="1">
        <v>44719</v>
      </c>
      <c r="C3174" s="1">
        <v>44718</v>
      </c>
      <c r="D3174" s="1" t="s">
        <v>56</v>
      </c>
      <c r="E3174" s="2" t="s">
        <v>404</v>
      </c>
      <c r="F3174" s="1"/>
      <c r="G3174" s="2">
        <v>10</v>
      </c>
      <c r="H3174" s="1"/>
      <c r="I3174" t="s">
        <v>1</v>
      </c>
      <c r="J3174" t="s">
        <v>64</v>
      </c>
      <c r="K3174" t="s">
        <v>370</v>
      </c>
      <c r="L3174" t="s">
        <v>407</v>
      </c>
      <c r="M3174" s="3" t="s">
        <v>750</v>
      </c>
    </row>
    <row r="3175" spans="1:13" x14ac:dyDescent="0.25">
      <c r="A3175" s="1" t="str">
        <f>VLOOKUP(Table2[[#This Row],[Prod Line ]],Lists!A:E,5,0)</f>
        <v>a</v>
      </c>
      <c r="B3175" s="1">
        <v>44721</v>
      </c>
      <c r="C3175" s="1">
        <v>44719</v>
      </c>
      <c r="D3175" s="1" t="s">
        <v>56</v>
      </c>
      <c r="E3175" s="2" t="s">
        <v>406</v>
      </c>
      <c r="F3175" s="1"/>
      <c r="G3175" s="2">
        <v>15</v>
      </c>
      <c r="H3175" s="1"/>
      <c r="I3175" t="s">
        <v>0</v>
      </c>
      <c r="J3175" t="s">
        <v>5</v>
      </c>
      <c r="K3175" t="s">
        <v>376</v>
      </c>
      <c r="L3175" t="s">
        <v>70</v>
      </c>
      <c r="M3175" s="3" t="s">
        <v>1673</v>
      </c>
    </row>
    <row r="3176" spans="1:13" x14ac:dyDescent="0.25">
      <c r="A3176" s="1" t="str">
        <f>VLOOKUP(Table2[[#This Row],[Prod Line ]],Lists!A:E,5,0)</f>
        <v>a</v>
      </c>
      <c r="B3176" s="1">
        <v>44721</v>
      </c>
      <c r="C3176" s="1">
        <v>44719</v>
      </c>
      <c r="D3176" s="1" t="s">
        <v>56</v>
      </c>
      <c r="E3176" s="2" t="s">
        <v>406</v>
      </c>
      <c r="F3176" s="1"/>
      <c r="G3176" s="2">
        <v>7</v>
      </c>
      <c r="H3176" s="1"/>
      <c r="I3176" t="s">
        <v>0</v>
      </c>
      <c r="J3176" t="s">
        <v>64</v>
      </c>
      <c r="K3176" t="s">
        <v>367</v>
      </c>
      <c r="L3176" t="s">
        <v>70</v>
      </c>
      <c r="M3176" s="3" t="s">
        <v>2112</v>
      </c>
    </row>
    <row r="3177" spans="1:13" x14ac:dyDescent="0.25">
      <c r="A3177" s="1" t="str">
        <f>VLOOKUP(Table2[[#This Row],[Prod Line ]],Lists!A:E,5,0)</f>
        <v>a</v>
      </c>
      <c r="B3177" s="1">
        <v>44721</v>
      </c>
      <c r="C3177" s="1">
        <v>44719</v>
      </c>
      <c r="D3177" s="1" t="s">
        <v>56</v>
      </c>
      <c r="E3177" s="2" t="s">
        <v>404</v>
      </c>
      <c r="F3177" s="1"/>
      <c r="G3177" s="2">
        <v>10</v>
      </c>
      <c r="H3177" s="1"/>
      <c r="I3177" t="s">
        <v>0</v>
      </c>
      <c r="J3177" t="s">
        <v>65</v>
      </c>
      <c r="K3177" t="s">
        <v>372</v>
      </c>
      <c r="L3177" t="s">
        <v>70</v>
      </c>
      <c r="M3177" s="3" t="s">
        <v>432</v>
      </c>
    </row>
    <row r="3178" spans="1:13" hidden="1" x14ac:dyDescent="0.25">
      <c r="A3178" s="1" t="str">
        <f>VLOOKUP(Table2[[#This Row],[Prod Line ]],Lists!A:E,5,0)</f>
        <v>a</v>
      </c>
      <c r="B3178" s="1">
        <v>44721</v>
      </c>
      <c r="C3178" s="1">
        <v>44719</v>
      </c>
      <c r="D3178" s="1" t="s">
        <v>56</v>
      </c>
      <c r="E3178" s="2" t="s">
        <v>404</v>
      </c>
      <c r="F3178" s="1"/>
      <c r="G3178" s="2">
        <v>31</v>
      </c>
      <c r="H3178" s="1"/>
      <c r="I3178" t="s">
        <v>1</v>
      </c>
      <c r="J3178" t="s">
        <v>5</v>
      </c>
      <c r="K3178" t="s">
        <v>376</v>
      </c>
      <c r="L3178" t="s">
        <v>407</v>
      </c>
      <c r="M3178" s="3" t="s">
        <v>2361</v>
      </c>
    </row>
    <row r="3179" spans="1:13" hidden="1" x14ac:dyDescent="0.25">
      <c r="A3179" s="1" t="str">
        <f>VLOOKUP(Table2[[#This Row],[Prod Line ]],Lists!A:E,5,0)</f>
        <v>a</v>
      </c>
      <c r="B3179" s="1">
        <v>44721</v>
      </c>
      <c r="C3179" s="1">
        <v>44719</v>
      </c>
      <c r="D3179" s="1" t="s">
        <v>56</v>
      </c>
      <c r="E3179" s="2" t="s">
        <v>405</v>
      </c>
      <c r="F3179" s="1"/>
      <c r="G3179" s="2">
        <v>30</v>
      </c>
      <c r="H3179" s="1"/>
      <c r="I3179" t="s">
        <v>1</v>
      </c>
      <c r="J3179" t="s">
        <v>64</v>
      </c>
      <c r="K3179" t="s">
        <v>367</v>
      </c>
      <c r="L3179" t="s">
        <v>407</v>
      </c>
      <c r="M3179" s="3" t="s">
        <v>2362</v>
      </c>
    </row>
    <row r="3180" spans="1:13" hidden="1" x14ac:dyDescent="0.25">
      <c r="A3180" s="1" t="str">
        <f>VLOOKUP(Table2[[#This Row],[Prod Line ]],Lists!A:E,5,0)</f>
        <v>a</v>
      </c>
      <c r="B3180" s="1">
        <v>44721</v>
      </c>
      <c r="C3180" s="1">
        <v>44719</v>
      </c>
      <c r="D3180" s="1" t="s">
        <v>56</v>
      </c>
      <c r="E3180" s="2" t="s">
        <v>405</v>
      </c>
      <c r="F3180" s="1"/>
      <c r="G3180" s="2">
        <v>20</v>
      </c>
      <c r="H3180" s="1"/>
      <c r="I3180" t="s">
        <v>1</v>
      </c>
      <c r="J3180" t="s">
        <v>64</v>
      </c>
      <c r="K3180" t="s">
        <v>371</v>
      </c>
      <c r="L3180" t="s">
        <v>441</v>
      </c>
      <c r="M3180" s="3" t="s">
        <v>612</v>
      </c>
    </row>
    <row r="3181" spans="1:13" hidden="1" x14ac:dyDescent="0.25">
      <c r="A3181" s="1" t="str">
        <f>VLOOKUP(Table2[[#This Row],[Prod Line ]],Lists!A:E,5,0)</f>
        <v>a</v>
      </c>
      <c r="B3181" s="1">
        <v>44721</v>
      </c>
      <c r="C3181" s="1">
        <v>44719</v>
      </c>
      <c r="D3181" s="1" t="s">
        <v>56</v>
      </c>
      <c r="E3181" s="2" t="s">
        <v>405</v>
      </c>
      <c r="F3181" s="1"/>
      <c r="G3181" s="2">
        <v>8</v>
      </c>
      <c r="H3181" s="1"/>
      <c r="I3181" t="s">
        <v>1</v>
      </c>
      <c r="J3181" t="s">
        <v>2</v>
      </c>
      <c r="K3181" t="s">
        <v>19</v>
      </c>
      <c r="L3181" t="s">
        <v>349</v>
      </c>
      <c r="M3181" s="3" t="s">
        <v>575</v>
      </c>
    </row>
    <row r="3182" spans="1:13" hidden="1" x14ac:dyDescent="0.25">
      <c r="A3182" s="1" t="str">
        <f>VLOOKUP(Table2[[#This Row],[Prod Line ]],Lists!A:E,5,0)</f>
        <v>d</v>
      </c>
      <c r="B3182" s="1">
        <v>44721</v>
      </c>
      <c r="C3182" s="1">
        <v>44719</v>
      </c>
      <c r="D3182" s="1" t="s">
        <v>62</v>
      </c>
      <c r="E3182" s="2" t="s">
        <v>404</v>
      </c>
      <c r="F3182" s="1"/>
      <c r="G3182" s="2">
        <v>5</v>
      </c>
      <c r="H3182" s="1"/>
      <c r="I3182" t="s">
        <v>1</v>
      </c>
      <c r="J3182" t="s">
        <v>2</v>
      </c>
      <c r="K3182" t="s">
        <v>19</v>
      </c>
      <c r="L3182" t="s">
        <v>349</v>
      </c>
      <c r="M3182" s="3" t="s">
        <v>575</v>
      </c>
    </row>
    <row r="3183" spans="1:13" x14ac:dyDescent="0.25">
      <c r="A3183" s="1" t="str">
        <f>VLOOKUP(Table2[[#This Row],[Prod Line ]],Lists!A:E,5,0)</f>
        <v>d</v>
      </c>
      <c r="B3183" s="1">
        <v>44721</v>
      </c>
      <c r="C3183" s="1">
        <v>44719</v>
      </c>
      <c r="D3183" s="1" t="s">
        <v>62</v>
      </c>
      <c r="E3183" s="2" t="s">
        <v>405</v>
      </c>
      <c r="F3183" s="1"/>
      <c r="G3183" s="2">
        <v>60</v>
      </c>
      <c r="H3183" s="1"/>
      <c r="I3183" t="s">
        <v>0</v>
      </c>
      <c r="J3183" t="s">
        <v>5</v>
      </c>
      <c r="K3183" t="s">
        <v>397</v>
      </c>
      <c r="L3183" t="s">
        <v>70</v>
      </c>
      <c r="M3183" s="3" t="s">
        <v>2363</v>
      </c>
    </row>
    <row r="3184" spans="1:13" x14ac:dyDescent="0.25">
      <c r="A3184" s="1" t="str">
        <f>VLOOKUP(Table2[[#This Row],[Prod Line ]],Lists!A:E,5,0)</f>
        <v>b</v>
      </c>
      <c r="B3184" s="1">
        <v>44721</v>
      </c>
      <c r="C3184" s="1">
        <v>44719</v>
      </c>
      <c r="D3184" s="1" t="s">
        <v>58</v>
      </c>
      <c r="E3184" s="2" t="s">
        <v>406</v>
      </c>
      <c r="F3184" s="1"/>
      <c r="G3184" s="2">
        <v>152</v>
      </c>
      <c r="H3184" s="1"/>
      <c r="I3184" t="s">
        <v>0</v>
      </c>
      <c r="J3184" t="s">
        <v>65</v>
      </c>
      <c r="K3184" t="s">
        <v>3</v>
      </c>
      <c r="L3184" t="s">
        <v>70</v>
      </c>
      <c r="M3184" s="3" t="s">
        <v>1312</v>
      </c>
    </row>
    <row r="3185" spans="1:13" x14ac:dyDescent="0.25">
      <c r="A3185" s="1" t="str">
        <f>VLOOKUP(Table2[[#This Row],[Prod Line ]],Lists!A:E,5,0)</f>
        <v>b</v>
      </c>
      <c r="B3185" s="1">
        <v>44721</v>
      </c>
      <c r="C3185" s="1">
        <v>44719</v>
      </c>
      <c r="D3185" s="1" t="s">
        <v>58</v>
      </c>
      <c r="E3185" s="2" t="s">
        <v>406</v>
      </c>
      <c r="F3185" s="1"/>
      <c r="G3185" s="2">
        <v>5</v>
      </c>
      <c r="H3185" s="1"/>
      <c r="I3185" t="s">
        <v>0</v>
      </c>
      <c r="J3185" t="s">
        <v>65</v>
      </c>
      <c r="K3185" t="s">
        <v>3</v>
      </c>
      <c r="L3185" t="s">
        <v>70</v>
      </c>
      <c r="M3185" s="3" t="s">
        <v>2364</v>
      </c>
    </row>
    <row r="3186" spans="1:13" x14ac:dyDescent="0.25">
      <c r="A3186" s="1" t="str">
        <f>VLOOKUP(Table2[[#This Row],[Prod Line ]],Lists!A:E,5,0)</f>
        <v>b</v>
      </c>
      <c r="B3186" s="1">
        <v>44721</v>
      </c>
      <c r="C3186" s="1">
        <v>44719</v>
      </c>
      <c r="D3186" s="1" t="s">
        <v>58</v>
      </c>
      <c r="E3186" s="2" t="s">
        <v>404</v>
      </c>
      <c r="F3186" s="1"/>
      <c r="G3186" s="2">
        <v>60</v>
      </c>
      <c r="H3186" s="1"/>
      <c r="I3186" t="s">
        <v>0</v>
      </c>
      <c r="J3186" t="s">
        <v>65</v>
      </c>
      <c r="K3186" t="s">
        <v>3</v>
      </c>
      <c r="L3186" t="s">
        <v>70</v>
      </c>
      <c r="M3186" s="3" t="s">
        <v>2364</v>
      </c>
    </row>
    <row r="3187" spans="1:13" hidden="1" x14ac:dyDescent="0.25">
      <c r="A3187" s="1" t="str">
        <f>VLOOKUP(Table2[[#This Row],[Prod Line ]],Lists!A:E,5,0)</f>
        <v>b</v>
      </c>
      <c r="B3187" s="1">
        <v>44721</v>
      </c>
      <c r="C3187" s="1">
        <v>44719</v>
      </c>
      <c r="D3187" s="1" t="s">
        <v>58</v>
      </c>
      <c r="E3187" s="2" t="s">
        <v>404</v>
      </c>
      <c r="F3187" s="1"/>
      <c r="G3187" s="2">
        <v>8</v>
      </c>
      <c r="H3187" s="1"/>
      <c r="I3187" t="s">
        <v>1</v>
      </c>
      <c r="J3187" t="s">
        <v>64</v>
      </c>
      <c r="K3187" t="s">
        <v>23</v>
      </c>
      <c r="L3187" t="s">
        <v>407</v>
      </c>
      <c r="M3187" s="3" t="s">
        <v>750</v>
      </c>
    </row>
    <row r="3188" spans="1:13" x14ac:dyDescent="0.25">
      <c r="A3188" s="1" t="str">
        <f>VLOOKUP(Table2[[#This Row],[Prod Line ]],Lists!A:E,5,0)</f>
        <v>b</v>
      </c>
      <c r="B3188" s="1">
        <v>44721</v>
      </c>
      <c r="C3188" s="1">
        <v>44719</v>
      </c>
      <c r="D3188" s="1" t="s">
        <v>58</v>
      </c>
      <c r="E3188" s="2" t="s">
        <v>405</v>
      </c>
      <c r="F3188" s="1"/>
      <c r="G3188" s="2">
        <v>31</v>
      </c>
      <c r="H3188" s="1"/>
      <c r="I3188" t="s">
        <v>0</v>
      </c>
      <c r="J3188" t="s">
        <v>65</v>
      </c>
      <c r="K3188" t="s">
        <v>3</v>
      </c>
      <c r="L3188" t="s">
        <v>70</v>
      </c>
      <c r="M3188" s="3" t="s">
        <v>2364</v>
      </c>
    </row>
    <row r="3189" spans="1:13" hidden="1" x14ac:dyDescent="0.25">
      <c r="A3189" s="1" t="str">
        <f>VLOOKUP(Table2[[#This Row],[Prod Line ]],Lists!A:E,5,0)</f>
        <v>c</v>
      </c>
      <c r="B3189" s="1">
        <v>44721</v>
      </c>
      <c r="C3189" s="1">
        <v>44719</v>
      </c>
      <c r="D3189" s="1" t="s">
        <v>60</v>
      </c>
      <c r="E3189" s="2" t="s">
        <v>404</v>
      </c>
      <c r="F3189" s="1"/>
      <c r="G3189" s="2">
        <v>4</v>
      </c>
      <c r="H3189" s="1"/>
      <c r="I3189" t="s">
        <v>1</v>
      </c>
      <c r="J3189" t="s">
        <v>2</v>
      </c>
      <c r="K3189" t="s">
        <v>378</v>
      </c>
      <c r="L3189" t="s">
        <v>349</v>
      </c>
      <c r="M3189" s="3" t="s">
        <v>575</v>
      </c>
    </row>
    <row r="3190" spans="1:13" hidden="1" x14ac:dyDescent="0.25">
      <c r="A3190" s="1" t="str">
        <f>VLOOKUP(Table2[[#This Row],[Prod Line ]],Lists!A:E,5,0)</f>
        <v>c</v>
      </c>
      <c r="B3190" s="1">
        <v>44721</v>
      </c>
      <c r="C3190" s="1">
        <v>44719</v>
      </c>
      <c r="D3190" s="1" t="s">
        <v>60</v>
      </c>
      <c r="E3190" s="2" t="s">
        <v>405</v>
      </c>
      <c r="F3190" s="1"/>
      <c r="G3190" s="2">
        <v>3</v>
      </c>
      <c r="H3190" s="1"/>
      <c r="I3190" t="s">
        <v>1</v>
      </c>
      <c r="J3190" t="s">
        <v>2</v>
      </c>
      <c r="K3190" t="s">
        <v>378</v>
      </c>
      <c r="L3190" t="s">
        <v>407</v>
      </c>
      <c r="M3190" s="3" t="s">
        <v>2217</v>
      </c>
    </row>
    <row r="3191" spans="1:13" x14ac:dyDescent="0.25">
      <c r="A3191" s="1" t="str">
        <f>VLOOKUP(Table2[[#This Row],[Prod Line ]],Lists!A:E,5,0)</f>
        <v>d</v>
      </c>
      <c r="B3191" s="1">
        <v>44722</v>
      </c>
      <c r="C3191" s="1">
        <v>44720</v>
      </c>
      <c r="D3191" s="1" t="s">
        <v>62</v>
      </c>
      <c r="E3191" s="2" t="s">
        <v>406</v>
      </c>
      <c r="F3191" s="1"/>
      <c r="G3191" s="2">
        <v>28</v>
      </c>
      <c r="H3191" s="1"/>
      <c r="I3191" t="s">
        <v>0</v>
      </c>
      <c r="J3191" t="s">
        <v>5</v>
      </c>
      <c r="K3191" t="s">
        <v>397</v>
      </c>
      <c r="L3191" t="s">
        <v>70</v>
      </c>
      <c r="M3191" s="3" t="s">
        <v>2365</v>
      </c>
    </row>
    <row r="3192" spans="1:13" hidden="1" x14ac:dyDescent="0.25">
      <c r="A3192" s="1" t="str">
        <f>VLOOKUP(Table2[[#This Row],[Prod Line ]],Lists!A:E,5,0)</f>
        <v>a</v>
      </c>
      <c r="B3192" s="1">
        <v>44722</v>
      </c>
      <c r="C3192" s="1">
        <v>44720</v>
      </c>
      <c r="D3192" s="1" t="s">
        <v>56</v>
      </c>
      <c r="E3192" s="2" t="s">
        <v>404</v>
      </c>
      <c r="F3192" s="1"/>
      <c r="G3192" s="2">
        <v>14</v>
      </c>
      <c r="H3192" s="1"/>
      <c r="I3192" t="s">
        <v>1</v>
      </c>
      <c r="J3192" t="s">
        <v>64</v>
      </c>
      <c r="K3192" t="s">
        <v>370</v>
      </c>
      <c r="L3192" t="s">
        <v>407</v>
      </c>
      <c r="M3192" s="3" t="s">
        <v>750</v>
      </c>
    </row>
    <row r="3193" spans="1:13" x14ac:dyDescent="0.25">
      <c r="A3193" s="1" t="str">
        <f>VLOOKUP(Table2[[#This Row],[Prod Line ]],Lists!A:E,5,0)</f>
        <v>b</v>
      </c>
      <c r="B3193" s="1">
        <v>44722</v>
      </c>
      <c r="C3193" s="1">
        <v>44720</v>
      </c>
      <c r="D3193" s="1" t="s">
        <v>58</v>
      </c>
      <c r="E3193" s="2" t="s">
        <v>404</v>
      </c>
      <c r="F3193" s="1"/>
      <c r="G3193" s="2">
        <v>5</v>
      </c>
      <c r="H3193" s="1"/>
      <c r="I3193" t="s">
        <v>0</v>
      </c>
      <c r="J3193" t="s">
        <v>64</v>
      </c>
      <c r="K3193" t="s">
        <v>23</v>
      </c>
      <c r="L3193" t="s">
        <v>70</v>
      </c>
      <c r="M3193" s="3" t="s">
        <v>2366</v>
      </c>
    </row>
    <row r="3194" spans="1:13" hidden="1" x14ac:dyDescent="0.25">
      <c r="A3194" s="1" t="str">
        <f>VLOOKUP(Table2[[#This Row],[Prod Line ]],Lists!A:E,5,0)</f>
        <v>b</v>
      </c>
      <c r="B3194" s="1">
        <v>44722</v>
      </c>
      <c r="C3194" s="1">
        <v>44720</v>
      </c>
      <c r="D3194" s="1" t="s">
        <v>58</v>
      </c>
      <c r="E3194" s="2" t="s">
        <v>405</v>
      </c>
      <c r="F3194" s="1"/>
      <c r="G3194" s="2">
        <v>11</v>
      </c>
      <c r="H3194" s="1"/>
      <c r="I3194" t="s">
        <v>1</v>
      </c>
      <c r="J3194" t="s">
        <v>2</v>
      </c>
      <c r="K3194" t="s">
        <v>19</v>
      </c>
      <c r="L3194" t="s">
        <v>407</v>
      </c>
      <c r="M3194" s="3" t="s">
        <v>834</v>
      </c>
    </row>
    <row r="3195" spans="1:13" hidden="1" x14ac:dyDescent="0.25">
      <c r="A3195" s="1" t="str">
        <f>VLOOKUP(Table2[[#This Row],[Prod Line ]],Lists!A:E,5,0)</f>
        <v>d</v>
      </c>
      <c r="B3195" s="1">
        <v>44722</v>
      </c>
      <c r="C3195" s="1">
        <v>44720</v>
      </c>
      <c r="D3195" s="1" t="s">
        <v>62</v>
      </c>
      <c r="E3195" s="2" t="s">
        <v>405</v>
      </c>
      <c r="F3195" s="1"/>
      <c r="G3195" s="2">
        <v>4</v>
      </c>
      <c r="H3195" s="1"/>
      <c r="I3195" t="s">
        <v>1</v>
      </c>
      <c r="J3195" t="s">
        <v>2</v>
      </c>
      <c r="K3195" t="s">
        <v>19</v>
      </c>
      <c r="L3195" t="s">
        <v>349</v>
      </c>
      <c r="M3195" s="3" t="s">
        <v>575</v>
      </c>
    </row>
    <row r="3196" spans="1:13" x14ac:dyDescent="0.25">
      <c r="A3196" s="1" t="str">
        <f>VLOOKUP(Table2[[#This Row],[Prod Line ]],Lists!A:E,5,0)</f>
        <v>a</v>
      </c>
      <c r="B3196" s="1">
        <v>44722</v>
      </c>
      <c r="C3196" s="1">
        <v>44720</v>
      </c>
      <c r="D3196" s="1" t="s">
        <v>56</v>
      </c>
      <c r="E3196" s="2" t="s">
        <v>406</v>
      </c>
      <c r="F3196" s="1"/>
      <c r="G3196" s="2">
        <v>8</v>
      </c>
      <c r="H3196" s="1"/>
      <c r="I3196" t="s">
        <v>0</v>
      </c>
      <c r="J3196" t="s">
        <v>64</v>
      </c>
      <c r="K3196" t="s">
        <v>367</v>
      </c>
      <c r="L3196" t="s">
        <v>70</v>
      </c>
      <c r="M3196" s="3" t="s">
        <v>2367</v>
      </c>
    </row>
    <row r="3197" spans="1:13" hidden="1" x14ac:dyDescent="0.25">
      <c r="A3197" s="1" t="str">
        <f>VLOOKUP(Table2[[#This Row],[Prod Line ]],Lists!A:E,5,0)</f>
        <v>b</v>
      </c>
      <c r="B3197" s="1">
        <v>44723</v>
      </c>
      <c r="C3197" s="1">
        <v>44721</v>
      </c>
      <c r="D3197" s="1" t="s">
        <v>58</v>
      </c>
      <c r="E3197" s="2" t="s">
        <v>406</v>
      </c>
      <c r="F3197" s="1"/>
      <c r="G3197" s="2">
        <v>16</v>
      </c>
      <c r="H3197" s="1"/>
      <c r="I3197" t="s">
        <v>1</v>
      </c>
      <c r="J3197" t="s">
        <v>2</v>
      </c>
      <c r="K3197" t="s">
        <v>19</v>
      </c>
      <c r="L3197" t="s">
        <v>72</v>
      </c>
      <c r="M3197" s="3" t="s">
        <v>48</v>
      </c>
    </row>
    <row r="3198" spans="1:13" hidden="1" x14ac:dyDescent="0.25">
      <c r="A3198" s="1" t="str">
        <f>VLOOKUP(Table2[[#This Row],[Prod Line ]],Lists!A:E,5,0)</f>
        <v>c</v>
      </c>
      <c r="B3198" s="1">
        <v>44723</v>
      </c>
      <c r="C3198" s="1">
        <v>44721</v>
      </c>
      <c r="D3198" s="1" t="s">
        <v>60</v>
      </c>
      <c r="E3198" s="2" t="s">
        <v>405</v>
      </c>
      <c r="F3198" s="1"/>
      <c r="G3198" s="2">
        <v>6</v>
      </c>
      <c r="H3198" s="1"/>
      <c r="I3198" t="s">
        <v>1</v>
      </c>
      <c r="J3198" t="s">
        <v>64</v>
      </c>
      <c r="K3198" t="s">
        <v>368</v>
      </c>
      <c r="L3198" t="s">
        <v>407</v>
      </c>
      <c r="M3198" s="3" t="s">
        <v>750</v>
      </c>
    </row>
    <row r="3199" spans="1:13" hidden="1" x14ac:dyDescent="0.25">
      <c r="A3199" s="1" t="str">
        <f>VLOOKUP(Table2[[#This Row],[Prod Line ]],Lists!A:E,5,0)</f>
        <v>d</v>
      </c>
      <c r="B3199" s="1">
        <v>44723</v>
      </c>
      <c r="C3199" s="1">
        <v>44721</v>
      </c>
      <c r="D3199" s="1" t="s">
        <v>62</v>
      </c>
      <c r="E3199" s="2" t="s">
        <v>406</v>
      </c>
      <c r="F3199" s="1"/>
      <c r="G3199" s="2">
        <v>7</v>
      </c>
      <c r="H3199" s="1"/>
      <c r="I3199" t="s">
        <v>1</v>
      </c>
      <c r="J3199" t="s">
        <v>64</v>
      </c>
      <c r="K3199" t="s">
        <v>379</v>
      </c>
      <c r="L3199" t="s">
        <v>407</v>
      </c>
      <c r="M3199" s="3" t="s">
        <v>750</v>
      </c>
    </row>
    <row r="3200" spans="1:13" hidden="1" x14ac:dyDescent="0.25">
      <c r="A3200" s="1" t="str">
        <f>VLOOKUP(Table2[[#This Row],[Prod Line ]],Lists!A:E,5,0)</f>
        <v>d</v>
      </c>
      <c r="B3200" s="1">
        <v>44723</v>
      </c>
      <c r="C3200" s="1">
        <v>44721</v>
      </c>
      <c r="D3200" s="1" t="s">
        <v>62</v>
      </c>
      <c r="E3200" s="2" t="s">
        <v>404</v>
      </c>
      <c r="F3200" s="1"/>
      <c r="G3200" s="2">
        <v>10</v>
      </c>
      <c r="H3200" s="1"/>
      <c r="I3200" t="s">
        <v>1</v>
      </c>
      <c r="J3200" t="s">
        <v>2</v>
      </c>
      <c r="K3200" t="s">
        <v>19</v>
      </c>
      <c r="L3200" t="s">
        <v>407</v>
      </c>
      <c r="M3200" s="3" t="s">
        <v>834</v>
      </c>
    </row>
    <row r="3201" spans="1:14" hidden="1" x14ac:dyDescent="0.25">
      <c r="A3201" s="1" t="str">
        <f>VLOOKUP(Table2[[#This Row],[Prod Line ]],Lists!A:E,5,0)</f>
        <v>d</v>
      </c>
      <c r="B3201" s="1">
        <v>44723</v>
      </c>
      <c r="C3201" s="1">
        <v>44721</v>
      </c>
      <c r="D3201" s="1" t="s">
        <v>62</v>
      </c>
      <c r="E3201" s="2" t="s">
        <v>404</v>
      </c>
      <c r="F3201" s="1"/>
      <c r="G3201" s="2">
        <v>13</v>
      </c>
      <c r="H3201" s="1"/>
      <c r="I3201" t="s">
        <v>1</v>
      </c>
      <c r="J3201" t="s">
        <v>2</v>
      </c>
      <c r="K3201" t="s">
        <v>19</v>
      </c>
      <c r="L3201" t="s">
        <v>349</v>
      </c>
      <c r="M3201" s="3" t="s">
        <v>575</v>
      </c>
    </row>
    <row r="3202" spans="1:14" hidden="1" x14ac:dyDescent="0.25">
      <c r="A3202" s="1" t="str">
        <f>VLOOKUP(Table2[[#This Row],[Prod Line ]],Lists!A:E,5,0)</f>
        <v>d</v>
      </c>
      <c r="B3202" s="1">
        <v>44723</v>
      </c>
      <c r="C3202" s="1">
        <v>44721</v>
      </c>
      <c r="D3202" s="1" t="s">
        <v>62</v>
      </c>
      <c r="E3202" s="2" t="s">
        <v>405</v>
      </c>
      <c r="F3202" s="1"/>
      <c r="G3202" s="2">
        <v>10</v>
      </c>
      <c r="H3202" s="1"/>
      <c r="I3202" t="s">
        <v>1</v>
      </c>
      <c r="J3202" t="s">
        <v>64</v>
      </c>
      <c r="K3202" t="s">
        <v>379</v>
      </c>
      <c r="L3202" t="s">
        <v>407</v>
      </c>
      <c r="M3202" s="3" t="s">
        <v>750</v>
      </c>
    </row>
    <row r="3203" spans="1:14" hidden="1" x14ac:dyDescent="0.25">
      <c r="A3203" s="1" t="str">
        <f>VLOOKUP(Table2[[#This Row],[Prod Line ]],Lists!A:E,5,0)</f>
        <v>d</v>
      </c>
      <c r="B3203" s="1">
        <v>44723</v>
      </c>
      <c r="C3203" s="1">
        <v>44721</v>
      </c>
      <c r="D3203" s="1" t="s">
        <v>62</v>
      </c>
      <c r="E3203" s="2" t="s">
        <v>405</v>
      </c>
      <c r="F3203" s="1"/>
      <c r="G3203" s="2">
        <v>10</v>
      </c>
      <c r="H3203" s="1"/>
      <c r="I3203" t="s">
        <v>1</v>
      </c>
      <c r="J3203" t="s">
        <v>5</v>
      </c>
      <c r="K3203" t="s">
        <v>397</v>
      </c>
      <c r="L3203" t="s">
        <v>407</v>
      </c>
      <c r="M3203" s="3" t="s">
        <v>1189</v>
      </c>
    </row>
    <row r="3204" spans="1:14" hidden="1" x14ac:dyDescent="0.25">
      <c r="A3204" s="1" t="str">
        <f>VLOOKUP(Table2[[#This Row],[Prod Line ]],Lists!A:E,5,0)</f>
        <v>b</v>
      </c>
      <c r="B3204" s="1">
        <v>44723</v>
      </c>
      <c r="C3204" s="1">
        <v>44721</v>
      </c>
      <c r="D3204" s="1" t="s">
        <v>58</v>
      </c>
      <c r="E3204" s="2" t="s">
        <v>406</v>
      </c>
      <c r="F3204" s="1"/>
      <c r="G3204" s="2">
        <v>13</v>
      </c>
      <c r="H3204" s="1"/>
      <c r="I3204" t="s">
        <v>1</v>
      </c>
      <c r="J3204" t="s">
        <v>5</v>
      </c>
      <c r="K3204" t="s">
        <v>39</v>
      </c>
      <c r="L3204" t="s">
        <v>407</v>
      </c>
      <c r="M3204" s="3" t="s">
        <v>48</v>
      </c>
    </row>
    <row r="3205" spans="1:14" x14ac:dyDescent="0.25">
      <c r="A3205" s="1" t="str">
        <f>VLOOKUP(Table2[[#This Row],[Prod Line ]],Lists!A:E,5,0)</f>
        <v>a</v>
      </c>
      <c r="B3205" s="1">
        <v>44725</v>
      </c>
      <c r="C3205" s="1">
        <v>44723</v>
      </c>
      <c r="D3205" s="1" t="s">
        <v>56</v>
      </c>
      <c r="E3205" s="2" t="s">
        <v>406</v>
      </c>
      <c r="F3205" s="1"/>
      <c r="G3205" s="2">
        <v>48</v>
      </c>
      <c r="H3205" s="1"/>
      <c r="I3205" t="s">
        <v>0</v>
      </c>
      <c r="J3205" t="s">
        <v>64</v>
      </c>
      <c r="K3205" t="s">
        <v>370</v>
      </c>
      <c r="L3205" t="s">
        <v>82</v>
      </c>
      <c r="M3205" s="3" t="s">
        <v>2384</v>
      </c>
      <c r="N3205" s="20" t="s">
        <v>2385</v>
      </c>
    </row>
    <row r="3206" spans="1:14" hidden="1" x14ac:dyDescent="0.25">
      <c r="A3206" s="1" t="str">
        <f>VLOOKUP(Table2[[#This Row],[Prod Line ]],Lists!A:E,5,0)</f>
        <v>a</v>
      </c>
      <c r="B3206" s="1">
        <v>44725</v>
      </c>
      <c r="C3206" s="1">
        <v>44723</v>
      </c>
      <c r="D3206" s="1" t="s">
        <v>56</v>
      </c>
      <c r="E3206" s="2" t="s">
        <v>406</v>
      </c>
      <c r="F3206" s="1"/>
      <c r="G3206" s="2">
        <v>2</v>
      </c>
      <c r="H3206" s="1"/>
      <c r="I3206" t="s">
        <v>1</v>
      </c>
      <c r="J3206" t="s">
        <v>64</v>
      </c>
      <c r="K3206" t="s">
        <v>370</v>
      </c>
      <c r="L3206" t="s">
        <v>407</v>
      </c>
      <c r="M3206" s="3" t="s">
        <v>2324</v>
      </c>
    </row>
    <row r="3207" spans="1:14" x14ac:dyDescent="0.25">
      <c r="A3207" s="1" t="str">
        <f>VLOOKUP(Table2[[#This Row],[Prod Line ]],Lists!A:E,5,0)</f>
        <v>a</v>
      </c>
      <c r="B3207" s="1">
        <v>44725</v>
      </c>
      <c r="C3207" s="1">
        <v>44723</v>
      </c>
      <c r="D3207" s="1" t="s">
        <v>56</v>
      </c>
      <c r="E3207" s="2" t="s">
        <v>406</v>
      </c>
      <c r="F3207" s="1"/>
      <c r="G3207" s="2">
        <v>5</v>
      </c>
      <c r="H3207" s="1"/>
      <c r="I3207" t="s">
        <v>0</v>
      </c>
      <c r="J3207" t="s">
        <v>65</v>
      </c>
      <c r="K3207" t="s">
        <v>372</v>
      </c>
      <c r="L3207" t="s">
        <v>70</v>
      </c>
      <c r="M3207" s="3" t="s">
        <v>1080</v>
      </c>
    </row>
    <row r="3208" spans="1:14" hidden="1" x14ac:dyDescent="0.25">
      <c r="A3208" s="1" t="str">
        <f>VLOOKUP(Table2[[#This Row],[Prod Line ]],Lists!A:E,5,0)</f>
        <v>a</v>
      </c>
      <c r="B3208" s="1">
        <v>44725</v>
      </c>
      <c r="C3208" s="1">
        <v>44723</v>
      </c>
      <c r="D3208" s="1" t="s">
        <v>56</v>
      </c>
      <c r="E3208" s="2" t="s">
        <v>404</v>
      </c>
      <c r="F3208" s="1"/>
      <c r="G3208" s="2">
        <v>21</v>
      </c>
      <c r="H3208" s="1"/>
      <c r="I3208" t="s">
        <v>1</v>
      </c>
      <c r="J3208" t="s">
        <v>2</v>
      </c>
      <c r="K3208" t="s">
        <v>19</v>
      </c>
      <c r="L3208" t="s">
        <v>407</v>
      </c>
      <c r="M3208" s="3" t="s">
        <v>2368</v>
      </c>
    </row>
    <row r="3209" spans="1:14" x14ac:dyDescent="0.25">
      <c r="A3209" s="1" t="str">
        <f>VLOOKUP(Table2[[#This Row],[Prod Line ]],Lists!A:E,5,0)</f>
        <v>a</v>
      </c>
      <c r="B3209" s="1">
        <v>44725</v>
      </c>
      <c r="C3209" s="1">
        <v>44723</v>
      </c>
      <c r="D3209" s="1" t="s">
        <v>56</v>
      </c>
      <c r="E3209" s="2" t="s">
        <v>406</v>
      </c>
      <c r="F3209" s="1"/>
      <c r="G3209" s="2">
        <v>40</v>
      </c>
      <c r="H3209" s="1"/>
      <c r="I3209" t="s">
        <v>0</v>
      </c>
      <c r="J3209" t="s">
        <v>64</v>
      </c>
      <c r="K3209" t="s">
        <v>367</v>
      </c>
      <c r="L3209" t="s">
        <v>70</v>
      </c>
      <c r="M3209" s="3" t="s">
        <v>2369</v>
      </c>
    </row>
    <row r="3210" spans="1:14" hidden="1" x14ac:dyDescent="0.25">
      <c r="A3210" s="1" t="str">
        <f>VLOOKUP(Table2[[#This Row],[Prod Line ]],Lists!A:E,5,0)</f>
        <v>a</v>
      </c>
      <c r="B3210" s="1">
        <v>44725</v>
      </c>
      <c r="C3210" s="1">
        <v>44723</v>
      </c>
      <c r="D3210" s="1" t="s">
        <v>56</v>
      </c>
      <c r="E3210" s="2" t="s">
        <v>406</v>
      </c>
      <c r="F3210" s="1"/>
      <c r="G3210" s="2">
        <v>19</v>
      </c>
      <c r="H3210" s="1"/>
      <c r="I3210" t="s">
        <v>1</v>
      </c>
      <c r="J3210" t="s">
        <v>65</v>
      </c>
      <c r="K3210" t="s">
        <v>372</v>
      </c>
      <c r="L3210" t="s">
        <v>441</v>
      </c>
      <c r="M3210" s="3" t="s">
        <v>2370</v>
      </c>
    </row>
    <row r="3211" spans="1:14" hidden="1" x14ac:dyDescent="0.25">
      <c r="A3211" s="1" t="str">
        <f>VLOOKUP(Table2[[#This Row],[Prod Line ]],Lists!A:E,5,0)</f>
        <v>b</v>
      </c>
      <c r="B3211" s="1">
        <v>44725</v>
      </c>
      <c r="C3211" s="1">
        <v>44723</v>
      </c>
      <c r="D3211" s="1" t="s">
        <v>58</v>
      </c>
      <c r="E3211" s="2" t="s">
        <v>404</v>
      </c>
      <c r="F3211" s="1"/>
      <c r="G3211" s="2">
        <v>6</v>
      </c>
      <c r="H3211" s="1"/>
      <c r="I3211" t="s">
        <v>1</v>
      </c>
      <c r="J3211" t="s">
        <v>2</v>
      </c>
      <c r="K3211" t="s">
        <v>19</v>
      </c>
      <c r="L3211" t="s">
        <v>349</v>
      </c>
      <c r="M3211" s="3" t="s">
        <v>816</v>
      </c>
    </row>
    <row r="3212" spans="1:14" hidden="1" x14ac:dyDescent="0.25">
      <c r="A3212" s="1" t="str">
        <f>VLOOKUP(Table2[[#This Row],[Prod Line ]],Lists!A:E,5,0)</f>
        <v>b</v>
      </c>
      <c r="B3212" s="1">
        <v>44725</v>
      </c>
      <c r="C3212" s="1">
        <v>44723</v>
      </c>
      <c r="D3212" s="1" t="s">
        <v>58</v>
      </c>
      <c r="E3212" s="2" t="s">
        <v>404</v>
      </c>
      <c r="F3212" s="1"/>
      <c r="G3212" s="2">
        <v>10</v>
      </c>
      <c r="H3212" s="1"/>
      <c r="I3212" t="s">
        <v>1</v>
      </c>
      <c r="J3212" t="s">
        <v>26</v>
      </c>
      <c r="K3212" t="s">
        <v>25</v>
      </c>
      <c r="L3212" t="s">
        <v>441</v>
      </c>
      <c r="M3212" s="3" t="s">
        <v>2371</v>
      </c>
    </row>
    <row r="3213" spans="1:14" hidden="1" x14ac:dyDescent="0.25">
      <c r="A3213" s="1" t="str">
        <f>VLOOKUP(Table2[[#This Row],[Prod Line ]],Lists!A:E,5,0)</f>
        <v>b</v>
      </c>
      <c r="B3213" s="1">
        <v>44725</v>
      </c>
      <c r="C3213" s="1">
        <v>44723</v>
      </c>
      <c r="D3213" s="1" t="s">
        <v>58</v>
      </c>
      <c r="E3213" s="2" t="s">
        <v>404</v>
      </c>
      <c r="F3213" s="1"/>
      <c r="G3213" s="2">
        <v>8</v>
      </c>
      <c r="H3213" s="1"/>
      <c r="I3213" t="s">
        <v>1</v>
      </c>
      <c r="J3213" t="s">
        <v>64</v>
      </c>
      <c r="K3213" t="s">
        <v>21</v>
      </c>
      <c r="L3213" t="s">
        <v>407</v>
      </c>
      <c r="M3213" s="3" t="s">
        <v>2168</v>
      </c>
    </row>
    <row r="3214" spans="1:14" hidden="1" x14ac:dyDescent="0.25">
      <c r="A3214" s="1" t="str">
        <f>VLOOKUP(Table2[[#This Row],[Prod Line ]],Lists!A:E,5,0)</f>
        <v>b</v>
      </c>
      <c r="B3214" s="1">
        <v>44725</v>
      </c>
      <c r="C3214" s="1">
        <v>44723</v>
      </c>
      <c r="D3214" s="1" t="s">
        <v>58</v>
      </c>
      <c r="E3214" s="2" t="s">
        <v>405</v>
      </c>
      <c r="F3214" s="1"/>
      <c r="G3214" s="2">
        <v>15</v>
      </c>
      <c r="H3214" s="1"/>
      <c r="I3214" t="s">
        <v>1</v>
      </c>
      <c r="J3214" t="s">
        <v>65</v>
      </c>
      <c r="K3214" t="s">
        <v>27</v>
      </c>
      <c r="L3214" t="s">
        <v>441</v>
      </c>
      <c r="M3214" s="3" t="s">
        <v>441</v>
      </c>
    </row>
    <row r="3215" spans="1:14" x14ac:dyDescent="0.25">
      <c r="A3215" s="1" t="str">
        <f>VLOOKUP(Table2[[#This Row],[Prod Line ]],Lists!A:E,5,0)</f>
        <v>b</v>
      </c>
      <c r="B3215" s="1">
        <v>44725</v>
      </c>
      <c r="C3215" s="1">
        <v>44723</v>
      </c>
      <c r="D3215" s="1" t="s">
        <v>58</v>
      </c>
      <c r="E3215" s="2" t="s">
        <v>406</v>
      </c>
      <c r="F3215" s="1"/>
      <c r="G3215" s="2">
        <v>6</v>
      </c>
      <c r="H3215" s="1"/>
      <c r="I3215" t="s">
        <v>0</v>
      </c>
      <c r="J3215" t="s">
        <v>65</v>
      </c>
      <c r="K3215" t="s">
        <v>3</v>
      </c>
      <c r="L3215" t="s">
        <v>70</v>
      </c>
      <c r="M3215" s="3" t="s">
        <v>2337</v>
      </c>
    </row>
    <row r="3216" spans="1:14" hidden="1" x14ac:dyDescent="0.25">
      <c r="A3216" s="1" t="str">
        <f>VLOOKUP(Table2[[#This Row],[Prod Line ]],Lists!A:E,5,0)</f>
        <v>d</v>
      </c>
      <c r="B3216" s="1">
        <v>44725</v>
      </c>
      <c r="C3216" s="1">
        <v>44723</v>
      </c>
      <c r="D3216" s="1" t="s">
        <v>62</v>
      </c>
      <c r="E3216" s="2" t="s">
        <v>405</v>
      </c>
      <c r="F3216" s="1"/>
      <c r="G3216" s="2">
        <v>7</v>
      </c>
      <c r="H3216" s="1"/>
      <c r="I3216" t="s">
        <v>1</v>
      </c>
      <c r="J3216" t="s">
        <v>64</v>
      </c>
      <c r="K3216" t="s">
        <v>379</v>
      </c>
      <c r="L3216" t="s">
        <v>407</v>
      </c>
      <c r="M3216" s="3" t="s">
        <v>2372</v>
      </c>
    </row>
    <row r="3217" spans="1:13" hidden="1" x14ac:dyDescent="0.25">
      <c r="A3217" s="1" t="str">
        <f>VLOOKUP(Table2[[#This Row],[Prod Line ]],Lists!A:E,5,0)</f>
        <v>d</v>
      </c>
      <c r="B3217" s="1">
        <v>44725</v>
      </c>
      <c r="C3217" s="1">
        <v>44723</v>
      </c>
      <c r="D3217" s="1" t="s">
        <v>62</v>
      </c>
      <c r="E3217" s="2" t="s">
        <v>405</v>
      </c>
      <c r="F3217" s="1"/>
      <c r="G3217" s="2">
        <v>5</v>
      </c>
      <c r="H3217" s="1"/>
      <c r="I3217" t="s">
        <v>1</v>
      </c>
      <c r="J3217" t="s">
        <v>2</v>
      </c>
      <c r="K3217" t="s">
        <v>19</v>
      </c>
      <c r="L3217" t="s">
        <v>407</v>
      </c>
      <c r="M3217" s="3" t="s">
        <v>2373</v>
      </c>
    </row>
    <row r="3218" spans="1:13" x14ac:dyDescent="0.25">
      <c r="A3218" s="1" t="str">
        <f>VLOOKUP(Table2[[#This Row],[Prod Line ]],Lists!A:E,5,0)</f>
        <v>c</v>
      </c>
      <c r="B3218" s="1">
        <v>44726</v>
      </c>
      <c r="C3218" s="1">
        <v>44724</v>
      </c>
      <c r="D3218" s="1" t="s">
        <v>60</v>
      </c>
      <c r="E3218" s="2" t="s">
        <v>404</v>
      </c>
      <c r="F3218" s="1"/>
      <c r="G3218" s="2">
        <v>9</v>
      </c>
      <c r="H3218" s="1"/>
      <c r="I3218" t="s">
        <v>0</v>
      </c>
      <c r="J3218" t="s">
        <v>64</v>
      </c>
      <c r="K3218" t="s">
        <v>379</v>
      </c>
      <c r="L3218" t="s">
        <v>70</v>
      </c>
      <c r="M3218" s="3" t="s">
        <v>2374</v>
      </c>
    </row>
    <row r="3219" spans="1:13" hidden="1" x14ac:dyDescent="0.25">
      <c r="A3219" s="1" t="str">
        <f>VLOOKUP(Table2[[#This Row],[Prod Line ]],Lists!A:E,5,0)</f>
        <v>c</v>
      </c>
      <c r="B3219" s="1">
        <v>44726</v>
      </c>
      <c r="C3219" s="1">
        <v>44724</v>
      </c>
      <c r="D3219" s="1" t="s">
        <v>60</v>
      </c>
      <c r="E3219" s="2" t="s">
        <v>404</v>
      </c>
      <c r="F3219" s="1"/>
      <c r="G3219" s="2">
        <v>8</v>
      </c>
      <c r="H3219" s="1"/>
      <c r="I3219" t="s">
        <v>1</v>
      </c>
      <c r="J3219" t="s">
        <v>64</v>
      </c>
      <c r="K3219" t="s">
        <v>379</v>
      </c>
      <c r="L3219" t="s">
        <v>407</v>
      </c>
      <c r="M3219" s="3" t="s">
        <v>2375</v>
      </c>
    </row>
    <row r="3220" spans="1:13" hidden="1" x14ac:dyDescent="0.25">
      <c r="A3220" s="1" t="str">
        <f>VLOOKUP(Table2[[#This Row],[Prod Line ]],Lists!A:E,5,0)</f>
        <v>d</v>
      </c>
      <c r="B3220" s="1">
        <v>44726</v>
      </c>
      <c r="C3220" s="1">
        <v>44724</v>
      </c>
      <c r="D3220" s="1" t="s">
        <v>62</v>
      </c>
      <c r="E3220" s="2" t="s">
        <v>404</v>
      </c>
      <c r="F3220" s="1"/>
      <c r="G3220" s="2">
        <v>7</v>
      </c>
      <c r="H3220" s="1"/>
      <c r="I3220" t="s">
        <v>1</v>
      </c>
      <c r="J3220" t="s">
        <v>5</v>
      </c>
      <c r="K3220" t="s">
        <v>397</v>
      </c>
      <c r="L3220" t="s">
        <v>407</v>
      </c>
      <c r="M3220" s="3" t="s">
        <v>1189</v>
      </c>
    </row>
    <row r="3221" spans="1:13" x14ac:dyDescent="0.25">
      <c r="A3221" s="1" t="str">
        <f>VLOOKUP(Table2[[#This Row],[Prod Line ]],Lists!A:E,5,0)</f>
        <v>a</v>
      </c>
      <c r="B3221" s="1">
        <v>44726</v>
      </c>
      <c r="C3221" s="1">
        <v>44724</v>
      </c>
      <c r="D3221" s="1" t="s">
        <v>56</v>
      </c>
      <c r="E3221" s="2" t="s">
        <v>404</v>
      </c>
      <c r="F3221" s="1"/>
      <c r="G3221" s="2">
        <v>19</v>
      </c>
      <c r="H3221" s="1"/>
      <c r="I3221" t="s">
        <v>0</v>
      </c>
      <c r="J3221" t="s">
        <v>64</v>
      </c>
      <c r="K3221" t="s">
        <v>367</v>
      </c>
      <c r="L3221" t="s">
        <v>70</v>
      </c>
      <c r="M3221" s="3" t="s">
        <v>2232</v>
      </c>
    </row>
    <row r="3222" spans="1:13" hidden="1" x14ac:dyDescent="0.25">
      <c r="A3222" s="1" t="str">
        <f>VLOOKUP(Table2[[#This Row],[Prod Line ]],Lists!A:E,5,0)</f>
        <v>d</v>
      </c>
      <c r="B3222" s="1">
        <v>44726</v>
      </c>
      <c r="C3222" s="1">
        <v>44724</v>
      </c>
      <c r="D3222" s="1" t="s">
        <v>62</v>
      </c>
      <c r="E3222" s="2" t="s">
        <v>405</v>
      </c>
      <c r="F3222" s="1"/>
      <c r="G3222" s="2">
        <v>7</v>
      </c>
      <c r="H3222" s="1"/>
      <c r="I3222" t="s">
        <v>1</v>
      </c>
      <c r="J3222" t="s">
        <v>64</v>
      </c>
      <c r="K3222" t="s">
        <v>379</v>
      </c>
      <c r="L3222" t="s">
        <v>407</v>
      </c>
      <c r="M3222" s="3" t="s">
        <v>833</v>
      </c>
    </row>
    <row r="3223" spans="1:13" x14ac:dyDescent="0.25">
      <c r="A3223" s="1" t="str">
        <f>VLOOKUP(Table2[[#This Row],[Prod Line ]],Lists!A:E,5,0)</f>
        <v>b</v>
      </c>
      <c r="B3223" s="1">
        <v>44726</v>
      </c>
      <c r="C3223" s="1">
        <v>44724</v>
      </c>
      <c r="D3223" s="1" t="s">
        <v>58</v>
      </c>
      <c r="E3223" s="2" t="s">
        <v>405</v>
      </c>
      <c r="F3223" s="1"/>
      <c r="G3223" s="2">
        <v>25</v>
      </c>
      <c r="H3223" s="1"/>
      <c r="I3223" t="s">
        <v>0</v>
      </c>
      <c r="J3223" t="s">
        <v>65</v>
      </c>
      <c r="K3223" t="s">
        <v>27</v>
      </c>
      <c r="L3223" t="s">
        <v>69</v>
      </c>
      <c r="M3223" s="3" t="s">
        <v>2376</v>
      </c>
    </row>
    <row r="3224" spans="1:13" x14ac:dyDescent="0.25">
      <c r="A3224" s="1" t="str">
        <f>VLOOKUP(Table2[[#This Row],[Prod Line ]],Lists!A:E,5,0)</f>
        <v>b</v>
      </c>
      <c r="B3224" s="1">
        <v>44726</v>
      </c>
      <c r="C3224" s="1">
        <v>44724</v>
      </c>
      <c r="D3224" s="1" t="s">
        <v>58</v>
      </c>
      <c r="E3224" s="2" t="s">
        <v>405</v>
      </c>
      <c r="F3224" s="1"/>
      <c r="G3224" s="2">
        <v>7</v>
      </c>
      <c r="H3224" s="1"/>
      <c r="I3224" t="s">
        <v>0</v>
      </c>
      <c r="J3224" t="s">
        <v>64</v>
      </c>
      <c r="K3224" t="s">
        <v>20</v>
      </c>
      <c r="L3224" t="s">
        <v>70</v>
      </c>
      <c r="M3224" s="3" t="s">
        <v>1331</v>
      </c>
    </row>
    <row r="3225" spans="1:13" hidden="1" x14ac:dyDescent="0.25">
      <c r="A3225" s="1" t="str">
        <f>VLOOKUP(Table2[[#This Row],[Prod Line ]],Lists!A:E,5,0)</f>
        <v>b</v>
      </c>
      <c r="B3225" s="1">
        <v>44726</v>
      </c>
      <c r="C3225" s="1">
        <v>44724</v>
      </c>
      <c r="D3225" s="1" t="s">
        <v>58</v>
      </c>
      <c r="E3225" s="2" t="s">
        <v>406</v>
      </c>
      <c r="F3225" s="1"/>
      <c r="G3225" s="2">
        <v>30</v>
      </c>
      <c r="H3225" s="1"/>
      <c r="I3225" t="s">
        <v>1</v>
      </c>
      <c r="J3225" t="s">
        <v>5</v>
      </c>
      <c r="K3225" t="s">
        <v>39</v>
      </c>
      <c r="L3225" t="s">
        <v>407</v>
      </c>
      <c r="M3225" s="3" t="s">
        <v>2377</v>
      </c>
    </row>
    <row r="3226" spans="1:13" hidden="1" x14ac:dyDescent="0.25">
      <c r="A3226" s="1" t="str">
        <f>VLOOKUP(Table2[[#This Row],[Prod Line ]],Lists!A:E,5,0)</f>
        <v>d</v>
      </c>
      <c r="B3226" s="1">
        <v>44726</v>
      </c>
      <c r="C3226" s="1">
        <v>44724</v>
      </c>
      <c r="D3226" s="1" t="s">
        <v>62</v>
      </c>
      <c r="E3226" s="2" t="s">
        <v>404</v>
      </c>
      <c r="F3226" s="1"/>
      <c r="G3226" s="2">
        <v>25</v>
      </c>
      <c r="H3226" s="1"/>
      <c r="I3226" t="s">
        <v>1</v>
      </c>
      <c r="J3226" t="s">
        <v>5</v>
      </c>
      <c r="K3226" t="s">
        <v>397</v>
      </c>
      <c r="L3226" t="s">
        <v>72</v>
      </c>
      <c r="M3226" s="3" t="s">
        <v>2300</v>
      </c>
    </row>
    <row r="3227" spans="1:13" hidden="1" x14ac:dyDescent="0.25">
      <c r="A3227" s="1" t="str">
        <f>VLOOKUP(Table2[[#This Row],[Prod Line ]],Lists!A:E,5,0)</f>
        <v>d</v>
      </c>
      <c r="B3227" s="1">
        <v>44726</v>
      </c>
      <c r="C3227" s="1">
        <v>44724</v>
      </c>
      <c r="D3227" s="1" t="s">
        <v>62</v>
      </c>
      <c r="E3227" s="2" t="s">
        <v>405</v>
      </c>
      <c r="F3227" s="1"/>
      <c r="G3227" s="2">
        <v>7</v>
      </c>
      <c r="H3227" s="1"/>
      <c r="I3227" t="s">
        <v>1</v>
      </c>
      <c r="J3227" t="s">
        <v>64</v>
      </c>
      <c r="K3227" t="s">
        <v>379</v>
      </c>
      <c r="L3227" t="s">
        <v>407</v>
      </c>
      <c r="M3227" s="3" t="s">
        <v>750</v>
      </c>
    </row>
    <row r="3228" spans="1:13" hidden="1" x14ac:dyDescent="0.25">
      <c r="A3228" s="1" t="str">
        <f>VLOOKUP(Table2[[#This Row],[Prod Line ]],Lists!A:E,5,0)</f>
        <v>a</v>
      </c>
      <c r="B3228" s="1">
        <v>44726</v>
      </c>
      <c r="C3228" s="1">
        <v>44724</v>
      </c>
      <c r="D3228" s="1" t="s">
        <v>56</v>
      </c>
      <c r="E3228" s="2" t="s">
        <v>406</v>
      </c>
      <c r="F3228" s="1"/>
      <c r="G3228" s="2">
        <v>5</v>
      </c>
      <c r="H3228" s="1"/>
      <c r="I3228" t="s">
        <v>1</v>
      </c>
      <c r="J3228" t="s">
        <v>64</v>
      </c>
      <c r="K3228" t="s">
        <v>370</v>
      </c>
      <c r="L3228" t="s">
        <v>407</v>
      </c>
      <c r="M3228" s="3" t="s">
        <v>750</v>
      </c>
    </row>
    <row r="3229" spans="1:13" x14ac:dyDescent="0.25">
      <c r="A3229" s="1" t="str">
        <f>VLOOKUP(Table2[[#This Row],[Prod Line ]],Lists!A:E,5,0)</f>
        <v>a</v>
      </c>
      <c r="B3229" s="1">
        <v>44728</v>
      </c>
      <c r="C3229" s="1">
        <v>44726</v>
      </c>
      <c r="D3229" s="1" t="s">
        <v>56</v>
      </c>
      <c r="E3229" s="2" t="s">
        <v>405</v>
      </c>
      <c r="F3229" s="1"/>
      <c r="G3229" s="2">
        <v>48</v>
      </c>
      <c r="H3229" s="1"/>
      <c r="I3229" t="s">
        <v>0</v>
      </c>
      <c r="J3229" t="s">
        <v>64</v>
      </c>
      <c r="K3229" t="s">
        <v>368</v>
      </c>
      <c r="L3229" t="s">
        <v>70</v>
      </c>
      <c r="M3229" s="3" t="s">
        <v>2378</v>
      </c>
    </row>
    <row r="3230" spans="1:13" hidden="1" x14ac:dyDescent="0.25">
      <c r="A3230" s="1" t="str">
        <f>VLOOKUP(Table2[[#This Row],[Prod Line ]],Lists!A:E,5,0)</f>
        <v>a</v>
      </c>
      <c r="B3230" s="1">
        <v>44728</v>
      </c>
      <c r="C3230" s="1">
        <v>44726</v>
      </c>
      <c r="D3230" s="1" t="s">
        <v>56</v>
      </c>
      <c r="E3230" s="2" t="s">
        <v>405</v>
      </c>
      <c r="F3230" s="1"/>
      <c r="G3230" s="2">
        <v>10</v>
      </c>
      <c r="H3230" s="1"/>
      <c r="I3230" t="s">
        <v>1</v>
      </c>
      <c r="J3230" t="s">
        <v>64</v>
      </c>
      <c r="K3230" t="s">
        <v>370</v>
      </c>
      <c r="L3230" t="s">
        <v>407</v>
      </c>
      <c r="M3230" s="3" t="s">
        <v>2324</v>
      </c>
    </row>
    <row r="3231" spans="1:13" x14ac:dyDescent="0.25">
      <c r="A3231" s="1" t="str">
        <f>VLOOKUP(Table2[[#This Row],[Prod Line ]],Lists!A:E,5,0)</f>
        <v>b</v>
      </c>
      <c r="B3231" s="1">
        <v>44728</v>
      </c>
      <c r="C3231" s="1">
        <v>44726</v>
      </c>
      <c r="D3231" s="1" t="s">
        <v>58</v>
      </c>
      <c r="E3231" s="2" t="s">
        <v>406</v>
      </c>
      <c r="F3231" s="1"/>
      <c r="G3231" s="2">
        <v>11</v>
      </c>
      <c r="H3231" s="1"/>
      <c r="I3231" t="s">
        <v>0</v>
      </c>
      <c r="J3231" t="s">
        <v>64</v>
      </c>
      <c r="K3231" t="s">
        <v>23</v>
      </c>
      <c r="L3231" t="s">
        <v>70</v>
      </c>
      <c r="M3231" s="3" t="s">
        <v>2379</v>
      </c>
    </row>
    <row r="3232" spans="1:13" hidden="1" x14ac:dyDescent="0.25">
      <c r="A3232" s="1" t="str">
        <f>VLOOKUP(Table2[[#This Row],[Prod Line ]],Lists!A:E,5,0)</f>
        <v>b</v>
      </c>
      <c r="B3232" s="1">
        <v>44728</v>
      </c>
      <c r="C3232" s="1">
        <v>44726</v>
      </c>
      <c r="D3232" s="1" t="s">
        <v>58</v>
      </c>
      <c r="E3232" s="2" t="s">
        <v>404</v>
      </c>
      <c r="F3232" s="1"/>
      <c r="G3232" s="2">
        <v>12</v>
      </c>
      <c r="H3232" s="1"/>
      <c r="I3232" t="s">
        <v>1</v>
      </c>
      <c r="J3232" t="s">
        <v>65</v>
      </c>
      <c r="K3232" t="s">
        <v>3</v>
      </c>
      <c r="L3232" t="s">
        <v>441</v>
      </c>
      <c r="M3232" s="3" t="s">
        <v>612</v>
      </c>
    </row>
    <row r="3233" spans="1:13" hidden="1" x14ac:dyDescent="0.25">
      <c r="A3233" s="1" t="str">
        <f>VLOOKUP(Table2[[#This Row],[Prod Line ]],Lists!A:E,5,0)</f>
        <v>b</v>
      </c>
      <c r="B3233" s="1">
        <v>44728</v>
      </c>
      <c r="C3233" s="1">
        <v>44726</v>
      </c>
      <c r="D3233" s="1" t="s">
        <v>58</v>
      </c>
      <c r="E3233" s="2" t="s">
        <v>405</v>
      </c>
      <c r="F3233" s="1"/>
      <c r="G3233" s="2">
        <v>13</v>
      </c>
      <c r="H3233" s="1"/>
      <c r="I3233" t="s">
        <v>1</v>
      </c>
      <c r="J3233" t="s">
        <v>65</v>
      </c>
      <c r="K3233" t="s">
        <v>3</v>
      </c>
      <c r="L3233" t="s">
        <v>441</v>
      </c>
      <c r="M3233" s="3" t="s">
        <v>612</v>
      </c>
    </row>
    <row r="3234" spans="1:13" hidden="1" x14ac:dyDescent="0.25">
      <c r="A3234" s="1" t="str">
        <f>VLOOKUP(Table2[[#This Row],[Prod Line ]],Lists!A:E,5,0)</f>
        <v>d</v>
      </c>
      <c r="B3234" s="1">
        <v>44728</v>
      </c>
      <c r="C3234" s="1">
        <v>44726</v>
      </c>
      <c r="D3234" s="1" t="s">
        <v>62</v>
      </c>
      <c r="E3234" s="2" t="s">
        <v>404</v>
      </c>
      <c r="F3234" s="1"/>
      <c r="G3234" s="2">
        <v>5</v>
      </c>
      <c r="H3234" s="1"/>
      <c r="I3234" t="s">
        <v>1</v>
      </c>
      <c r="J3234" t="s">
        <v>2</v>
      </c>
      <c r="K3234" t="s">
        <v>19</v>
      </c>
      <c r="L3234" t="s">
        <v>349</v>
      </c>
      <c r="M3234" s="3" t="s">
        <v>575</v>
      </c>
    </row>
    <row r="3235" spans="1:13" hidden="1" x14ac:dyDescent="0.25">
      <c r="A3235" s="1" t="str">
        <f>VLOOKUP(Table2[[#This Row],[Prod Line ]],Lists!A:E,5,0)</f>
        <v>d</v>
      </c>
      <c r="B3235" s="1">
        <v>44729</v>
      </c>
      <c r="C3235" s="1">
        <v>44727</v>
      </c>
      <c r="D3235" s="1" t="s">
        <v>62</v>
      </c>
      <c r="E3235" s="2" t="s">
        <v>406</v>
      </c>
      <c r="F3235" s="1"/>
      <c r="G3235" s="2">
        <v>130</v>
      </c>
      <c r="H3235" s="1"/>
      <c r="I3235" t="s">
        <v>1</v>
      </c>
      <c r="J3235" t="s">
        <v>2</v>
      </c>
      <c r="K3235" t="s">
        <v>19</v>
      </c>
      <c r="L3235" t="s">
        <v>407</v>
      </c>
      <c r="M3235" s="3" t="s">
        <v>2380</v>
      </c>
    </row>
    <row r="3236" spans="1:13" hidden="1" x14ac:dyDescent="0.25">
      <c r="A3236" s="1" t="str">
        <f>VLOOKUP(Table2[[#This Row],[Prod Line ]],Lists!A:E,5,0)</f>
        <v>d</v>
      </c>
      <c r="B3236" s="1">
        <v>44729</v>
      </c>
      <c r="C3236" s="1">
        <v>44727</v>
      </c>
      <c r="D3236" s="1" t="s">
        <v>62</v>
      </c>
      <c r="E3236" s="2" t="s">
        <v>406</v>
      </c>
      <c r="F3236" s="1"/>
      <c r="G3236" s="2">
        <v>28</v>
      </c>
      <c r="H3236" s="1"/>
      <c r="I3236" t="s">
        <v>1</v>
      </c>
      <c r="J3236" t="s">
        <v>2</v>
      </c>
      <c r="K3236" t="s">
        <v>19</v>
      </c>
      <c r="L3236" t="s">
        <v>407</v>
      </c>
      <c r="M3236" s="3" t="s">
        <v>1729</v>
      </c>
    </row>
    <row r="3237" spans="1:13" x14ac:dyDescent="0.25">
      <c r="A3237" s="1" t="str">
        <f>VLOOKUP(Table2[[#This Row],[Prod Line ]],Lists!A:E,5,0)</f>
        <v>b</v>
      </c>
      <c r="B3237" s="1">
        <v>44730</v>
      </c>
      <c r="C3237" s="1">
        <v>44728</v>
      </c>
      <c r="D3237" s="1" t="s">
        <v>58</v>
      </c>
      <c r="E3237" s="2" t="s">
        <v>406</v>
      </c>
      <c r="F3237" s="1"/>
      <c r="G3237" s="2">
        <v>15</v>
      </c>
      <c r="H3237" s="1"/>
      <c r="I3237" t="s">
        <v>0</v>
      </c>
      <c r="J3237" t="s">
        <v>64</v>
      </c>
      <c r="K3237" t="s">
        <v>23</v>
      </c>
      <c r="L3237" t="s">
        <v>70</v>
      </c>
      <c r="M3237" s="3" t="s">
        <v>2381</v>
      </c>
    </row>
    <row r="3238" spans="1:13" hidden="1" x14ac:dyDescent="0.25">
      <c r="A3238" s="1" t="str">
        <f>VLOOKUP(Table2[[#This Row],[Prod Line ]],Lists!A:E,5,0)</f>
        <v>c</v>
      </c>
      <c r="B3238" s="1">
        <v>44730</v>
      </c>
      <c r="C3238" s="1">
        <v>44728</v>
      </c>
      <c r="D3238" s="1" t="s">
        <v>60</v>
      </c>
      <c r="E3238" s="2" t="s">
        <v>405</v>
      </c>
      <c r="F3238" s="1"/>
      <c r="G3238" s="2">
        <v>10</v>
      </c>
      <c r="H3238" s="1"/>
      <c r="I3238" t="s">
        <v>1</v>
      </c>
      <c r="J3238" t="s">
        <v>67</v>
      </c>
      <c r="K3238" t="s">
        <v>67</v>
      </c>
      <c r="L3238" t="s">
        <v>72</v>
      </c>
      <c r="M3238" s="3" t="s">
        <v>2382</v>
      </c>
    </row>
    <row r="3239" spans="1:13" hidden="1" x14ac:dyDescent="0.25">
      <c r="A3239" s="1" t="str">
        <f>VLOOKUP(Table2[[#This Row],[Prod Line ]],Lists!A:E,5,0)</f>
        <v>c</v>
      </c>
      <c r="B3239" s="1">
        <v>44730</v>
      </c>
      <c r="C3239" s="1">
        <v>44728</v>
      </c>
      <c r="D3239" s="1" t="s">
        <v>60</v>
      </c>
      <c r="E3239" s="2" t="s">
        <v>405</v>
      </c>
      <c r="F3239" s="1"/>
      <c r="G3239" s="2">
        <v>11</v>
      </c>
      <c r="H3239" s="1"/>
      <c r="I3239" t="s">
        <v>1</v>
      </c>
      <c r="J3239" t="s">
        <v>64</v>
      </c>
      <c r="K3239" t="s">
        <v>379</v>
      </c>
      <c r="L3239" t="s">
        <v>407</v>
      </c>
      <c r="M3239" s="3" t="s">
        <v>750</v>
      </c>
    </row>
    <row r="3240" spans="1:13" x14ac:dyDescent="0.25">
      <c r="A3240" s="1" t="str">
        <f>VLOOKUP(Table2[[#This Row],[Prod Line ]],Lists!A:E,5,0)</f>
        <v>b</v>
      </c>
      <c r="B3240" s="1">
        <v>44730</v>
      </c>
      <c r="C3240" s="1">
        <v>44728</v>
      </c>
      <c r="D3240" s="1" t="s">
        <v>58</v>
      </c>
      <c r="E3240" s="2" t="s">
        <v>406</v>
      </c>
      <c r="F3240" s="1"/>
      <c r="G3240" s="2">
        <v>8</v>
      </c>
      <c r="H3240" s="1"/>
      <c r="I3240" t="s">
        <v>0</v>
      </c>
      <c r="J3240" t="s">
        <v>66</v>
      </c>
      <c r="K3240" t="s">
        <v>4</v>
      </c>
      <c r="L3240" t="s">
        <v>70</v>
      </c>
      <c r="M3240" s="3" t="s">
        <v>2383</v>
      </c>
    </row>
  </sheetData>
  <sheetProtection formatCells="0" formatColumns="0" formatRows="0" insertColumns="0" insertRows="0" insertHyperlinks="0" deleteColumns="0" deleteRows="0" sort="0" autoFilter="0" pivotTables="0"/>
  <phoneticPr fontId="1" type="noConversion"/>
  <conditionalFormatting sqref="L1:L194 L217:L433 L435:L804 L806:L917 L1009:L1304 L919:L1007 L1306:L1048576">
    <cfRule type="cellIs" dxfId="16" priority="9" operator="equal">
      <formula>"Operational"</formula>
    </cfRule>
  </conditionalFormatting>
  <conditionalFormatting sqref="L195:L216">
    <cfRule type="cellIs" dxfId="15" priority="6" operator="equal">
      <formula>"Operational"</formula>
    </cfRule>
  </conditionalFormatting>
  <conditionalFormatting sqref="L434">
    <cfRule type="cellIs" dxfId="14" priority="5" operator="equal">
      <formula>"Operational"</formula>
    </cfRule>
  </conditionalFormatting>
  <conditionalFormatting sqref="L805">
    <cfRule type="cellIs" dxfId="13" priority="4" operator="equal">
      <formula>"Operational"</formula>
    </cfRule>
  </conditionalFormatting>
  <conditionalFormatting sqref="L918">
    <cfRule type="cellIs" dxfId="12" priority="3" operator="equal">
      <formula>"Operational"</formula>
    </cfRule>
  </conditionalFormatting>
  <conditionalFormatting sqref="L1008">
    <cfRule type="cellIs" dxfId="11" priority="2" operator="equal">
      <formula>"Operational"</formula>
    </cfRule>
  </conditionalFormatting>
  <conditionalFormatting sqref="L1305">
    <cfRule type="cellIs" dxfId="10" priority="1" operator="equal">
      <formula>"Operational"</formula>
    </cfRule>
  </conditionalFormatting>
  <dataValidations count="5">
    <dataValidation type="list" allowBlank="1" showInputMessage="1" showErrorMessage="1" sqref="M169 L2:L3240">
      <formula1>INDIRECT(I2)</formula1>
    </dataValidation>
    <dataValidation type="date" operator="greaterThan" allowBlank="1" showInputMessage="1" showErrorMessage="1" sqref="B2:B1002 A2:A3240">
      <formula1>43831</formula1>
    </dataValidation>
    <dataValidation type="date" operator="greaterThan" allowBlank="1" showInputMessage="1" showErrorMessage="1" sqref="B1003:B1008 C2:C3240">
      <formula1>43466</formula1>
    </dataValidation>
    <dataValidation type="textLength" allowBlank="1" showInputMessage="1" showErrorMessage="1" sqref="F2:F3240">
      <formula1>6</formula1>
      <formula2>6</formula2>
    </dataValidation>
    <dataValidation type="list" allowBlank="1" showInputMessage="1" showErrorMessage="1" sqref="K1:K3240">
      <formula1>INDIRECT(A1&amp;J1)</formula1>
    </dataValidation>
  </dataValidations>
  <pageMargins left="0.7" right="0.7" top="0.75" bottom="0.75" header="0.3" footer="0.3"/>
  <pageSetup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14:formula1>
            <xm:f>Lists!$F$2:$F$4</xm:f>
          </x14:formula1>
          <xm:sqref>E2:E127</xm:sqref>
        </x14:dataValidation>
        <x14:dataValidation type="list" allowBlank="1" showInputMessage="1" showErrorMessage="1">
          <x14:formula1>
            <xm:f>Lists!$H$2</xm:f>
          </x14:formula1>
          <xm:sqref>H2:H127</xm:sqref>
        </x14:dataValidation>
        <x14:dataValidation type="list" allowBlank="1" showInputMessage="1" showErrorMessage="1">
          <x14:formula1>
            <xm:f>'S:\NAV Reports\Production\Corporate\[Downtime1.xlsx]Lists'!#REF!</xm:f>
          </x14:formula1>
          <xm:sqref>H128:H135 E128:E143</xm:sqref>
        </x14:dataValidation>
        <x14:dataValidation type="list" allowBlank="1" showInputMessage="1" showErrorMessage="1">
          <x14:formula1>
            <xm:f>Lists!$A$2:$A$5</xm:f>
          </x14:formula1>
          <xm:sqref>D2:D3240</xm:sqref>
        </x14:dataValidation>
        <x14:dataValidation type="list" allowBlank="1" showInputMessage="1" showErrorMessage="1">
          <x14:formula1>
            <xm:f>Sheet2!$A$9:$A$15</xm:f>
          </x14:formula1>
          <xm:sqref>J2:J3240</xm:sqref>
        </x14:dataValidation>
        <x14:dataValidation type="list" allowBlank="1" showInputMessage="1" showErrorMessage="1">
          <x14:formula1>
            <xm:f>Sheet2!$A$3:$A$5</xm:f>
          </x14:formula1>
          <xm:sqref>H191:H1048576 I1:I3240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J12" sqref="J12"/>
    </sheetView>
  </sheetViews>
  <sheetFormatPr defaultRowHeight="15" x14ac:dyDescent="0.25"/>
  <cols>
    <col min="1" max="2" width="9.85546875" bestFit="1" customWidth="1"/>
    <col min="3" max="3" width="5.140625" bestFit="1" customWidth="1"/>
    <col min="5" max="5" width="2.140625" bestFit="1" customWidth="1"/>
  </cols>
  <sheetData>
    <row r="1" spans="1:13" x14ac:dyDescent="0.25">
      <c r="A1" s="1">
        <v>44102</v>
      </c>
      <c r="B1" s="1">
        <v>44100</v>
      </c>
      <c r="C1" s="1" t="s">
        <v>58</v>
      </c>
      <c r="D1" s="19"/>
      <c r="E1" s="2">
        <v>3</v>
      </c>
      <c r="F1" s="1"/>
      <c r="G1" s="2">
        <v>10</v>
      </c>
      <c r="H1" s="1"/>
      <c r="I1" t="s">
        <v>1</v>
      </c>
      <c r="J1" t="s">
        <v>65</v>
      </c>
      <c r="K1" t="s">
        <v>27</v>
      </c>
      <c r="L1" t="s">
        <v>350</v>
      </c>
      <c r="M1" s="3" t="s">
        <v>355</v>
      </c>
    </row>
    <row r="2" spans="1:13" x14ac:dyDescent="0.25">
      <c r="A2" s="1">
        <v>44103</v>
      </c>
      <c r="B2" s="1">
        <v>44101</v>
      </c>
      <c r="C2" s="1" t="s">
        <v>58</v>
      </c>
      <c r="D2" s="19"/>
      <c r="E2" s="2">
        <v>1</v>
      </c>
      <c r="F2" s="1"/>
      <c r="G2" s="2">
        <v>22</v>
      </c>
      <c r="H2" s="1" t="s">
        <v>75</v>
      </c>
      <c r="I2" t="s">
        <v>0</v>
      </c>
      <c r="J2" t="s">
        <v>5</v>
      </c>
      <c r="K2" t="s">
        <v>39</v>
      </c>
      <c r="L2" t="s">
        <v>70</v>
      </c>
      <c r="M2" s="3" t="s">
        <v>356</v>
      </c>
    </row>
    <row r="3" spans="1:13" x14ac:dyDescent="0.25">
      <c r="A3" s="1">
        <v>44102</v>
      </c>
      <c r="B3" s="1">
        <v>44100</v>
      </c>
      <c r="C3" s="1" t="s">
        <v>358</v>
      </c>
      <c r="D3" s="19"/>
      <c r="E3" s="2">
        <v>1</v>
      </c>
      <c r="F3" s="1"/>
      <c r="G3" s="2">
        <v>47</v>
      </c>
      <c r="H3" s="1"/>
      <c r="I3" t="s">
        <v>1</v>
      </c>
      <c r="J3" t="s">
        <v>64</v>
      </c>
      <c r="M3" s="3" t="s">
        <v>359</v>
      </c>
    </row>
    <row r="4" spans="1:13" x14ac:dyDescent="0.25">
      <c r="A4" s="1">
        <v>44102</v>
      </c>
      <c r="B4" s="1">
        <v>44100</v>
      </c>
      <c r="C4" s="1" t="s">
        <v>358</v>
      </c>
      <c r="D4" s="19"/>
      <c r="E4" s="2">
        <v>1</v>
      </c>
      <c r="F4" s="1"/>
      <c r="G4" s="2">
        <v>38</v>
      </c>
      <c r="H4" s="1" t="s">
        <v>75</v>
      </c>
      <c r="I4" t="s">
        <v>1</v>
      </c>
      <c r="J4" t="s">
        <v>64</v>
      </c>
      <c r="M4" s="3" t="s">
        <v>360</v>
      </c>
    </row>
    <row r="5" spans="1:13" x14ac:dyDescent="0.25">
      <c r="A5" s="1">
        <v>44102</v>
      </c>
      <c r="B5" s="1">
        <v>44100</v>
      </c>
      <c r="C5" s="1" t="s">
        <v>60</v>
      </c>
      <c r="D5" s="19"/>
      <c r="E5" s="2">
        <v>1</v>
      </c>
      <c r="F5" s="1"/>
      <c r="G5" s="2">
        <v>6</v>
      </c>
      <c r="H5" s="1"/>
      <c r="I5" t="s">
        <v>0</v>
      </c>
      <c r="J5" t="s">
        <v>64</v>
      </c>
      <c r="M5" s="3" t="s">
        <v>361</v>
      </c>
    </row>
  </sheetData>
  <dataValidations count="6">
    <dataValidation type="list" allowBlank="1" showInputMessage="1" showErrorMessage="1" sqref="K1">
      <formula1>INDIRECT(D1&amp;J1)</formula1>
    </dataValidation>
    <dataValidation type="list" allowBlank="1" showInputMessage="1" showErrorMessage="1" sqref="K2:K5">
      <formula1>INDIRECT(J2)</formula1>
    </dataValidation>
    <dataValidation type="list" allowBlank="1" showInputMessage="1" showErrorMessage="1" sqref="L1:L5">
      <formula1>INDIRECT(I1)</formula1>
    </dataValidation>
    <dataValidation type="date" operator="greaterThan" allowBlank="1" showInputMessage="1" showErrorMessage="1" sqref="A1:A5">
      <formula1>43831</formula1>
    </dataValidation>
    <dataValidation type="textLength" allowBlank="1" showInputMessage="1" showErrorMessage="1" sqref="F1:F5">
      <formula1>6</formula1>
      <formula2>6</formula2>
    </dataValidation>
    <dataValidation type="date" operator="greaterThan" allowBlank="1" showInputMessage="1" showErrorMessage="1" sqref="B1:B5">
      <formula1>43466</formula1>
    </dataValidation>
  </dataValidations>
  <pageMargins left="0.7" right="0.7" top="0.75" bottom="0.75" header="0.3" footer="0.3"/>
  <pageSetup orientation="landscape" horizontalDpi="1200" verticalDpi="1200"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Lists!$A$2:$A$5</xm:f>
          </x14:formula1>
          <xm:sqref>C1:C5</xm:sqref>
        </x14:dataValidation>
        <x14:dataValidation type="list" allowBlank="1" showInputMessage="1" showErrorMessage="1">
          <x14:formula1>
            <xm:f>Sheet2!$A$9:$A$15</xm:f>
          </x14:formula1>
          <xm:sqref>J1:J5</xm:sqref>
        </x14:dataValidation>
        <x14:dataValidation type="list" allowBlank="1" showInputMessage="1" showErrorMessage="1">
          <x14:formula1>
            <xm:f>Lists!$H$2</xm:f>
          </x14:formula1>
          <xm:sqref>H1:H5</xm:sqref>
        </x14:dataValidation>
        <x14:dataValidation type="list" allowBlank="1" showInputMessage="1" showErrorMessage="1">
          <x14:formula1>
            <xm:f>Lists!$F$2:$F$4</xm:f>
          </x14:formula1>
          <xm:sqref>E1:E5</xm:sqref>
        </x14:dataValidation>
        <x14:dataValidation type="list" allowBlank="1" showInputMessage="1" showErrorMessage="1">
          <x14:formula1>
            <xm:f>Sheet2!$A$3:$A$5</xm:f>
          </x14:formula1>
          <xm:sqref>I1:I5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2"/>
  <sheetViews>
    <sheetView workbookViewId="0">
      <selection sqref="A1:L262"/>
    </sheetView>
  </sheetViews>
  <sheetFormatPr defaultRowHeight="15" x14ac:dyDescent="0.25"/>
  <sheetData>
    <row r="1" spans="1:12" x14ac:dyDescent="0.25">
      <c r="A1" s="7">
        <v>43843</v>
      </c>
      <c r="B1" s="8"/>
      <c r="C1" s="8" t="s">
        <v>60</v>
      </c>
      <c r="D1" s="9">
        <v>1</v>
      </c>
      <c r="E1" s="8" t="s">
        <v>78</v>
      </c>
      <c r="F1" s="9">
        <v>3</v>
      </c>
      <c r="G1" s="8"/>
      <c r="H1" s="4" t="s">
        <v>0</v>
      </c>
      <c r="I1" s="4" t="s">
        <v>64</v>
      </c>
      <c r="J1" s="4" t="s">
        <v>21</v>
      </c>
      <c r="K1" s="4" t="s">
        <v>70</v>
      </c>
      <c r="L1" s="10" t="s">
        <v>85</v>
      </c>
    </row>
    <row r="2" spans="1:12" x14ac:dyDescent="0.25">
      <c r="A2" s="11">
        <v>43843</v>
      </c>
      <c r="B2" s="12"/>
      <c r="C2" s="12" t="s">
        <v>60</v>
      </c>
      <c r="D2" s="13">
        <v>1</v>
      </c>
      <c r="E2" s="12" t="s">
        <v>79</v>
      </c>
      <c r="F2" s="13">
        <v>5</v>
      </c>
      <c r="G2" s="12"/>
      <c r="H2" s="5" t="s">
        <v>1</v>
      </c>
      <c r="I2" s="5" t="s">
        <v>65</v>
      </c>
      <c r="J2" s="5" t="s">
        <v>28</v>
      </c>
      <c r="K2" s="5" t="s">
        <v>73</v>
      </c>
      <c r="L2" s="14" t="s">
        <v>86</v>
      </c>
    </row>
    <row r="3" spans="1:12" x14ac:dyDescent="0.25">
      <c r="A3" s="7">
        <v>43843</v>
      </c>
      <c r="B3" s="8"/>
      <c r="C3" s="8" t="s">
        <v>56</v>
      </c>
      <c r="D3" s="9">
        <v>2</v>
      </c>
      <c r="E3" s="8" t="s">
        <v>80</v>
      </c>
      <c r="F3" s="9">
        <v>100</v>
      </c>
      <c r="G3" s="8"/>
      <c r="H3" s="4" t="s">
        <v>1</v>
      </c>
      <c r="I3" s="4" t="s">
        <v>65</v>
      </c>
      <c r="J3" s="4" t="s">
        <v>28</v>
      </c>
      <c r="K3" s="4" t="s">
        <v>73</v>
      </c>
      <c r="L3" s="10" t="s">
        <v>87</v>
      </c>
    </row>
    <row r="4" spans="1:12" x14ac:dyDescent="0.25">
      <c r="A4" s="11">
        <v>43843</v>
      </c>
      <c r="B4" s="12"/>
      <c r="C4" s="12" t="s">
        <v>56</v>
      </c>
      <c r="D4" s="13">
        <v>2</v>
      </c>
      <c r="E4" s="12" t="s">
        <v>81</v>
      </c>
      <c r="F4" s="13">
        <v>6</v>
      </c>
      <c r="G4" s="12"/>
      <c r="H4" s="5" t="s">
        <v>0</v>
      </c>
      <c r="I4" s="5" t="s">
        <v>64</v>
      </c>
      <c r="J4" s="5" t="s">
        <v>22</v>
      </c>
      <c r="K4" s="5" t="s">
        <v>70</v>
      </c>
      <c r="L4" s="14" t="s">
        <v>88</v>
      </c>
    </row>
    <row r="5" spans="1:12" x14ac:dyDescent="0.25">
      <c r="A5" s="7">
        <v>43843</v>
      </c>
      <c r="B5" s="8"/>
      <c r="C5" s="8" t="s">
        <v>58</v>
      </c>
      <c r="D5" s="9">
        <v>1</v>
      </c>
      <c r="E5" s="8" t="s">
        <v>76</v>
      </c>
      <c r="F5" s="9">
        <v>55</v>
      </c>
      <c r="G5" s="8"/>
      <c r="H5" s="4" t="s">
        <v>0</v>
      </c>
      <c r="I5" s="4" t="s">
        <v>5</v>
      </c>
      <c r="J5" s="4" t="s">
        <v>39</v>
      </c>
      <c r="K5" s="4" t="s">
        <v>69</v>
      </c>
      <c r="L5" s="10" t="s">
        <v>89</v>
      </c>
    </row>
    <row r="6" spans="1:12" x14ac:dyDescent="0.25">
      <c r="A6" s="11">
        <v>43844</v>
      </c>
      <c r="B6" s="12"/>
      <c r="C6" s="12" t="s">
        <v>58</v>
      </c>
      <c r="D6" s="13">
        <v>1</v>
      </c>
      <c r="E6" s="12" t="s">
        <v>76</v>
      </c>
      <c r="F6" s="13">
        <v>1</v>
      </c>
      <c r="G6" s="12"/>
      <c r="H6" s="5" t="s">
        <v>1</v>
      </c>
      <c r="I6" s="5" t="s">
        <v>65</v>
      </c>
      <c r="J6" s="5" t="s">
        <v>27</v>
      </c>
      <c r="K6" s="5" t="s">
        <v>72</v>
      </c>
      <c r="L6" s="14" t="s">
        <v>90</v>
      </c>
    </row>
    <row r="7" spans="1:12" x14ac:dyDescent="0.25">
      <c r="A7" s="7">
        <v>43844</v>
      </c>
      <c r="B7" s="8"/>
      <c r="C7" s="8" t="s">
        <v>58</v>
      </c>
      <c r="D7" s="9">
        <v>1</v>
      </c>
      <c r="E7" s="8" t="s">
        <v>77</v>
      </c>
      <c r="F7" s="9">
        <v>36</v>
      </c>
      <c r="G7" s="8"/>
      <c r="H7" s="4" t="s">
        <v>0</v>
      </c>
      <c r="I7" s="4" t="s">
        <v>64</v>
      </c>
      <c r="J7" s="4" t="s">
        <v>22</v>
      </c>
      <c r="K7" s="4" t="s">
        <v>69</v>
      </c>
      <c r="L7" s="10" t="s">
        <v>91</v>
      </c>
    </row>
    <row r="8" spans="1:12" x14ac:dyDescent="0.25">
      <c r="A8" s="11">
        <v>43844</v>
      </c>
      <c r="B8" s="12"/>
      <c r="C8" s="12" t="s">
        <v>60</v>
      </c>
      <c r="D8" s="13">
        <v>2</v>
      </c>
      <c r="E8" s="12" t="s">
        <v>78</v>
      </c>
      <c r="F8" s="13">
        <v>2</v>
      </c>
      <c r="G8" s="12"/>
      <c r="H8" s="5" t="s">
        <v>1</v>
      </c>
      <c r="I8" s="5" t="s">
        <v>66</v>
      </c>
      <c r="J8" s="5" t="s">
        <v>30</v>
      </c>
      <c r="K8" s="5" t="s">
        <v>73</v>
      </c>
      <c r="L8" s="14" t="s">
        <v>92</v>
      </c>
    </row>
    <row r="9" spans="1:12" x14ac:dyDescent="0.25">
      <c r="A9" s="7">
        <v>43844</v>
      </c>
      <c r="B9" s="8"/>
      <c r="C9" s="8" t="s">
        <v>56</v>
      </c>
      <c r="D9" s="9">
        <v>2</v>
      </c>
      <c r="E9" s="8" t="s">
        <v>81</v>
      </c>
      <c r="F9" s="9">
        <v>1</v>
      </c>
      <c r="G9" s="8"/>
      <c r="H9" s="4" t="s">
        <v>1</v>
      </c>
      <c r="I9" s="4" t="s">
        <v>26</v>
      </c>
      <c r="J9" s="4" t="s">
        <v>25</v>
      </c>
      <c r="K9" s="4" t="s">
        <v>73</v>
      </c>
      <c r="L9" s="10" t="s">
        <v>93</v>
      </c>
    </row>
    <row r="10" spans="1:12" x14ac:dyDescent="0.25">
      <c r="A10" s="11">
        <v>43846</v>
      </c>
      <c r="B10" s="12"/>
      <c r="C10" s="12" t="s">
        <v>60</v>
      </c>
      <c r="D10" s="13">
        <v>1</v>
      </c>
      <c r="E10" s="12" t="s">
        <v>79</v>
      </c>
      <c r="F10" s="13">
        <v>5</v>
      </c>
      <c r="G10" s="12"/>
      <c r="H10" s="5" t="s">
        <v>0</v>
      </c>
      <c r="I10" s="5" t="s">
        <v>5</v>
      </c>
      <c r="J10" s="5" t="s">
        <v>37</v>
      </c>
      <c r="K10" s="5" t="s">
        <v>70</v>
      </c>
      <c r="L10" s="14" t="s">
        <v>94</v>
      </c>
    </row>
    <row r="11" spans="1:12" x14ac:dyDescent="0.25">
      <c r="A11" s="7">
        <v>43846</v>
      </c>
      <c r="B11" s="8"/>
      <c r="C11" s="8" t="s">
        <v>56</v>
      </c>
      <c r="D11" s="9">
        <v>1</v>
      </c>
      <c r="E11" s="8" t="s">
        <v>81</v>
      </c>
      <c r="F11" s="9">
        <v>55</v>
      </c>
      <c r="G11" s="8"/>
      <c r="H11" s="4" t="s">
        <v>0</v>
      </c>
      <c r="I11" s="4" t="s">
        <v>66</v>
      </c>
      <c r="J11" s="4" t="s">
        <v>29</v>
      </c>
      <c r="K11" s="4" t="s">
        <v>69</v>
      </c>
      <c r="L11" s="10" t="s">
        <v>95</v>
      </c>
    </row>
    <row r="12" spans="1:12" x14ac:dyDescent="0.25">
      <c r="A12" s="11">
        <v>43846</v>
      </c>
      <c r="B12" s="12"/>
      <c r="C12" s="12" t="s">
        <v>58</v>
      </c>
      <c r="D12" s="13">
        <v>1</v>
      </c>
      <c r="E12" s="12" t="s">
        <v>76</v>
      </c>
      <c r="F12" s="13">
        <v>8</v>
      </c>
      <c r="G12" s="12"/>
      <c r="H12" s="5" t="s">
        <v>1</v>
      </c>
      <c r="I12" s="5" t="s">
        <v>66</v>
      </c>
      <c r="J12" s="5" t="s">
        <v>35</v>
      </c>
      <c r="K12" s="5" t="s">
        <v>73</v>
      </c>
      <c r="L12" s="14" t="s">
        <v>96</v>
      </c>
    </row>
    <row r="13" spans="1:12" x14ac:dyDescent="0.25">
      <c r="A13" s="7">
        <v>43846</v>
      </c>
      <c r="B13" s="8"/>
      <c r="C13" s="8" t="s">
        <v>58</v>
      </c>
      <c r="D13" s="9">
        <v>2</v>
      </c>
      <c r="E13" s="8" t="s">
        <v>77</v>
      </c>
      <c r="F13" s="9">
        <v>7</v>
      </c>
      <c r="G13" s="8"/>
      <c r="H13" s="4" t="s">
        <v>0</v>
      </c>
      <c r="I13" s="4" t="s">
        <v>2</v>
      </c>
      <c r="J13" s="4" t="s">
        <v>15</v>
      </c>
      <c r="K13" s="4" t="s">
        <v>70</v>
      </c>
      <c r="L13" s="10" t="s">
        <v>97</v>
      </c>
    </row>
    <row r="14" spans="1:12" x14ac:dyDescent="0.25">
      <c r="A14" s="11">
        <v>43847</v>
      </c>
      <c r="B14" s="12"/>
      <c r="C14" s="12" t="s">
        <v>58</v>
      </c>
      <c r="D14" s="13">
        <v>2</v>
      </c>
      <c r="E14" s="12" t="s">
        <v>76</v>
      </c>
      <c r="F14" s="13">
        <v>33</v>
      </c>
      <c r="G14" s="12"/>
      <c r="H14" s="5" t="s">
        <v>1</v>
      </c>
      <c r="I14" s="5" t="s">
        <v>2</v>
      </c>
      <c r="J14" s="5" t="s">
        <v>17</v>
      </c>
      <c r="K14" s="5" t="s">
        <v>72</v>
      </c>
      <c r="L14" s="14" t="s">
        <v>98</v>
      </c>
    </row>
    <row r="15" spans="1:12" x14ac:dyDescent="0.25">
      <c r="A15" s="7">
        <v>43847</v>
      </c>
      <c r="B15" s="8"/>
      <c r="C15" s="8" t="s">
        <v>56</v>
      </c>
      <c r="D15" s="9">
        <v>1</v>
      </c>
      <c r="E15" s="8" t="s">
        <v>80</v>
      </c>
      <c r="F15" s="9">
        <v>8</v>
      </c>
      <c r="G15" s="8"/>
      <c r="H15" s="4" t="s">
        <v>0</v>
      </c>
      <c r="I15" s="4" t="s">
        <v>26</v>
      </c>
      <c r="J15" s="4" t="s">
        <v>26</v>
      </c>
      <c r="K15" s="4" t="s">
        <v>69</v>
      </c>
      <c r="L15" s="10" t="s">
        <v>99</v>
      </c>
    </row>
    <row r="16" spans="1:12" x14ac:dyDescent="0.25">
      <c r="A16" s="11">
        <v>43847</v>
      </c>
      <c r="B16" s="12"/>
      <c r="C16" s="12" t="s">
        <v>60</v>
      </c>
      <c r="D16" s="13">
        <v>2</v>
      </c>
      <c r="E16" s="12" t="s">
        <v>79</v>
      </c>
      <c r="F16" s="13">
        <v>71</v>
      </c>
      <c r="G16" s="12"/>
      <c r="H16" s="5" t="s">
        <v>1</v>
      </c>
      <c r="I16" s="5" t="s">
        <v>66</v>
      </c>
      <c r="J16" s="5" t="s">
        <v>34</v>
      </c>
      <c r="K16" s="5" t="s">
        <v>73</v>
      </c>
      <c r="L16" s="14" t="s">
        <v>100</v>
      </c>
    </row>
    <row r="17" spans="1:12" x14ac:dyDescent="0.25">
      <c r="A17" s="7">
        <v>43847</v>
      </c>
      <c r="B17" s="8"/>
      <c r="C17" s="8" t="s">
        <v>58</v>
      </c>
      <c r="D17" s="9">
        <v>1</v>
      </c>
      <c r="E17" s="8" t="s">
        <v>77</v>
      </c>
      <c r="F17" s="9">
        <v>15</v>
      </c>
      <c r="G17" s="8"/>
      <c r="H17" s="4" t="s">
        <v>67</v>
      </c>
      <c r="I17" s="4" t="s">
        <v>67</v>
      </c>
      <c r="J17" s="4" t="s">
        <v>41</v>
      </c>
      <c r="K17" s="4" t="s">
        <v>41</v>
      </c>
      <c r="L17" s="10" t="s">
        <v>101</v>
      </c>
    </row>
    <row r="18" spans="1:12" x14ac:dyDescent="0.25">
      <c r="A18" s="11">
        <v>43850</v>
      </c>
      <c r="B18" s="12"/>
      <c r="C18" s="12" t="s">
        <v>60</v>
      </c>
      <c r="D18" s="13">
        <v>1</v>
      </c>
      <c r="E18" s="12" t="s">
        <v>78</v>
      </c>
      <c r="F18" s="13">
        <v>16</v>
      </c>
      <c r="G18" s="12"/>
      <c r="H18" s="5" t="s">
        <v>0</v>
      </c>
      <c r="I18" s="5" t="s">
        <v>64</v>
      </c>
      <c r="J18" s="5" t="s">
        <v>21</v>
      </c>
      <c r="K18" s="5" t="s">
        <v>70</v>
      </c>
      <c r="L18" s="14" t="s">
        <v>102</v>
      </c>
    </row>
    <row r="19" spans="1:12" x14ac:dyDescent="0.25">
      <c r="A19" s="7">
        <v>43850</v>
      </c>
      <c r="B19" s="8"/>
      <c r="C19" s="8" t="s">
        <v>60</v>
      </c>
      <c r="D19" s="9">
        <v>1</v>
      </c>
      <c r="E19" s="8" t="s">
        <v>79</v>
      </c>
      <c r="F19" s="9">
        <v>8</v>
      </c>
      <c r="G19" s="8"/>
      <c r="H19" s="4" t="s">
        <v>1</v>
      </c>
      <c r="I19" s="4" t="s">
        <v>65</v>
      </c>
      <c r="J19" s="4" t="s">
        <v>28</v>
      </c>
      <c r="K19" s="4" t="s">
        <v>73</v>
      </c>
      <c r="L19" s="10" t="s">
        <v>103</v>
      </c>
    </row>
    <row r="20" spans="1:12" x14ac:dyDescent="0.25">
      <c r="A20" s="11">
        <v>43850</v>
      </c>
      <c r="B20" s="12"/>
      <c r="C20" s="12" t="s">
        <v>56</v>
      </c>
      <c r="D20" s="13">
        <v>2</v>
      </c>
      <c r="E20" s="12" t="s">
        <v>80</v>
      </c>
      <c r="F20" s="13">
        <v>6</v>
      </c>
      <c r="G20" s="12"/>
      <c r="H20" s="5" t="s">
        <v>1</v>
      </c>
      <c r="I20" s="5" t="s">
        <v>65</v>
      </c>
      <c r="J20" s="5" t="s">
        <v>28</v>
      </c>
      <c r="K20" s="5" t="s">
        <v>73</v>
      </c>
      <c r="L20" s="14" t="s">
        <v>104</v>
      </c>
    </row>
    <row r="21" spans="1:12" x14ac:dyDescent="0.25">
      <c r="A21" s="7">
        <v>43850</v>
      </c>
      <c r="B21" s="8"/>
      <c r="C21" s="8" t="s">
        <v>56</v>
      </c>
      <c r="D21" s="9">
        <v>2</v>
      </c>
      <c r="E21" s="8" t="s">
        <v>81</v>
      </c>
      <c r="F21" s="9">
        <v>5</v>
      </c>
      <c r="G21" s="8"/>
      <c r="H21" s="4" t="s">
        <v>0</v>
      </c>
      <c r="I21" s="4" t="s">
        <v>64</v>
      </c>
      <c r="J21" s="4" t="s">
        <v>22</v>
      </c>
      <c r="K21" s="4" t="s">
        <v>70</v>
      </c>
      <c r="L21" s="10" t="s">
        <v>105</v>
      </c>
    </row>
    <row r="22" spans="1:12" x14ac:dyDescent="0.25">
      <c r="A22" s="11">
        <v>43850</v>
      </c>
      <c r="B22" s="12"/>
      <c r="C22" s="12" t="s">
        <v>58</v>
      </c>
      <c r="D22" s="13">
        <v>1</v>
      </c>
      <c r="E22" s="12" t="s">
        <v>76</v>
      </c>
      <c r="F22" s="13">
        <v>8</v>
      </c>
      <c r="G22" s="12"/>
      <c r="H22" s="5" t="s">
        <v>0</v>
      </c>
      <c r="I22" s="5" t="s">
        <v>5</v>
      </c>
      <c r="J22" s="5" t="s">
        <v>39</v>
      </c>
      <c r="K22" s="5" t="s">
        <v>69</v>
      </c>
      <c r="L22" s="14" t="s">
        <v>106</v>
      </c>
    </row>
    <row r="23" spans="1:12" x14ac:dyDescent="0.25">
      <c r="A23" s="7">
        <v>43851</v>
      </c>
      <c r="B23" s="8"/>
      <c r="C23" s="8" t="s">
        <v>58</v>
      </c>
      <c r="D23" s="9">
        <v>1</v>
      </c>
      <c r="E23" s="8" t="s">
        <v>76</v>
      </c>
      <c r="F23" s="9">
        <v>15</v>
      </c>
      <c r="G23" s="8"/>
      <c r="H23" s="4" t="s">
        <v>1</v>
      </c>
      <c r="I23" s="4" t="s">
        <v>65</v>
      </c>
      <c r="J23" s="4" t="s">
        <v>27</v>
      </c>
      <c r="K23" s="4" t="s">
        <v>72</v>
      </c>
      <c r="L23" s="10" t="s">
        <v>107</v>
      </c>
    </row>
    <row r="24" spans="1:12" x14ac:dyDescent="0.25">
      <c r="A24" s="11">
        <v>43851</v>
      </c>
      <c r="B24" s="12"/>
      <c r="C24" s="12" t="s">
        <v>58</v>
      </c>
      <c r="D24" s="13">
        <v>1</v>
      </c>
      <c r="E24" s="12" t="s">
        <v>77</v>
      </c>
      <c r="F24" s="13">
        <v>8</v>
      </c>
      <c r="G24" s="12"/>
      <c r="H24" s="5" t="s">
        <v>0</v>
      </c>
      <c r="I24" s="5" t="s">
        <v>64</v>
      </c>
      <c r="J24" s="5" t="s">
        <v>22</v>
      </c>
      <c r="K24" s="5" t="s">
        <v>69</v>
      </c>
      <c r="L24" s="14" t="s">
        <v>108</v>
      </c>
    </row>
    <row r="25" spans="1:12" x14ac:dyDescent="0.25">
      <c r="A25" s="7">
        <v>43851</v>
      </c>
      <c r="B25" s="8"/>
      <c r="C25" s="8" t="s">
        <v>60</v>
      </c>
      <c r="D25" s="9">
        <v>2</v>
      </c>
      <c r="E25" s="8" t="s">
        <v>78</v>
      </c>
      <c r="F25" s="9">
        <v>8</v>
      </c>
      <c r="G25" s="8"/>
      <c r="H25" s="4" t="s">
        <v>1</v>
      </c>
      <c r="I25" s="4" t="s">
        <v>66</v>
      </c>
      <c r="J25" s="4" t="s">
        <v>30</v>
      </c>
      <c r="K25" s="4" t="s">
        <v>73</v>
      </c>
      <c r="L25" s="10" t="s">
        <v>109</v>
      </c>
    </row>
    <row r="26" spans="1:12" x14ac:dyDescent="0.25">
      <c r="A26" s="11">
        <v>43851</v>
      </c>
      <c r="B26" s="12"/>
      <c r="C26" s="12" t="s">
        <v>56</v>
      </c>
      <c r="D26" s="13">
        <v>2</v>
      </c>
      <c r="E26" s="12" t="s">
        <v>81</v>
      </c>
      <c r="F26" s="13">
        <v>1</v>
      </c>
      <c r="G26" s="12"/>
      <c r="H26" s="5" t="s">
        <v>1</v>
      </c>
      <c r="I26" s="5" t="s">
        <v>26</v>
      </c>
      <c r="J26" s="5" t="s">
        <v>25</v>
      </c>
      <c r="K26" s="5" t="s">
        <v>73</v>
      </c>
      <c r="L26" s="14" t="s">
        <v>110</v>
      </c>
    </row>
    <row r="27" spans="1:12" x14ac:dyDescent="0.25">
      <c r="A27" s="7">
        <v>43853</v>
      </c>
      <c r="B27" s="8"/>
      <c r="C27" s="8" t="s">
        <v>60</v>
      </c>
      <c r="D27" s="9">
        <v>1</v>
      </c>
      <c r="E27" s="8" t="s">
        <v>79</v>
      </c>
      <c r="F27" s="9">
        <v>1</v>
      </c>
      <c r="G27" s="8"/>
      <c r="H27" s="4" t="s">
        <v>0</v>
      </c>
      <c r="I27" s="4" t="s">
        <v>5</v>
      </c>
      <c r="J27" s="4" t="s">
        <v>37</v>
      </c>
      <c r="K27" s="4" t="s">
        <v>70</v>
      </c>
      <c r="L27" s="10" t="s">
        <v>111</v>
      </c>
    </row>
    <row r="28" spans="1:12" x14ac:dyDescent="0.25">
      <c r="A28" s="11">
        <v>43853</v>
      </c>
      <c r="B28" s="12"/>
      <c r="C28" s="12" t="s">
        <v>56</v>
      </c>
      <c r="D28" s="13">
        <v>1</v>
      </c>
      <c r="E28" s="12" t="s">
        <v>81</v>
      </c>
      <c r="F28" s="13">
        <v>81</v>
      </c>
      <c r="G28" s="12"/>
      <c r="H28" s="5" t="s">
        <v>0</v>
      </c>
      <c r="I28" s="5" t="s">
        <v>66</v>
      </c>
      <c r="J28" s="5" t="s">
        <v>29</v>
      </c>
      <c r="K28" s="5" t="s">
        <v>69</v>
      </c>
      <c r="L28" s="14" t="s">
        <v>112</v>
      </c>
    </row>
    <row r="29" spans="1:12" x14ac:dyDescent="0.25">
      <c r="A29" s="7">
        <v>43853</v>
      </c>
      <c r="B29" s="8"/>
      <c r="C29" s="8" t="s">
        <v>58</v>
      </c>
      <c r="D29" s="9">
        <v>1</v>
      </c>
      <c r="E29" s="8" t="s">
        <v>76</v>
      </c>
      <c r="F29" s="9">
        <v>8</v>
      </c>
      <c r="G29" s="8"/>
      <c r="H29" s="4" t="s">
        <v>1</v>
      </c>
      <c r="I29" s="4" t="s">
        <v>66</v>
      </c>
      <c r="J29" s="4" t="s">
        <v>35</v>
      </c>
      <c r="K29" s="4" t="s">
        <v>73</v>
      </c>
      <c r="L29" s="10" t="s">
        <v>113</v>
      </c>
    </row>
    <row r="30" spans="1:12" x14ac:dyDescent="0.25">
      <c r="A30" s="11">
        <v>43853</v>
      </c>
      <c r="B30" s="12"/>
      <c r="C30" s="12" t="s">
        <v>58</v>
      </c>
      <c r="D30" s="13">
        <v>2</v>
      </c>
      <c r="E30" s="12" t="s">
        <v>77</v>
      </c>
      <c r="F30" s="13">
        <v>1</v>
      </c>
      <c r="G30" s="12"/>
      <c r="H30" s="5" t="s">
        <v>0</v>
      </c>
      <c r="I30" s="5" t="s">
        <v>2</v>
      </c>
      <c r="J30" s="5" t="s">
        <v>15</v>
      </c>
      <c r="K30" s="5" t="s">
        <v>70</v>
      </c>
      <c r="L30" s="14" t="s">
        <v>114</v>
      </c>
    </row>
    <row r="31" spans="1:12" x14ac:dyDescent="0.25">
      <c r="A31" s="7">
        <v>43854</v>
      </c>
      <c r="B31" s="8"/>
      <c r="C31" s="8" t="s">
        <v>58</v>
      </c>
      <c r="D31" s="9">
        <v>2</v>
      </c>
      <c r="E31" s="8" t="s">
        <v>76</v>
      </c>
      <c r="F31" s="9">
        <v>8</v>
      </c>
      <c r="G31" s="8"/>
      <c r="H31" s="4" t="s">
        <v>1</v>
      </c>
      <c r="I31" s="4" t="s">
        <v>2</v>
      </c>
      <c r="J31" s="4" t="s">
        <v>17</v>
      </c>
      <c r="K31" s="4" t="s">
        <v>72</v>
      </c>
      <c r="L31" s="10" t="s">
        <v>115</v>
      </c>
    </row>
    <row r="32" spans="1:12" x14ac:dyDescent="0.25">
      <c r="A32" s="11">
        <v>43854</v>
      </c>
      <c r="B32" s="12"/>
      <c r="C32" s="12" t="s">
        <v>56</v>
      </c>
      <c r="D32" s="13">
        <v>1</v>
      </c>
      <c r="E32" s="12" t="s">
        <v>80</v>
      </c>
      <c r="F32" s="13">
        <v>1</v>
      </c>
      <c r="G32" s="12"/>
      <c r="H32" s="5" t="s">
        <v>0</v>
      </c>
      <c r="I32" s="5" t="s">
        <v>26</v>
      </c>
      <c r="J32" s="5" t="s">
        <v>26</v>
      </c>
      <c r="K32" s="5" t="s">
        <v>69</v>
      </c>
      <c r="L32" s="14" t="s">
        <v>116</v>
      </c>
    </row>
    <row r="33" spans="1:12" x14ac:dyDescent="0.25">
      <c r="A33" s="7">
        <v>43854</v>
      </c>
      <c r="B33" s="8"/>
      <c r="C33" s="8" t="s">
        <v>60</v>
      </c>
      <c r="D33" s="9">
        <v>2</v>
      </c>
      <c r="E33" s="8" t="s">
        <v>79</v>
      </c>
      <c r="F33" s="9">
        <v>6</v>
      </c>
      <c r="G33" s="8"/>
      <c r="H33" s="4" t="s">
        <v>1</v>
      </c>
      <c r="I33" s="4" t="s">
        <v>66</v>
      </c>
      <c r="J33" s="4" t="s">
        <v>34</v>
      </c>
      <c r="K33" s="4" t="s">
        <v>73</v>
      </c>
      <c r="L33" s="10" t="s">
        <v>117</v>
      </c>
    </row>
    <row r="34" spans="1:12" x14ac:dyDescent="0.25">
      <c r="A34" s="11">
        <v>43854</v>
      </c>
      <c r="B34" s="12"/>
      <c r="C34" s="12" t="s">
        <v>58</v>
      </c>
      <c r="D34" s="13">
        <v>1</v>
      </c>
      <c r="E34" s="12" t="s">
        <v>77</v>
      </c>
      <c r="F34" s="13">
        <v>21</v>
      </c>
      <c r="G34" s="12"/>
      <c r="H34" s="5" t="s">
        <v>67</v>
      </c>
      <c r="I34" s="5" t="s">
        <v>67</v>
      </c>
      <c r="J34" s="5" t="s">
        <v>41</v>
      </c>
      <c r="K34" s="5" t="s">
        <v>41</v>
      </c>
      <c r="L34" s="14" t="s">
        <v>118</v>
      </c>
    </row>
    <row r="35" spans="1:12" x14ac:dyDescent="0.25">
      <c r="A35" s="7">
        <v>43850</v>
      </c>
      <c r="B35" s="8"/>
      <c r="C35" s="8" t="s">
        <v>60</v>
      </c>
      <c r="D35" s="9">
        <v>1</v>
      </c>
      <c r="E35" s="8" t="s">
        <v>78</v>
      </c>
      <c r="F35" s="9">
        <v>8</v>
      </c>
      <c r="G35" s="8"/>
      <c r="H35" s="4" t="s">
        <v>0</v>
      </c>
      <c r="I35" s="4" t="s">
        <v>64</v>
      </c>
      <c r="J35" s="4" t="s">
        <v>21</v>
      </c>
      <c r="K35" s="4" t="s">
        <v>70</v>
      </c>
      <c r="L35" s="10" t="s">
        <v>119</v>
      </c>
    </row>
    <row r="36" spans="1:12" x14ac:dyDescent="0.25">
      <c r="A36" s="11">
        <v>43850</v>
      </c>
      <c r="B36" s="12"/>
      <c r="C36" s="12" t="s">
        <v>60</v>
      </c>
      <c r="D36" s="13">
        <v>1</v>
      </c>
      <c r="E36" s="12" t="s">
        <v>79</v>
      </c>
      <c r="F36" s="13">
        <v>1</v>
      </c>
      <c r="G36" s="12"/>
      <c r="H36" s="5" t="s">
        <v>1</v>
      </c>
      <c r="I36" s="5" t="s">
        <v>65</v>
      </c>
      <c r="J36" s="5" t="s">
        <v>28</v>
      </c>
      <c r="K36" s="5" t="s">
        <v>73</v>
      </c>
      <c r="L36" s="14" t="s">
        <v>120</v>
      </c>
    </row>
    <row r="37" spans="1:12" x14ac:dyDescent="0.25">
      <c r="A37" s="7">
        <v>43850</v>
      </c>
      <c r="B37" s="8"/>
      <c r="C37" s="8" t="s">
        <v>56</v>
      </c>
      <c r="D37" s="9">
        <v>2</v>
      </c>
      <c r="E37" s="8" t="s">
        <v>80</v>
      </c>
      <c r="F37" s="9">
        <v>56</v>
      </c>
      <c r="G37" s="8"/>
      <c r="H37" s="4" t="s">
        <v>1</v>
      </c>
      <c r="I37" s="4" t="s">
        <v>65</v>
      </c>
      <c r="J37" s="4" t="s">
        <v>28</v>
      </c>
      <c r="K37" s="4" t="s">
        <v>73</v>
      </c>
      <c r="L37" s="10" t="s">
        <v>121</v>
      </c>
    </row>
    <row r="38" spans="1:12" x14ac:dyDescent="0.25">
      <c r="A38" s="11">
        <v>43850</v>
      </c>
      <c r="B38" s="12"/>
      <c r="C38" s="12" t="s">
        <v>56</v>
      </c>
      <c r="D38" s="13">
        <v>2</v>
      </c>
      <c r="E38" s="12" t="s">
        <v>81</v>
      </c>
      <c r="F38" s="13">
        <v>4</v>
      </c>
      <c r="G38" s="12"/>
      <c r="H38" s="5" t="s">
        <v>0</v>
      </c>
      <c r="I38" s="5" t="s">
        <v>64</v>
      </c>
      <c r="J38" s="5" t="s">
        <v>22</v>
      </c>
      <c r="K38" s="5" t="s">
        <v>70</v>
      </c>
      <c r="L38" s="14" t="s">
        <v>122</v>
      </c>
    </row>
    <row r="39" spans="1:12" x14ac:dyDescent="0.25">
      <c r="A39" s="7">
        <v>43850</v>
      </c>
      <c r="B39" s="8"/>
      <c r="C39" s="8" t="s">
        <v>58</v>
      </c>
      <c r="D39" s="9">
        <v>1</v>
      </c>
      <c r="E39" s="8" t="s">
        <v>76</v>
      </c>
      <c r="F39" s="9">
        <v>5</v>
      </c>
      <c r="G39" s="8"/>
      <c r="H39" s="4" t="s">
        <v>0</v>
      </c>
      <c r="I39" s="4" t="s">
        <v>5</v>
      </c>
      <c r="J39" s="4" t="s">
        <v>39</v>
      </c>
      <c r="K39" s="4" t="s">
        <v>69</v>
      </c>
      <c r="L39" s="10" t="s">
        <v>123</v>
      </c>
    </row>
    <row r="40" spans="1:12" x14ac:dyDescent="0.25">
      <c r="A40" s="11">
        <v>43851</v>
      </c>
      <c r="B40" s="12"/>
      <c r="C40" s="12" t="s">
        <v>58</v>
      </c>
      <c r="D40" s="13">
        <v>1</v>
      </c>
      <c r="E40" s="12" t="s">
        <v>76</v>
      </c>
      <c r="F40" s="13">
        <v>5</v>
      </c>
      <c r="G40" s="12"/>
      <c r="H40" s="5" t="s">
        <v>1</v>
      </c>
      <c r="I40" s="5" t="s">
        <v>65</v>
      </c>
      <c r="J40" s="5" t="s">
        <v>27</v>
      </c>
      <c r="K40" s="5" t="s">
        <v>72</v>
      </c>
      <c r="L40" s="14" t="s">
        <v>124</v>
      </c>
    </row>
    <row r="41" spans="1:12" x14ac:dyDescent="0.25">
      <c r="A41" s="7">
        <v>43851</v>
      </c>
      <c r="B41" s="8"/>
      <c r="C41" s="8" t="s">
        <v>58</v>
      </c>
      <c r="D41" s="9">
        <v>1</v>
      </c>
      <c r="E41" s="8" t="s">
        <v>77</v>
      </c>
      <c r="F41" s="9">
        <v>1</v>
      </c>
      <c r="G41" s="8"/>
      <c r="H41" s="4" t="s">
        <v>0</v>
      </c>
      <c r="I41" s="4" t="s">
        <v>64</v>
      </c>
      <c r="J41" s="4" t="s">
        <v>22</v>
      </c>
      <c r="K41" s="4" t="s">
        <v>69</v>
      </c>
      <c r="L41" s="10" t="s">
        <v>125</v>
      </c>
    </row>
    <row r="42" spans="1:12" x14ac:dyDescent="0.25">
      <c r="A42" s="11">
        <v>43851</v>
      </c>
      <c r="B42" s="12"/>
      <c r="C42" s="12" t="s">
        <v>60</v>
      </c>
      <c r="D42" s="13">
        <v>2</v>
      </c>
      <c r="E42" s="12" t="s">
        <v>78</v>
      </c>
      <c r="F42" s="13">
        <v>8</v>
      </c>
      <c r="G42" s="12"/>
      <c r="H42" s="5" t="s">
        <v>1</v>
      </c>
      <c r="I42" s="5" t="s">
        <v>66</v>
      </c>
      <c r="J42" s="5" t="s">
        <v>30</v>
      </c>
      <c r="K42" s="5" t="s">
        <v>73</v>
      </c>
      <c r="L42" s="14" t="s">
        <v>126</v>
      </c>
    </row>
    <row r="43" spans="1:12" x14ac:dyDescent="0.25">
      <c r="A43" s="7">
        <v>43851</v>
      </c>
      <c r="B43" s="8"/>
      <c r="C43" s="8" t="s">
        <v>56</v>
      </c>
      <c r="D43" s="9">
        <v>2</v>
      </c>
      <c r="E43" s="8" t="s">
        <v>81</v>
      </c>
      <c r="F43" s="9">
        <v>1</v>
      </c>
      <c r="G43" s="8"/>
      <c r="H43" s="4" t="s">
        <v>1</v>
      </c>
      <c r="I43" s="4" t="s">
        <v>26</v>
      </c>
      <c r="J43" s="4" t="s">
        <v>25</v>
      </c>
      <c r="K43" s="4" t="s">
        <v>73</v>
      </c>
      <c r="L43" s="10" t="s">
        <v>127</v>
      </c>
    </row>
    <row r="44" spans="1:12" x14ac:dyDescent="0.25">
      <c r="A44" s="11">
        <v>43853</v>
      </c>
      <c r="B44" s="12"/>
      <c r="C44" s="12" t="s">
        <v>60</v>
      </c>
      <c r="D44" s="13">
        <v>1</v>
      </c>
      <c r="E44" s="12" t="s">
        <v>79</v>
      </c>
      <c r="F44" s="13">
        <v>2</v>
      </c>
      <c r="G44" s="12"/>
      <c r="H44" s="5" t="s">
        <v>0</v>
      </c>
      <c r="I44" s="5" t="s">
        <v>5</v>
      </c>
      <c r="J44" s="5" t="s">
        <v>37</v>
      </c>
      <c r="K44" s="5" t="s">
        <v>70</v>
      </c>
      <c r="L44" s="14" t="s">
        <v>128</v>
      </c>
    </row>
    <row r="45" spans="1:12" x14ac:dyDescent="0.25">
      <c r="A45" s="7">
        <v>43853</v>
      </c>
      <c r="B45" s="8"/>
      <c r="C45" s="8" t="s">
        <v>56</v>
      </c>
      <c r="D45" s="9">
        <v>1</v>
      </c>
      <c r="E45" s="8" t="s">
        <v>81</v>
      </c>
      <c r="F45" s="9">
        <v>8</v>
      </c>
      <c r="G45" s="8"/>
      <c r="H45" s="4" t="s">
        <v>0</v>
      </c>
      <c r="I45" s="4" t="s">
        <v>66</v>
      </c>
      <c r="J45" s="4" t="s">
        <v>29</v>
      </c>
      <c r="K45" s="4" t="s">
        <v>69</v>
      </c>
      <c r="L45" s="10" t="s">
        <v>129</v>
      </c>
    </row>
    <row r="46" spans="1:12" x14ac:dyDescent="0.25">
      <c r="A46" s="11">
        <v>43853</v>
      </c>
      <c r="B46" s="12"/>
      <c r="C46" s="12" t="s">
        <v>58</v>
      </c>
      <c r="D46" s="13">
        <v>1</v>
      </c>
      <c r="E46" s="12" t="s">
        <v>76</v>
      </c>
      <c r="F46" s="13">
        <v>41</v>
      </c>
      <c r="G46" s="12"/>
      <c r="H46" s="5" t="s">
        <v>1</v>
      </c>
      <c r="I46" s="5" t="s">
        <v>66</v>
      </c>
      <c r="J46" s="5" t="s">
        <v>35</v>
      </c>
      <c r="K46" s="5" t="s">
        <v>73</v>
      </c>
      <c r="L46" s="14" t="s">
        <v>130</v>
      </c>
    </row>
    <row r="47" spans="1:12" x14ac:dyDescent="0.25">
      <c r="A47" s="7">
        <v>43853</v>
      </c>
      <c r="B47" s="8"/>
      <c r="C47" s="8" t="s">
        <v>58</v>
      </c>
      <c r="D47" s="9">
        <v>2</v>
      </c>
      <c r="E47" s="8" t="s">
        <v>77</v>
      </c>
      <c r="F47" s="9">
        <v>6</v>
      </c>
      <c r="G47" s="8"/>
      <c r="H47" s="4" t="s">
        <v>0</v>
      </c>
      <c r="I47" s="4" t="s">
        <v>2</v>
      </c>
      <c r="J47" s="4" t="s">
        <v>15</v>
      </c>
      <c r="K47" s="4" t="s">
        <v>70</v>
      </c>
      <c r="L47" s="10" t="s">
        <v>131</v>
      </c>
    </row>
    <row r="48" spans="1:12" x14ac:dyDescent="0.25">
      <c r="A48" s="11">
        <v>43854</v>
      </c>
      <c r="B48" s="12"/>
      <c r="C48" s="12" t="s">
        <v>58</v>
      </c>
      <c r="D48" s="13">
        <v>2</v>
      </c>
      <c r="E48" s="12" t="s">
        <v>76</v>
      </c>
      <c r="F48" s="13">
        <v>5</v>
      </c>
      <c r="G48" s="12"/>
      <c r="H48" s="5" t="s">
        <v>1</v>
      </c>
      <c r="I48" s="5" t="s">
        <v>2</v>
      </c>
      <c r="J48" s="5" t="s">
        <v>17</v>
      </c>
      <c r="K48" s="5" t="s">
        <v>72</v>
      </c>
      <c r="L48" s="14" t="s">
        <v>132</v>
      </c>
    </row>
    <row r="49" spans="1:12" x14ac:dyDescent="0.25">
      <c r="A49" s="7">
        <v>43854</v>
      </c>
      <c r="B49" s="8"/>
      <c r="C49" s="8" t="s">
        <v>56</v>
      </c>
      <c r="D49" s="9">
        <v>1</v>
      </c>
      <c r="E49" s="8" t="s">
        <v>80</v>
      </c>
      <c r="F49" s="9">
        <v>4</v>
      </c>
      <c r="G49" s="8"/>
      <c r="H49" s="4" t="s">
        <v>0</v>
      </c>
      <c r="I49" s="4" t="s">
        <v>26</v>
      </c>
      <c r="J49" s="4" t="s">
        <v>26</v>
      </c>
      <c r="K49" s="4" t="s">
        <v>69</v>
      </c>
      <c r="L49" s="10" t="s">
        <v>133</v>
      </c>
    </row>
    <row r="50" spans="1:12" x14ac:dyDescent="0.25">
      <c r="A50" s="11">
        <v>43854</v>
      </c>
      <c r="B50" s="12"/>
      <c r="C50" s="12" t="s">
        <v>60</v>
      </c>
      <c r="D50" s="13">
        <v>2</v>
      </c>
      <c r="E50" s="12" t="s">
        <v>79</v>
      </c>
      <c r="F50" s="13">
        <v>1</v>
      </c>
      <c r="G50" s="12"/>
      <c r="H50" s="5" t="s">
        <v>1</v>
      </c>
      <c r="I50" s="5" t="s">
        <v>66</v>
      </c>
      <c r="J50" s="5" t="s">
        <v>34</v>
      </c>
      <c r="K50" s="5" t="s">
        <v>73</v>
      </c>
      <c r="L50" s="14" t="s">
        <v>134</v>
      </c>
    </row>
    <row r="51" spans="1:12" x14ac:dyDescent="0.25">
      <c r="A51" s="7">
        <v>43854</v>
      </c>
      <c r="B51" s="8"/>
      <c r="C51" s="8" t="s">
        <v>58</v>
      </c>
      <c r="D51" s="9">
        <v>1</v>
      </c>
      <c r="E51" s="8" t="s">
        <v>77</v>
      </c>
      <c r="F51" s="9">
        <v>15</v>
      </c>
      <c r="G51" s="8"/>
      <c r="H51" s="4" t="s">
        <v>67</v>
      </c>
      <c r="I51" s="4" t="s">
        <v>67</v>
      </c>
      <c r="J51" s="4" t="s">
        <v>41</v>
      </c>
      <c r="K51" s="4" t="s">
        <v>41</v>
      </c>
      <c r="L51" s="10" t="s">
        <v>135</v>
      </c>
    </row>
    <row r="52" spans="1:12" x14ac:dyDescent="0.25">
      <c r="A52" s="11">
        <v>43857</v>
      </c>
      <c r="B52" s="12"/>
      <c r="C52" s="12" t="s">
        <v>60</v>
      </c>
      <c r="D52" s="13">
        <v>1</v>
      </c>
      <c r="E52" s="12" t="s">
        <v>78</v>
      </c>
      <c r="F52" s="13">
        <v>56</v>
      </c>
      <c r="G52" s="12"/>
      <c r="H52" s="5" t="s">
        <v>0</v>
      </c>
      <c r="I52" s="5" t="s">
        <v>64</v>
      </c>
      <c r="J52" s="5" t="s">
        <v>21</v>
      </c>
      <c r="K52" s="5" t="s">
        <v>70</v>
      </c>
      <c r="L52" s="14" t="s">
        <v>136</v>
      </c>
    </row>
    <row r="53" spans="1:12" x14ac:dyDescent="0.25">
      <c r="A53" s="7">
        <v>43857</v>
      </c>
      <c r="B53" s="8"/>
      <c r="C53" s="8" t="s">
        <v>60</v>
      </c>
      <c r="D53" s="9">
        <v>1</v>
      </c>
      <c r="E53" s="8" t="s">
        <v>79</v>
      </c>
      <c r="F53" s="9">
        <v>5</v>
      </c>
      <c r="G53" s="8"/>
      <c r="H53" s="4" t="s">
        <v>1</v>
      </c>
      <c r="I53" s="4" t="s">
        <v>65</v>
      </c>
      <c r="J53" s="4" t="s">
        <v>28</v>
      </c>
      <c r="K53" s="4" t="s">
        <v>73</v>
      </c>
      <c r="L53" s="10" t="s">
        <v>137</v>
      </c>
    </row>
    <row r="54" spans="1:12" x14ac:dyDescent="0.25">
      <c r="A54" s="11">
        <v>43857</v>
      </c>
      <c r="B54" s="12"/>
      <c r="C54" s="12" t="s">
        <v>56</v>
      </c>
      <c r="D54" s="13">
        <v>2</v>
      </c>
      <c r="E54" s="12" t="s">
        <v>80</v>
      </c>
      <c r="F54" s="13">
        <v>45</v>
      </c>
      <c r="G54" s="12"/>
      <c r="H54" s="5" t="s">
        <v>1</v>
      </c>
      <c r="I54" s="5" t="s">
        <v>65</v>
      </c>
      <c r="J54" s="5" t="s">
        <v>28</v>
      </c>
      <c r="K54" s="5" t="s">
        <v>73</v>
      </c>
      <c r="L54" s="14" t="s">
        <v>138</v>
      </c>
    </row>
    <row r="55" spans="1:12" x14ac:dyDescent="0.25">
      <c r="A55" s="7">
        <v>43857</v>
      </c>
      <c r="B55" s="8"/>
      <c r="C55" s="8" t="s">
        <v>56</v>
      </c>
      <c r="D55" s="9">
        <v>2</v>
      </c>
      <c r="E55" s="8" t="s">
        <v>81</v>
      </c>
      <c r="F55" s="9">
        <v>4</v>
      </c>
      <c r="G55" s="8"/>
      <c r="H55" s="4" t="s">
        <v>0</v>
      </c>
      <c r="I55" s="4" t="s">
        <v>64</v>
      </c>
      <c r="J55" s="4" t="s">
        <v>22</v>
      </c>
      <c r="K55" s="4" t="s">
        <v>70</v>
      </c>
      <c r="L55" s="10" t="s">
        <v>139</v>
      </c>
    </row>
    <row r="56" spans="1:12" x14ac:dyDescent="0.25">
      <c r="A56" s="11">
        <v>43857</v>
      </c>
      <c r="B56" s="12"/>
      <c r="C56" s="12" t="s">
        <v>58</v>
      </c>
      <c r="D56" s="13">
        <v>1</v>
      </c>
      <c r="E56" s="12" t="s">
        <v>76</v>
      </c>
      <c r="F56" s="13">
        <v>1</v>
      </c>
      <c r="G56" s="12"/>
      <c r="H56" s="5" t="s">
        <v>0</v>
      </c>
      <c r="I56" s="5" t="s">
        <v>5</v>
      </c>
      <c r="J56" s="5" t="s">
        <v>39</v>
      </c>
      <c r="K56" s="5" t="s">
        <v>69</v>
      </c>
      <c r="L56" s="14" t="s">
        <v>140</v>
      </c>
    </row>
    <row r="57" spans="1:12" x14ac:dyDescent="0.25">
      <c r="A57" s="7">
        <v>43858</v>
      </c>
      <c r="B57" s="8"/>
      <c r="C57" s="8" t="s">
        <v>58</v>
      </c>
      <c r="D57" s="9">
        <v>1</v>
      </c>
      <c r="E57" s="8" t="s">
        <v>76</v>
      </c>
      <c r="F57" s="9">
        <v>6</v>
      </c>
      <c r="G57" s="8"/>
      <c r="H57" s="4" t="s">
        <v>1</v>
      </c>
      <c r="I57" s="4" t="s">
        <v>65</v>
      </c>
      <c r="J57" s="4" t="s">
        <v>27</v>
      </c>
      <c r="K57" s="4" t="s">
        <v>72</v>
      </c>
      <c r="L57" s="10" t="s">
        <v>141</v>
      </c>
    </row>
    <row r="58" spans="1:12" x14ac:dyDescent="0.25">
      <c r="A58" s="11">
        <v>43858</v>
      </c>
      <c r="B58" s="12"/>
      <c r="C58" s="12" t="s">
        <v>58</v>
      </c>
      <c r="D58" s="13">
        <v>1</v>
      </c>
      <c r="E58" s="12" t="s">
        <v>77</v>
      </c>
      <c r="F58" s="13">
        <v>8</v>
      </c>
      <c r="G58" s="12"/>
      <c r="H58" s="5" t="s">
        <v>0</v>
      </c>
      <c r="I58" s="5" t="s">
        <v>64</v>
      </c>
      <c r="J58" s="5" t="s">
        <v>22</v>
      </c>
      <c r="K58" s="5" t="s">
        <v>69</v>
      </c>
      <c r="L58" s="14" t="s">
        <v>142</v>
      </c>
    </row>
    <row r="59" spans="1:12" x14ac:dyDescent="0.25">
      <c r="A59" s="7">
        <v>43858</v>
      </c>
      <c r="B59" s="8"/>
      <c r="C59" s="8" t="s">
        <v>60</v>
      </c>
      <c r="D59" s="9">
        <v>2</v>
      </c>
      <c r="E59" s="8" t="s">
        <v>78</v>
      </c>
      <c r="F59" s="9">
        <v>1</v>
      </c>
      <c r="G59" s="8"/>
      <c r="H59" s="4" t="s">
        <v>1</v>
      </c>
      <c r="I59" s="4" t="s">
        <v>66</v>
      </c>
      <c r="J59" s="4" t="s">
        <v>30</v>
      </c>
      <c r="K59" s="4" t="s">
        <v>73</v>
      </c>
      <c r="L59" s="10" t="s">
        <v>143</v>
      </c>
    </row>
    <row r="60" spans="1:12" x14ac:dyDescent="0.25">
      <c r="A60" s="11">
        <v>43858</v>
      </c>
      <c r="B60" s="12"/>
      <c r="C60" s="12" t="s">
        <v>56</v>
      </c>
      <c r="D60" s="13">
        <v>2</v>
      </c>
      <c r="E60" s="12" t="s">
        <v>81</v>
      </c>
      <c r="F60" s="13">
        <v>11</v>
      </c>
      <c r="G60" s="12"/>
      <c r="H60" s="5" t="s">
        <v>1</v>
      </c>
      <c r="I60" s="5" t="s">
        <v>26</v>
      </c>
      <c r="J60" s="5" t="s">
        <v>25</v>
      </c>
      <c r="K60" s="5" t="s">
        <v>73</v>
      </c>
      <c r="L60" s="14" t="s">
        <v>144</v>
      </c>
    </row>
    <row r="61" spans="1:12" x14ac:dyDescent="0.25">
      <c r="A61" s="7">
        <v>43860</v>
      </c>
      <c r="B61" s="8"/>
      <c r="C61" s="8" t="s">
        <v>60</v>
      </c>
      <c r="D61" s="9">
        <v>1</v>
      </c>
      <c r="E61" s="8" t="s">
        <v>79</v>
      </c>
      <c r="F61" s="9">
        <v>5</v>
      </c>
      <c r="G61" s="8"/>
      <c r="H61" s="4" t="s">
        <v>0</v>
      </c>
      <c r="I61" s="4" t="s">
        <v>5</v>
      </c>
      <c r="J61" s="4" t="s">
        <v>37</v>
      </c>
      <c r="K61" s="4" t="s">
        <v>70</v>
      </c>
      <c r="L61" s="10" t="s">
        <v>145</v>
      </c>
    </row>
    <row r="62" spans="1:12" x14ac:dyDescent="0.25">
      <c r="A62" s="11">
        <v>43860</v>
      </c>
      <c r="B62" s="12"/>
      <c r="C62" s="12" t="s">
        <v>56</v>
      </c>
      <c r="D62" s="13">
        <v>1</v>
      </c>
      <c r="E62" s="12" t="s">
        <v>81</v>
      </c>
      <c r="F62" s="13">
        <v>8</v>
      </c>
      <c r="G62" s="12"/>
      <c r="H62" s="5" t="s">
        <v>0</v>
      </c>
      <c r="I62" s="5" t="s">
        <v>66</v>
      </c>
      <c r="J62" s="5" t="s">
        <v>29</v>
      </c>
      <c r="K62" s="5" t="s">
        <v>69</v>
      </c>
      <c r="L62" s="14" t="s">
        <v>146</v>
      </c>
    </row>
    <row r="63" spans="1:12" x14ac:dyDescent="0.25">
      <c r="A63" s="7">
        <v>43860</v>
      </c>
      <c r="B63" s="8"/>
      <c r="C63" s="8" t="s">
        <v>58</v>
      </c>
      <c r="D63" s="9">
        <v>1</v>
      </c>
      <c r="E63" s="8" t="s">
        <v>76</v>
      </c>
      <c r="F63" s="9">
        <v>5</v>
      </c>
      <c r="G63" s="8"/>
      <c r="H63" s="4" t="s">
        <v>1</v>
      </c>
      <c r="I63" s="4" t="s">
        <v>66</v>
      </c>
      <c r="J63" s="4" t="s">
        <v>35</v>
      </c>
      <c r="K63" s="4" t="s">
        <v>73</v>
      </c>
      <c r="L63" s="10" t="s">
        <v>147</v>
      </c>
    </row>
    <row r="64" spans="1:12" x14ac:dyDescent="0.25">
      <c r="A64" s="11">
        <v>43860</v>
      </c>
      <c r="B64" s="12"/>
      <c r="C64" s="12" t="s">
        <v>58</v>
      </c>
      <c r="D64" s="13">
        <v>2</v>
      </c>
      <c r="E64" s="12" t="s">
        <v>77</v>
      </c>
      <c r="F64" s="13">
        <v>74</v>
      </c>
      <c r="G64" s="12"/>
      <c r="H64" s="5" t="s">
        <v>0</v>
      </c>
      <c r="I64" s="5" t="s">
        <v>2</v>
      </c>
      <c r="J64" s="5" t="s">
        <v>15</v>
      </c>
      <c r="K64" s="5" t="s">
        <v>70</v>
      </c>
      <c r="L64" s="14" t="s">
        <v>148</v>
      </c>
    </row>
    <row r="65" spans="1:12" x14ac:dyDescent="0.25">
      <c r="A65" s="7">
        <v>43861</v>
      </c>
      <c r="B65" s="8"/>
      <c r="C65" s="8" t="s">
        <v>58</v>
      </c>
      <c r="D65" s="9">
        <v>2</v>
      </c>
      <c r="E65" s="8" t="s">
        <v>76</v>
      </c>
      <c r="F65" s="9">
        <v>9</v>
      </c>
      <c r="G65" s="8"/>
      <c r="H65" s="4" t="s">
        <v>1</v>
      </c>
      <c r="I65" s="4" t="s">
        <v>2</v>
      </c>
      <c r="J65" s="4" t="s">
        <v>17</v>
      </c>
      <c r="K65" s="4" t="s">
        <v>72</v>
      </c>
      <c r="L65" s="10" t="s">
        <v>149</v>
      </c>
    </row>
    <row r="66" spans="1:12" x14ac:dyDescent="0.25">
      <c r="A66" s="11">
        <v>43861</v>
      </c>
      <c r="B66" s="12"/>
      <c r="C66" s="12" t="s">
        <v>56</v>
      </c>
      <c r="D66" s="13">
        <v>1</v>
      </c>
      <c r="E66" s="12" t="s">
        <v>80</v>
      </c>
      <c r="F66" s="13">
        <v>2</v>
      </c>
      <c r="G66" s="12"/>
      <c r="H66" s="5" t="s">
        <v>0</v>
      </c>
      <c r="I66" s="5" t="s">
        <v>26</v>
      </c>
      <c r="J66" s="5" t="s">
        <v>26</v>
      </c>
      <c r="K66" s="5" t="s">
        <v>69</v>
      </c>
      <c r="L66" s="14" t="s">
        <v>150</v>
      </c>
    </row>
    <row r="67" spans="1:12" x14ac:dyDescent="0.25">
      <c r="A67" s="7">
        <v>43861</v>
      </c>
      <c r="B67" s="8"/>
      <c r="C67" s="8" t="s">
        <v>60</v>
      </c>
      <c r="D67" s="9">
        <v>2</v>
      </c>
      <c r="E67" s="8" t="s">
        <v>79</v>
      </c>
      <c r="F67" s="9">
        <v>8</v>
      </c>
      <c r="G67" s="8"/>
      <c r="H67" s="4" t="s">
        <v>1</v>
      </c>
      <c r="I67" s="4" t="s">
        <v>66</v>
      </c>
      <c r="J67" s="4" t="s">
        <v>34</v>
      </c>
      <c r="K67" s="4" t="s">
        <v>73</v>
      </c>
      <c r="L67" s="10" t="s">
        <v>151</v>
      </c>
    </row>
    <row r="68" spans="1:12" x14ac:dyDescent="0.25">
      <c r="A68" s="11">
        <v>43861</v>
      </c>
      <c r="B68" s="12"/>
      <c r="C68" s="12" t="s">
        <v>58</v>
      </c>
      <c r="D68" s="13">
        <v>1</v>
      </c>
      <c r="E68" s="12" t="s">
        <v>77</v>
      </c>
      <c r="F68" s="13">
        <v>1</v>
      </c>
      <c r="G68" s="12"/>
      <c r="H68" s="5" t="s">
        <v>67</v>
      </c>
      <c r="I68" s="5" t="s">
        <v>67</v>
      </c>
      <c r="J68" s="5" t="s">
        <v>41</v>
      </c>
      <c r="K68" s="5" t="s">
        <v>41</v>
      </c>
      <c r="L68" s="14" t="s">
        <v>152</v>
      </c>
    </row>
    <row r="69" spans="1:12" x14ac:dyDescent="0.25">
      <c r="A69" s="7">
        <v>43864</v>
      </c>
      <c r="B69" s="8"/>
      <c r="C69" s="8" t="s">
        <v>60</v>
      </c>
      <c r="D69" s="9">
        <v>1</v>
      </c>
      <c r="E69" s="8" t="s">
        <v>78</v>
      </c>
      <c r="F69" s="9">
        <v>1</v>
      </c>
      <c r="G69" s="8"/>
      <c r="H69" s="4" t="s">
        <v>0</v>
      </c>
      <c r="I69" s="4" t="s">
        <v>64</v>
      </c>
      <c r="J69" s="4" t="s">
        <v>21</v>
      </c>
      <c r="K69" s="4" t="s">
        <v>70</v>
      </c>
      <c r="L69" s="10" t="s">
        <v>153</v>
      </c>
    </row>
    <row r="70" spans="1:12" x14ac:dyDescent="0.25">
      <c r="A70" s="11">
        <v>43864</v>
      </c>
      <c r="B70" s="12"/>
      <c r="C70" s="12" t="s">
        <v>60</v>
      </c>
      <c r="D70" s="13">
        <v>1</v>
      </c>
      <c r="E70" s="12" t="s">
        <v>79</v>
      </c>
      <c r="F70" s="13">
        <v>89</v>
      </c>
      <c r="G70" s="12"/>
      <c r="H70" s="5" t="s">
        <v>1</v>
      </c>
      <c r="I70" s="5" t="s">
        <v>65</v>
      </c>
      <c r="J70" s="5" t="s">
        <v>28</v>
      </c>
      <c r="K70" s="5" t="s">
        <v>73</v>
      </c>
      <c r="L70" s="14" t="s">
        <v>154</v>
      </c>
    </row>
    <row r="71" spans="1:12" x14ac:dyDescent="0.25">
      <c r="A71" s="7">
        <v>43864</v>
      </c>
      <c r="B71" s="8"/>
      <c r="C71" s="8" t="s">
        <v>56</v>
      </c>
      <c r="D71" s="9">
        <v>2</v>
      </c>
      <c r="E71" s="8" t="s">
        <v>80</v>
      </c>
      <c r="F71" s="9">
        <v>1</v>
      </c>
      <c r="G71" s="8"/>
      <c r="H71" s="4" t="s">
        <v>1</v>
      </c>
      <c r="I71" s="4" t="s">
        <v>65</v>
      </c>
      <c r="J71" s="4" t="s">
        <v>28</v>
      </c>
      <c r="K71" s="4" t="s">
        <v>73</v>
      </c>
      <c r="L71" s="10" t="s">
        <v>155</v>
      </c>
    </row>
    <row r="72" spans="1:12" x14ac:dyDescent="0.25">
      <c r="A72" s="11">
        <v>43864</v>
      </c>
      <c r="B72" s="12"/>
      <c r="C72" s="12" t="s">
        <v>56</v>
      </c>
      <c r="D72" s="13">
        <v>2</v>
      </c>
      <c r="E72" s="12" t="s">
        <v>81</v>
      </c>
      <c r="F72" s="13">
        <v>8</v>
      </c>
      <c r="G72" s="12"/>
      <c r="H72" s="5" t="s">
        <v>0</v>
      </c>
      <c r="I72" s="5" t="s">
        <v>64</v>
      </c>
      <c r="J72" s="5" t="s">
        <v>22</v>
      </c>
      <c r="K72" s="5" t="s">
        <v>70</v>
      </c>
      <c r="L72" s="14" t="s">
        <v>156</v>
      </c>
    </row>
    <row r="73" spans="1:12" x14ac:dyDescent="0.25">
      <c r="A73" s="7">
        <v>43864</v>
      </c>
      <c r="B73" s="8"/>
      <c r="C73" s="8" t="s">
        <v>58</v>
      </c>
      <c r="D73" s="9">
        <v>1</v>
      </c>
      <c r="E73" s="8" t="s">
        <v>76</v>
      </c>
      <c r="F73" s="9">
        <v>1</v>
      </c>
      <c r="G73" s="8"/>
      <c r="H73" s="4" t="s">
        <v>0</v>
      </c>
      <c r="I73" s="4" t="s">
        <v>5</v>
      </c>
      <c r="J73" s="4" t="s">
        <v>39</v>
      </c>
      <c r="K73" s="4" t="s">
        <v>69</v>
      </c>
      <c r="L73" s="10" t="s">
        <v>157</v>
      </c>
    </row>
    <row r="74" spans="1:12" x14ac:dyDescent="0.25">
      <c r="A74" s="11">
        <v>43865</v>
      </c>
      <c r="B74" s="12"/>
      <c r="C74" s="12" t="s">
        <v>58</v>
      </c>
      <c r="D74" s="13">
        <v>1</v>
      </c>
      <c r="E74" s="12" t="s">
        <v>76</v>
      </c>
      <c r="F74" s="13">
        <v>8</v>
      </c>
      <c r="G74" s="12"/>
      <c r="H74" s="5" t="s">
        <v>1</v>
      </c>
      <c r="I74" s="5" t="s">
        <v>65</v>
      </c>
      <c r="J74" s="5" t="s">
        <v>27</v>
      </c>
      <c r="K74" s="5" t="s">
        <v>72</v>
      </c>
      <c r="L74" s="14" t="s">
        <v>158</v>
      </c>
    </row>
    <row r="75" spans="1:12" x14ac:dyDescent="0.25">
      <c r="A75" s="7">
        <v>43865</v>
      </c>
      <c r="B75" s="8"/>
      <c r="C75" s="8" t="s">
        <v>58</v>
      </c>
      <c r="D75" s="9">
        <v>1</v>
      </c>
      <c r="E75" s="8" t="s">
        <v>77</v>
      </c>
      <c r="F75" s="9">
        <v>1</v>
      </c>
      <c r="G75" s="8"/>
      <c r="H75" s="4" t="s">
        <v>0</v>
      </c>
      <c r="I75" s="4" t="s">
        <v>64</v>
      </c>
      <c r="J75" s="4" t="s">
        <v>22</v>
      </c>
      <c r="K75" s="4" t="s">
        <v>69</v>
      </c>
      <c r="L75" s="10" t="s">
        <v>159</v>
      </c>
    </row>
    <row r="76" spans="1:12" x14ac:dyDescent="0.25">
      <c r="A76" s="11">
        <v>43865</v>
      </c>
      <c r="B76" s="12"/>
      <c r="C76" s="12" t="s">
        <v>60</v>
      </c>
      <c r="D76" s="13">
        <v>2</v>
      </c>
      <c r="E76" s="12" t="s">
        <v>78</v>
      </c>
      <c r="F76" s="13">
        <v>8</v>
      </c>
      <c r="G76" s="12"/>
      <c r="H76" s="5" t="s">
        <v>1</v>
      </c>
      <c r="I76" s="5" t="s">
        <v>66</v>
      </c>
      <c r="J76" s="5" t="s">
        <v>30</v>
      </c>
      <c r="K76" s="5" t="s">
        <v>73</v>
      </c>
      <c r="L76" s="14" t="s">
        <v>160</v>
      </c>
    </row>
    <row r="77" spans="1:12" x14ac:dyDescent="0.25">
      <c r="A77" s="7">
        <v>43865</v>
      </c>
      <c r="B77" s="8"/>
      <c r="C77" s="8" t="s">
        <v>56</v>
      </c>
      <c r="D77" s="9">
        <v>2</v>
      </c>
      <c r="E77" s="8" t="s">
        <v>81</v>
      </c>
      <c r="F77" s="9">
        <v>1</v>
      </c>
      <c r="G77" s="8"/>
      <c r="H77" s="4" t="s">
        <v>1</v>
      </c>
      <c r="I77" s="4" t="s">
        <v>26</v>
      </c>
      <c r="J77" s="4" t="s">
        <v>25</v>
      </c>
      <c r="K77" s="4" t="s">
        <v>73</v>
      </c>
      <c r="L77" s="10" t="s">
        <v>161</v>
      </c>
    </row>
    <row r="78" spans="1:12" x14ac:dyDescent="0.25">
      <c r="A78" s="11">
        <v>43867</v>
      </c>
      <c r="B78" s="12"/>
      <c r="C78" s="12" t="s">
        <v>60</v>
      </c>
      <c r="D78" s="13">
        <v>1</v>
      </c>
      <c r="E78" s="12" t="s">
        <v>79</v>
      </c>
      <c r="F78" s="13">
        <v>7</v>
      </c>
      <c r="G78" s="12"/>
      <c r="H78" s="5" t="s">
        <v>0</v>
      </c>
      <c r="I78" s="5" t="s">
        <v>5</v>
      </c>
      <c r="J78" s="5" t="s">
        <v>37</v>
      </c>
      <c r="K78" s="5" t="s">
        <v>70</v>
      </c>
      <c r="L78" s="14" t="s">
        <v>162</v>
      </c>
    </row>
    <row r="79" spans="1:12" x14ac:dyDescent="0.25">
      <c r="A79" s="7">
        <v>43867</v>
      </c>
      <c r="B79" s="8"/>
      <c r="C79" s="8" t="s">
        <v>56</v>
      </c>
      <c r="D79" s="9">
        <v>1</v>
      </c>
      <c r="E79" s="8" t="s">
        <v>81</v>
      </c>
      <c r="F79" s="9">
        <v>23</v>
      </c>
      <c r="G79" s="8"/>
      <c r="H79" s="4" t="s">
        <v>0</v>
      </c>
      <c r="I79" s="4" t="s">
        <v>66</v>
      </c>
      <c r="J79" s="4" t="s">
        <v>29</v>
      </c>
      <c r="K79" s="4" t="s">
        <v>69</v>
      </c>
      <c r="L79" s="10" t="s">
        <v>163</v>
      </c>
    </row>
    <row r="80" spans="1:12" x14ac:dyDescent="0.25">
      <c r="A80" s="11">
        <v>43867</v>
      </c>
      <c r="B80" s="12"/>
      <c r="C80" s="12" t="s">
        <v>58</v>
      </c>
      <c r="D80" s="13">
        <v>1</v>
      </c>
      <c r="E80" s="12" t="s">
        <v>76</v>
      </c>
      <c r="F80" s="13">
        <v>2</v>
      </c>
      <c r="G80" s="12"/>
      <c r="H80" s="5" t="s">
        <v>1</v>
      </c>
      <c r="I80" s="5" t="s">
        <v>66</v>
      </c>
      <c r="J80" s="5" t="s">
        <v>35</v>
      </c>
      <c r="K80" s="5" t="s">
        <v>73</v>
      </c>
      <c r="L80" s="14" t="s">
        <v>164</v>
      </c>
    </row>
    <row r="81" spans="1:12" x14ac:dyDescent="0.25">
      <c r="A81" s="7">
        <v>43867</v>
      </c>
      <c r="B81" s="8"/>
      <c r="C81" s="8" t="s">
        <v>58</v>
      </c>
      <c r="D81" s="9">
        <v>2</v>
      </c>
      <c r="E81" s="8" t="s">
        <v>77</v>
      </c>
      <c r="F81" s="9">
        <v>6</v>
      </c>
      <c r="G81" s="8"/>
      <c r="H81" s="4" t="s">
        <v>0</v>
      </c>
      <c r="I81" s="4" t="s">
        <v>2</v>
      </c>
      <c r="J81" s="4" t="s">
        <v>15</v>
      </c>
      <c r="K81" s="4" t="s">
        <v>70</v>
      </c>
      <c r="L81" s="10" t="s">
        <v>165</v>
      </c>
    </row>
    <row r="82" spans="1:12" x14ac:dyDescent="0.25">
      <c r="A82" s="11">
        <v>43868</v>
      </c>
      <c r="B82" s="12"/>
      <c r="C82" s="12" t="s">
        <v>58</v>
      </c>
      <c r="D82" s="13">
        <v>2</v>
      </c>
      <c r="E82" s="12" t="s">
        <v>76</v>
      </c>
      <c r="F82" s="13">
        <v>1</v>
      </c>
      <c r="G82" s="12"/>
      <c r="H82" s="5" t="s">
        <v>1</v>
      </c>
      <c r="I82" s="5" t="s">
        <v>2</v>
      </c>
      <c r="J82" s="5" t="s">
        <v>17</v>
      </c>
      <c r="K82" s="5" t="s">
        <v>72</v>
      </c>
      <c r="L82" s="14" t="s">
        <v>166</v>
      </c>
    </row>
    <row r="83" spans="1:12" x14ac:dyDescent="0.25">
      <c r="A83" s="7">
        <v>43868</v>
      </c>
      <c r="B83" s="8"/>
      <c r="C83" s="8" t="s">
        <v>56</v>
      </c>
      <c r="D83" s="9">
        <v>1</v>
      </c>
      <c r="E83" s="8" t="s">
        <v>80</v>
      </c>
      <c r="F83" s="9">
        <v>2</v>
      </c>
      <c r="G83" s="8"/>
      <c r="H83" s="4" t="s">
        <v>0</v>
      </c>
      <c r="I83" s="4" t="s">
        <v>26</v>
      </c>
      <c r="J83" s="4" t="s">
        <v>26</v>
      </c>
      <c r="K83" s="4" t="s">
        <v>69</v>
      </c>
      <c r="L83" s="10" t="s">
        <v>167</v>
      </c>
    </row>
    <row r="84" spans="1:12" x14ac:dyDescent="0.25">
      <c r="A84" s="11">
        <v>43868</v>
      </c>
      <c r="B84" s="12"/>
      <c r="C84" s="12" t="s">
        <v>60</v>
      </c>
      <c r="D84" s="13">
        <v>2</v>
      </c>
      <c r="E84" s="12" t="s">
        <v>79</v>
      </c>
      <c r="F84" s="13">
        <v>3</v>
      </c>
      <c r="G84" s="12"/>
      <c r="H84" s="5" t="s">
        <v>1</v>
      </c>
      <c r="I84" s="5" t="s">
        <v>66</v>
      </c>
      <c r="J84" s="5" t="s">
        <v>34</v>
      </c>
      <c r="K84" s="5" t="s">
        <v>73</v>
      </c>
      <c r="L84" s="14" t="s">
        <v>168</v>
      </c>
    </row>
    <row r="85" spans="1:12" x14ac:dyDescent="0.25">
      <c r="A85" s="7">
        <v>43868</v>
      </c>
      <c r="B85" s="8"/>
      <c r="C85" s="8" t="s">
        <v>58</v>
      </c>
      <c r="D85" s="9">
        <v>1</v>
      </c>
      <c r="E85" s="8" t="s">
        <v>77</v>
      </c>
      <c r="F85" s="9">
        <v>6</v>
      </c>
      <c r="G85" s="8"/>
      <c r="H85" s="4" t="s">
        <v>67</v>
      </c>
      <c r="I85" s="4" t="s">
        <v>67</v>
      </c>
      <c r="J85" s="4" t="s">
        <v>41</v>
      </c>
      <c r="K85" s="4" t="s">
        <v>41</v>
      </c>
      <c r="L85" s="10" t="s">
        <v>169</v>
      </c>
    </row>
    <row r="86" spans="1:12" x14ac:dyDescent="0.25">
      <c r="A86" s="11">
        <v>43871</v>
      </c>
      <c r="B86" s="12"/>
      <c r="C86" s="12" t="s">
        <v>60</v>
      </c>
      <c r="D86" s="13">
        <v>1</v>
      </c>
      <c r="E86" s="12" t="s">
        <v>78</v>
      </c>
      <c r="F86" s="13">
        <v>4</v>
      </c>
      <c r="G86" s="12"/>
      <c r="H86" s="5" t="s">
        <v>0</v>
      </c>
      <c r="I86" s="5" t="s">
        <v>64</v>
      </c>
      <c r="J86" s="5" t="s">
        <v>21</v>
      </c>
      <c r="K86" s="5" t="s">
        <v>70</v>
      </c>
      <c r="L86" s="14" t="s">
        <v>170</v>
      </c>
    </row>
    <row r="87" spans="1:12" x14ac:dyDescent="0.25">
      <c r="A87" s="7">
        <v>43871</v>
      </c>
      <c r="B87" s="8"/>
      <c r="C87" s="8" t="s">
        <v>60</v>
      </c>
      <c r="D87" s="9">
        <v>1</v>
      </c>
      <c r="E87" s="8" t="s">
        <v>79</v>
      </c>
      <c r="F87" s="9">
        <v>1</v>
      </c>
      <c r="G87" s="8"/>
      <c r="H87" s="4" t="s">
        <v>1</v>
      </c>
      <c r="I87" s="4" t="s">
        <v>65</v>
      </c>
      <c r="J87" s="4" t="s">
        <v>28</v>
      </c>
      <c r="K87" s="4" t="s">
        <v>73</v>
      </c>
      <c r="L87" s="10" t="s">
        <v>171</v>
      </c>
    </row>
    <row r="88" spans="1:12" x14ac:dyDescent="0.25">
      <c r="A88" s="11">
        <v>43871</v>
      </c>
      <c r="B88" s="12"/>
      <c r="C88" s="12" t="s">
        <v>56</v>
      </c>
      <c r="D88" s="13">
        <v>2</v>
      </c>
      <c r="E88" s="12" t="s">
        <v>80</v>
      </c>
      <c r="F88" s="13">
        <v>8</v>
      </c>
      <c r="G88" s="12"/>
      <c r="H88" s="5" t="s">
        <v>1</v>
      </c>
      <c r="I88" s="5" t="s">
        <v>65</v>
      </c>
      <c r="J88" s="5" t="s">
        <v>28</v>
      </c>
      <c r="K88" s="5" t="s">
        <v>73</v>
      </c>
      <c r="L88" s="14" t="s">
        <v>172</v>
      </c>
    </row>
    <row r="89" spans="1:12" x14ac:dyDescent="0.25">
      <c r="A89" s="7">
        <v>43871</v>
      </c>
      <c r="B89" s="8"/>
      <c r="C89" s="8" t="s">
        <v>56</v>
      </c>
      <c r="D89" s="9">
        <v>2</v>
      </c>
      <c r="E89" s="8" t="s">
        <v>81</v>
      </c>
      <c r="F89" s="9">
        <v>1</v>
      </c>
      <c r="G89" s="8"/>
      <c r="H89" s="4" t="s">
        <v>0</v>
      </c>
      <c r="I89" s="4" t="s">
        <v>64</v>
      </c>
      <c r="J89" s="4" t="s">
        <v>22</v>
      </c>
      <c r="K89" s="4" t="s">
        <v>70</v>
      </c>
      <c r="L89" s="10" t="s">
        <v>173</v>
      </c>
    </row>
    <row r="90" spans="1:12" x14ac:dyDescent="0.25">
      <c r="A90" s="11">
        <v>43871</v>
      </c>
      <c r="B90" s="12"/>
      <c r="C90" s="12" t="s">
        <v>58</v>
      </c>
      <c r="D90" s="13">
        <v>1</v>
      </c>
      <c r="E90" s="12" t="s">
        <v>76</v>
      </c>
      <c r="F90" s="13">
        <v>5</v>
      </c>
      <c r="G90" s="12"/>
      <c r="H90" s="5" t="s">
        <v>0</v>
      </c>
      <c r="I90" s="5" t="s">
        <v>5</v>
      </c>
      <c r="J90" s="5" t="s">
        <v>39</v>
      </c>
      <c r="K90" s="5" t="s">
        <v>69</v>
      </c>
      <c r="L90" s="14" t="s">
        <v>174</v>
      </c>
    </row>
    <row r="91" spans="1:12" x14ac:dyDescent="0.25">
      <c r="A91" s="7">
        <v>43872</v>
      </c>
      <c r="B91" s="8"/>
      <c r="C91" s="8" t="s">
        <v>58</v>
      </c>
      <c r="D91" s="9">
        <v>1</v>
      </c>
      <c r="E91" s="8" t="s">
        <v>76</v>
      </c>
      <c r="F91" s="9">
        <v>48</v>
      </c>
      <c r="G91" s="8"/>
      <c r="H91" s="4" t="s">
        <v>1</v>
      </c>
      <c r="I91" s="4" t="s">
        <v>65</v>
      </c>
      <c r="J91" s="4" t="s">
        <v>27</v>
      </c>
      <c r="K91" s="4" t="s">
        <v>72</v>
      </c>
      <c r="L91" s="10" t="s">
        <v>175</v>
      </c>
    </row>
    <row r="92" spans="1:12" x14ac:dyDescent="0.25">
      <c r="A92" s="11">
        <v>43872</v>
      </c>
      <c r="B92" s="12"/>
      <c r="C92" s="12" t="s">
        <v>58</v>
      </c>
      <c r="D92" s="13">
        <v>1</v>
      </c>
      <c r="E92" s="12" t="s">
        <v>77</v>
      </c>
      <c r="F92" s="13">
        <v>1</v>
      </c>
      <c r="G92" s="12"/>
      <c r="H92" s="5" t="s">
        <v>0</v>
      </c>
      <c r="I92" s="5" t="s">
        <v>64</v>
      </c>
      <c r="J92" s="5" t="s">
        <v>22</v>
      </c>
      <c r="K92" s="5" t="s">
        <v>69</v>
      </c>
      <c r="L92" s="14" t="s">
        <v>176</v>
      </c>
    </row>
    <row r="93" spans="1:12" x14ac:dyDescent="0.25">
      <c r="A93" s="7">
        <v>43872</v>
      </c>
      <c r="B93" s="8"/>
      <c r="C93" s="8" t="s">
        <v>60</v>
      </c>
      <c r="D93" s="9">
        <v>2</v>
      </c>
      <c r="E93" s="8" t="s">
        <v>78</v>
      </c>
      <c r="F93" s="9">
        <v>6</v>
      </c>
      <c r="G93" s="8"/>
      <c r="H93" s="4" t="s">
        <v>1</v>
      </c>
      <c r="I93" s="4" t="s">
        <v>66</v>
      </c>
      <c r="J93" s="4" t="s">
        <v>30</v>
      </c>
      <c r="K93" s="4" t="s">
        <v>73</v>
      </c>
      <c r="L93" s="10" t="s">
        <v>177</v>
      </c>
    </row>
    <row r="94" spans="1:12" x14ac:dyDescent="0.25">
      <c r="A94" s="11">
        <v>43872</v>
      </c>
      <c r="B94" s="12"/>
      <c r="C94" s="12" t="s">
        <v>56</v>
      </c>
      <c r="D94" s="13">
        <v>2</v>
      </c>
      <c r="E94" s="12" t="s">
        <v>81</v>
      </c>
      <c r="F94" s="13">
        <v>58</v>
      </c>
      <c r="G94" s="12"/>
      <c r="H94" s="5" t="s">
        <v>1</v>
      </c>
      <c r="I94" s="5" t="s">
        <v>26</v>
      </c>
      <c r="J94" s="5" t="s">
        <v>25</v>
      </c>
      <c r="K94" s="5" t="s">
        <v>73</v>
      </c>
      <c r="L94" s="14" t="s">
        <v>178</v>
      </c>
    </row>
    <row r="95" spans="1:12" x14ac:dyDescent="0.25">
      <c r="A95" s="7">
        <v>43874</v>
      </c>
      <c r="B95" s="8"/>
      <c r="C95" s="8" t="s">
        <v>60</v>
      </c>
      <c r="D95" s="9">
        <v>1</v>
      </c>
      <c r="E95" s="8" t="s">
        <v>79</v>
      </c>
      <c r="F95" s="9">
        <v>4</v>
      </c>
      <c r="G95" s="8"/>
      <c r="H95" s="4" t="s">
        <v>0</v>
      </c>
      <c r="I95" s="4" t="s">
        <v>5</v>
      </c>
      <c r="J95" s="4" t="s">
        <v>37</v>
      </c>
      <c r="K95" s="4" t="s">
        <v>70</v>
      </c>
      <c r="L95" s="10" t="s">
        <v>179</v>
      </c>
    </row>
    <row r="96" spans="1:12" x14ac:dyDescent="0.25">
      <c r="A96" s="11">
        <v>43874</v>
      </c>
      <c r="B96" s="12"/>
      <c r="C96" s="12" t="s">
        <v>56</v>
      </c>
      <c r="D96" s="13">
        <v>1</v>
      </c>
      <c r="E96" s="12" t="s">
        <v>81</v>
      </c>
      <c r="F96" s="13">
        <v>86</v>
      </c>
      <c r="G96" s="12"/>
      <c r="H96" s="5" t="s">
        <v>0</v>
      </c>
      <c r="I96" s="5" t="s">
        <v>66</v>
      </c>
      <c r="J96" s="5" t="s">
        <v>29</v>
      </c>
      <c r="K96" s="5" t="s">
        <v>69</v>
      </c>
      <c r="L96" s="14" t="s">
        <v>180</v>
      </c>
    </row>
    <row r="97" spans="1:12" x14ac:dyDescent="0.25">
      <c r="A97" s="7">
        <v>43874</v>
      </c>
      <c r="B97" s="8"/>
      <c r="C97" s="8" t="s">
        <v>58</v>
      </c>
      <c r="D97" s="9">
        <v>1</v>
      </c>
      <c r="E97" s="8" t="s">
        <v>76</v>
      </c>
      <c r="F97" s="9">
        <v>5</v>
      </c>
      <c r="G97" s="8"/>
      <c r="H97" s="4" t="s">
        <v>1</v>
      </c>
      <c r="I97" s="4" t="s">
        <v>66</v>
      </c>
      <c r="J97" s="4" t="s">
        <v>35</v>
      </c>
      <c r="K97" s="4" t="s">
        <v>73</v>
      </c>
      <c r="L97" s="10" t="s">
        <v>181</v>
      </c>
    </row>
    <row r="98" spans="1:12" x14ac:dyDescent="0.25">
      <c r="A98" s="11">
        <v>43874</v>
      </c>
      <c r="B98" s="12"/>
      <c r="C98" s="12" t="s">
        <v>58</v>
      </c>
      <c r="D98" s="13">
        <v>2</v>
      </c>
      <c r="E98" s="12" t="s">
        <v>77</v>
      </c>
      <c r="F98" s="13">
        <v>47</v>
      </c>
      <c r="G98" s="12"/>
      <c r="H98" s="5" t="s">
        <v>0</v>
      </c>
      <c r="I98" s="5" t="s">
        <v>2</v>
      </c>
      <c r="J98" s="5" t="s">
        <v>15</v>
      </c>
      <c r="K98" s="5" t="s">
        <v>70</v>
      </c>
      <c r="L98" s="14" t="s">
        <v>182</v>
      </c>
    </row>
    <row r="99" spans="1:12" x14ac:dyDescent="0.25">
      <c r="A99" s="7">
        <v>43875</v>
      </c>
      <c r="B99" s="8"/>
      <c r="C99" s="8" t="s">
        <v>58</v>
      </c>
      <c r="D99" s="9">
        <v>2</v>
      </c>
      <c r="E99" s="8" t="s">
        <v>76</v>
      </c>
      <c r="F99" s="9">
        <v>6</v>
      </c>
      <c r="G99" s="8"/>
      <c r="H99" s="4" t="s">
        <v>1</v>
      </c>
      <c r="I99" s="4" t="s">
        <v>2</v>
      </c>
      <c r="J99" s="4" t="s">
        <v>17</v>
      </c>
      <c r="K99" s="4" t="s">
        <v>72</v>
      </c>
      <c r="L99" s="10" t="s">
        <v>183</v>
      </c>
    </row>
    <row r="100" spans="1:12" x14ac:dyDescent="0.25">
      <c r="A100" s="11">
        <v>43875</v>
      </c>
      <c r="B100" s="12"/>
      <c r="C100" s="12" t="s">
        <v>56</v>
      </c>
      <c r="D100" s="13">
        <v>1</v>
      </c>
      <c r="E100" s="12" t="s">
        <v>80</v>
      </c>
      <c r="F100" s="13">
        <v>8</v>
      </c>
      <c r="G100" s="12"/>
      <c r="H100" s="5" t="s">
        <v>0</v>
      </c>
      <c r="I100" s="5" t="s">
        <v>26</v>
      </c>
      <c r="J100" s="5" t="s">
        <v>26</v>
      </c>
      <c r="K100" s="5" t="s">
        <v>69</v>
      </c>
      <c r="L100" s="14" t="s">
        <v>184</v>
      </c>
    </row>
    <row r="101" spans="1:12" x14ac:dyDescent="0.25">
      <c r="A101" s="7">
        <v>43875</v>
      </c>
      <c r="B101" s="8"/>
      <c r="C101" s="8" t="s">
        <v>60</v>
      </c>
      <c r="D101" s="9">
        <v>2</v>
      </c>
      <c r="E101" s="8" t="s">
        <v>79</v>
      </c>
      <c r="F101" s="9">
        <v>4</v>
      </c>
      <c r="G101" s="8"/>
      <c r="H101" s="4" t="s">
        <v>1</v>
      </c>
      <c r="I101" s="4" t="s">
        <v>66</v>
      </c>
      <c r="J101" s="4" t="s">
        <v>34</v>
      </c>
      <c r="K101" s="4" t="s">
        <v>73</v>
      </c>
      <c r="L101" s="10" t="s">
        <v>185</v>
      </c>
    </row>
    <row r="102" spans="1:12" x14ac:dyDescent="0.25">
      <c r="A102" s="11">
        <v>43875</v>
      </c>
      <c r="B102" s="12"/>
      <c r="C102" s="12" t="s">
        <v>58</v>
      </c>
      <c r="D102" s="13">
        <v>1</v>
      </c>
      <c r="E102" s="12" t="s">
        <v>77</v>
      </c>
      <c r="F102" s="13">
        <v>8</v>
      </c>
      <c r="G102" s="12"/>
      <c r="H102" s="5" t="s">
        <v>67</v>
      </c>
      <c r="I102" s="5" t="s">
        <v>67</v>
      </c>
      <c r="J102" s="5" t="s">
        <v>41</v>
      </c>
      <c r="K102" s="5" t="s">
        <v>41</v>
      </c>
      <c r="L102" s="14" t="s">
        <v>186</v>
      </c>
    </row>
    <row r="103" spans="1:12" x14ac:dyDescent="0.25">
      <c r="A103" s="7">
        <v>43878</v>
      </c>
      <c r="B103" s="8"/>
      <c r="C103" s="8" t="s">
        <v>60</v>
      </c>
      <c r="D103" s="9">
        <v>1</v>
      </c>
      <c r="E103" s="8" t="s">
        <v>78</v>
      </c>
      <c r="F103" s="9">
        <v>4</v>
      </c>
      <c r="G103" s="8"/>
      <c r="H103" s="4" t="s">
        <v>0</v>
      </c>
      <c r="I103" s="4" t="s">
        <v>64</v>
      </c>
      <c r="J103" s="4" t="s">
        <v>21</v>
      </c>
      <c r="K103" s="4" t="s">
        <v>70</v>
      </c>
      <c r="L103" s="10" t="s">
        <v>187</v>
      </c>
    </row>
    <row r="104" spans="1:12" x14ac:dyDescent="0.25">
      <c r="A104" s="11">
        <v>43878</v>
      </c>
      <c r="B104" s="12"/>
      <c r="C104" s="12" t="s">
        <v>60</v>
      </c>
      <c r="D104" s="13">
        <v>1</v>
      </c>
      <c r="E104" s="12" t="s">
        <v>79</v>
      </c>
      <c r="F104" s="13">
        <v>9</v>
      </c>
      <c r="G104" s="12"/>
      <c r="H104" s="5" t="s">
        <v>1</v>
      </c>
      <c r="I104" s="5" t="s">
        <v>65</v>
      </c>
      <c r="J104" s="5" t="s">
        <v>28</v>
      </c>
      <c r="K104" s="5" t="s">
        <v>73</v>
      </c>
      <c r="L104" s="14" t="s">
        <v>188</v>
      </c>
    </row>
    <row r="105" spans="1:12" x14ac:dyDescent="0.25">
      <c r="A105" s="7">
        <v>43878</v>
      </c>
      <c r="B105" s="8"/>
      <c r="C105" s="8" t="s">
        <v>56</v>
      </c>
      <c r="D105" s="9">
        <v>2</v>
      </c>
      <c r="E105" s="8" t="s">
        <v>80</v>
      </c>
      <c r="F105" s="9">
        <v>5</v>
      </c>
      <c r="G105" s="8"/>
      <c r="H105" s="4" t="s">
        <v>1</v>
      </c>
      <c r="I105" s="4" t="s">
        <v>65</v>
      </c>
      <c r="J105" s="4" t="s">
        <v>28</v>
      </c>
      <c r="K105" s="4" t="s">
        <v>73</v>
      </c>
      <c r="L105" s="10" t="s">
        <v>189</v>
      </c>
    </row>
    <row r="106" spans="1:12" x14ac:dyDescent="0.25">
      <c r="A106" s="11">
        <v>43878</v>
      </c>
      <c r="B106" s="12"/>
      <c r="C106" s="12" t="s">
        <v>56</v>
      </c>
      <c r="D106" s="13">
        <v>2</v>
      </c>
      <c r="E106" s="12" t="s">
        <v>81</v>
      </c>
      <c r="F106" s="13">
        <v>25</v>
      </c>
      <c r="G106" s="12"/>
      <c r="H106" s="5" t="s">
        <v>0</v>
      </c>
      <c r="I106" s="5" t="s">
        <v>64</v>
      </c>
      <c r="J106" s="5" t="s">
        <v>22</v>
      </c>
      <c r="K106" s="5" t="s">
        <v>70</v>
      </c>
      <c r="L106" s="14" t="s">
        <v>190</v>
      </c>
    </row>
    <row r="107" spans="1:12" x14ac:dyDescent="0.25">
      <c r="A107" s="7">
        <v>43878</v>
      </c>
      <c r="B107" s="8"/>
      <c r="C107" s="8" t="s">
        <v>58</v>
      </c>
      <c r="D107" s="9">
        <v>1</v>
      </c>
      <c r="E107" s="8" t="s">
        <v>76</v>
      </c>
      <c r="F107" s="9">
        <v>4</v>
      </c>
      <c r="G107" s="8"/>
      <c r="H107" s="4" t="s">
        <v>0</v>
      </c>
      <c r="I107" s="4" t="s">
        <v>5</v>
      </c>
      <c r="J107" s="4" t="s">
        <v>39</v>
      </c>
      <c r="K107" s="4" t="s">
        <v>69</v>
      </c>
      <c r="L107" s="10" t="s">
        <v>191</v>
      </c>
    </row>
    <row r="108" spans="1:12" x14ac:dyDescent="0.25">
      <c r="A108" s="11">
        <v>43879</v>
      </c>
      <c r="B108" s="12"/>
      <c r="C108" s="12" t="s">
        <v>58</v>
      </c>
      <c r="D108" s="13">
        <v>1</v>
      </c>
      <c r="E108" s="12" t="s">
        <v>76</v>
      </c>
      <c r="F108" s="13">
        <v>9</v>
      </c>
      <c r="G108" s="12"/>
      <c r="H108" s="5" t="s">
        <v>1</v>
      </c>
      <c r="I108" s="5" t="s">
        <v>65</v>
      </c>
      <c r="J108" s="5" t="s">
        <v>27</v>
      </c>
      <c r="K108" s="5" t="s">
        <v>72</v>
      </c>
      <c r="L108" s="14" t="s">
        <v>192</v>
      </c>
    </row>
    <row r="109" spans="1:12" x14ac:dyDescent="0.25">
      <c r="A109" s="7">
        <v>43879</v>
      </c>
      <c r="B109" s="8"/>
      <c r="C109" s="8" t="s">
        <v>58</v>
      </c>
      <c r="D109" s="9">
        <v>1</v>
      </c>
      <c r="E109" s="8" t="s">
        <v>77</v>
      </c>
      <c r="F109" s="9">
        <v>8</v>
      </c>
      <c r="G109" s="8"/>
      <c r="H109" s="4" t="s">
        <v>0</v>
      </c>
      <c r="I109" s="4" t="s">
        <v>64</v>
      </c>
      <c r="J109" s="4" t="s">
        <v>22</v>
      </c>
      <c r="K109" s="4" t="s">
        <v>69</v>
      </c>
      <c r="L109" s="10" t="s">
        <v>193</v>
      </c>
    </row>
    <row r="110" spans="1:12" x14ac:dyDescent="0.25">
      <c r="A110" s="11">
        <v>43879</v>
      </c>
      <c r="B110" s="12"/>
      <c r="C110" s="12" t="s">
        <v>60</v>
      </c>
      <c r="D110" s="13">
        <v>2</v>
      </c>
      <c r="E110" s="12" t="s">
        <v>78</v>
      </c>
      <c r="F110" s="13">
        <v>4</v>
      </c>
      <c r="G110" s="12"/>
      <c r="H110" s="5" t="s">
        <v>1</v>
      </c>
      <c r="I110" s="5" t="s">
        <v>66</v>
      </c>
      <c r="J110" s="5" t="s">
        <v>30</v>
      </c>
      <c r="K110" s="5" t="s">
        <v>73</v>
      </c>
      <c r="L110" s="14" t="s">
        <v>194</v>
      </c>
    </row>
    <row r="111" spans="1:12" x14ac:dyDescent="0.25">
      <c r="A111" s="7">
        <v>43879</v>
      </c>
      <c r="B111" s="8"/>
      <c r="C111" s="8" t="s">
        <v>56</v>
      </c>
      <c r="D111" s="9">
        <v>2</v>
      </c>
      <c r="E111" s="8" t="s">
        <v>81</v>
      </c>
      <c r="F111" s="9">
        <v>8</v>
      </c>
      <c r="G111" s="8"/>
      <c r="H111" s="4" t="s">
        <v>1</v>
      </c>
      <c r="I111" s="4" t="s">
        <v>26</v>
      </c>
      <c r="J111" s="4" t="s">
        <v>25</v>
      </c>
      <c r="K111" s="4" t="s">
        <v>73</v>
      </c>
      <c r="L111" s="10" t="s">
        <v>195</v>
      </c>
    </row>
    <row r="112" spans="1:12" x14ac:dyDescent="0.25">
      <c r="A112" s="11">
        <v>43881</v>
      </c>
      <c r="B112" s="12"/>
      <c r="C112" s="12" t="s">
        <v>60</v>
      </c>
      <c r="D112" s="13">
        <v>1</v>
      </c>
      <c r="E112" s="12" t="s">
        <v>79</v>
      </c>
      <c r="F112" s="13">
        <v>6</v>
      </c>
      <c r="G112" s="12"/>
      <c r="H112" s="5" t="s">
        <v>0</v>
      </c>
      <c r="I112" s="5" t="s">
        <v>5</v>
      </c>
      <c r="J112" s="5" t="s">
        <v>37</v>
      </c>
      <c r="K112" s="5" t="s">
        <v>70</v>
      </c>
      <c r="L112" s="14" t="s">
        <v>196</v>
      </c>
    </row>
    <row r="113" spans="1:12" x14ac:dyDescent="0.25">
      <c r="A113" s="7">
        <v>43881</v>
      </c>
      <c r="B113" s="8"/>
      <c r="C113" s="8" t="s">
        <v>56</v>
      </c>
      <c r="D113" s="9">
        <v>1</v>
      </c>
      <c r="E113" s="8" t="s">
        <v>81</v>
      </c>
      <c r="F113" s="9">
        <v>8</v>
      </c>
      <c r="G113" s="8"/>
      <c r="H113" s="4" t="s">
        <v>0</v>
      </c>
      <c r="I113" s="4" t="s">
        <v>66</v>
      </c>
      <c r="J113" s="4" t="s">
        <v>29</v>
      </c>
      <c r="K113" s="4" t="s">
        <v>69</v>
      </c>
      <c r="L113" s="10" t="s">
        <v>197</v>
      </c>
    </row>
    <row r="114" spans="1:12" x14ac:dyDescent="0.25">
      <c r="A114" s="11">
        <v>43881</v>
      </c>
      <c r="B114" s="12"/>
      <c r="C114" s="12" t="s">
        <v>58</v>
      </c>
      <c r="D114" s="13">
        <v>1</v>
      </c>
      <c r="E114" s="12" t="s">
        <v>76</v>
      </c>
      <c r="F114" s="13">
        <v>5</v>
      </c>
      <c r="G114" s="12"/>
      <c r="H114" s="5" t="s">
        <v>1</v>
      </c>
      <c r="I114" s="5" t="s">
        <v>66</v>
      </c>
      <c r="J114" s="5" t="s">
        <v>35</v>
      </c>
      <c r="K114" s="5" t="s">
        <v>73</v>
      </c>
      <c r="L114" s="14" t="s">
        <v>198</v>
      </c>
    </row>
    <row r="115" spans="1:12" x14ac:dyDescent="0.25">
      <c r="A115" s="7">
        <v>43881</v>
      </c>
      <c r="B115" s="8"/>
      <c r="C115" s="8" t="s">
        <v>58</v>
      </c>
      <c r="D115" s="9">
        <v>2</v>
      </c>
      <c r="E115" s="8" t="s">
        <v>77</v>
      </c>
      <c r="F115" s="9">
        <v>5</v>
      </c>
      <c r="G115" s="8"/>
      <c r="H115" s="4" t="s">
        <v>0</v>
      </c>
      <c r="I115" s="4" t="s">
        <v>2</v>
      </c>
      <c r="J115" s="4" t="s">
        <v>15</v>
      </c>
      <c r="K115" s="4" t="s">
        <v>70</v>
      </c>
      <c r="L115" s="10" t="s">
        <v>199</v>
      </c>
    </row>
    <row r="116" spans="1:12" x14ac:dyDescent="0.25">
      <c r="A116" s="11">
        <v>43882</v>
      </c>
      <c r="B116" s="12"/>
      <c r="C116" s="12" t="s">
        <v>58</v>
      </c>
      <c r="D116" s="13">
        <v>2</v>
      </c>
      <c r="E116" s="12" t="s">
        <v>76</v>
      </c>
      <c r="F116" s="13">
        <v>7</v>
      </c>
      <c r="G116" s="12"/>
      <c r="H116" s="5" t="s">
        <v>1</v>
      </c>
      <c r="I116" s="5" t="s">
        <v>2</v>
      </c>
      <c r="J116" s="5" t="s">
        <v>17</v>
      </c>
      <c r="K116" s="5" t="s">
        <v>72</v>
      </c>
      <c r="L116" s="14" t="s">
        <v>200</v>
      </c>
    </row>
    <row r="117" spans="1:12" x14ac:dyDescent="0.25">
      <c r="A117" s="7">
        <v>43882</v>
      </c>
      <c r="B117" s="8"/>
      <c r="C117" s="8" t="s">
        <v>56</v>
      </c>
      <c r="D117" s="9">
        <v>1</v>
      </c>
      <c r="E117" s="8" t="s">
        <v>80</v>
      </c>
      <c r="F117" s="9">
        <v>5</v>
      </c>
      <c r="G117" s="8"/>
      <c r="H117" s="4" t="s">
        <v>0</v>
      </c>
      <c r="I117" s="4" t="s">
        <v>26</v>
      </c>
      <c r="J117" s="4" t="s">
        <v>26</v>
      </c>
      <c r="K117" s="4" t="s">
        <v>69</v>
      </c>
      <c r="L117" s="10" t="s">
        <v>201</v>
      </c>
    </row>
    <row r="118" spans="1:12" x14ac:dyDescent="0.25">
      <c r="A118" s="11">
        <v>43882</v>
      </c>
      <c r="B118" s="12"/>
      <c r="C118" s="12" t="s">
        <v>60</v>
      </c>
      <c r="D118" s="13">
        <v>2</v>
      </c>
      <c r="E118" s="12" t="s">
        <v>79</v>
      </c>
      <c r="F118" s="13">
        <v>8</v>
      </c>
      <c r="G118" s="12"/>
      <c r="H118" s="5" t="s">
        <v>1</v>
      </c>
      <c r="I118" s="5" t="s">
        <v>66</v>
      </c>
      <c r="J118" s="5" t="s">
        <v>34</v>
      </c>
      <c r="K118" s="5" t="s">
        <v>73</v>
      </c>
      <c r="L118" s="14" t="s">
        <v>202</v>
      </c>
    </row>
    <row r="119" spans="1:12" x14ac:dyDescent="0.25">
      <c r="A119" s="7">
        <v>43882</v>
      </c>
      <c r="B119" s="8"/>
      <c r="C119" s="8" t="s">
        <v>58</v>
      </c>
      <c r="D119" s="9">
        <v>1</v>
      </c>
      <c r="E119" s="8" t="s">
        <v>77</v>
      </c>
      <c r="F119" s="9">
        <v>5</v>
      </c>
      <c r="G119" s="8"/>
      <c r="H119" s="4" t="s">
        <v>67</v>
      </c>
      <c r="I119" s="4" t="s">
        <v>67</v>
      </c>
      <c r="J119" s="4" t="s">
        <v>41</v>
      </c>
      <c r="K119" s="4" t="s">
        <v>41</v>
      </c>
      <c r="L119" s="10" t="s">
        <v>203</v>
      </c>
    </row>
    <row r="120" spans="1:12" x14ac:dyDescent="0.25">
      <c r="A120" s="11">
        <v>43885</v>
      </c>
      <c r="B120" s="12"/>
      <c r="C120" s="12" t="s">
        <v>60</v>
      </c>
      <c r="D120" s="13">
        <v>1</v>
      </c>
      <c r="E120" s="12" t="s">
        <v>78</v>
      </c>
      <c r="F120" s="13">
        <v>4</v>
      </c>
      <c r="G120" s="12"/>
      <c r="H120" s="5" t="s">
        <v>0</v>
      </c>
      <c r="I120" s="5" t="s">
        <v>64</v>
      </c>
      <c r="J120" s="5" t="s">
        <v>21</v>
      </c>
      <c r="K120" s="5" t="s">
        <v>70</v>
      </c>
      <c r="L120" s="14" t="s">
        <v>204</v>
      </c>
    </row>
    <row r="121" spans="1:12" x14ac:dyDescent="0.25">
      <c r="A121" s="7">
        <v>43885</v>
      </c>
      <c r="B121" s="8"/>
      <c r="C121" s="8" t="s">
        <v>60</v>
      </c>
      <c r="D121" s="9">
        <v>1</v>
      </c>
      <c r="E121" s="8" t="s">
        <v>79</v>
      </c>
      <c r="F121" s="9">
        <v>9</v>
      </c>
      <c r="G121" s="8"/>
      <c r="H121" s="4" t="s">
        <v>1</v>
      </c>
      <c r="I121" s="4" t="s">
        <v>65</v>
      </c>
      <c r="J121" s="4" t="s">
        <v>28</v>
      </c>
      <c r="K121" s="4" t="s">
        <v>73</v>
      </c>
      <c r="L121" s="10" t="s">
        <v>205</v>
      </c>
    </row>
    <row r="122" spans="1:12" x14ac:dyDescent="0.25">
      <c r="A122" s="11">
        <v>43885</v>
      </c>
      <c r="B122" s="12"/>
      <c r="C122" s="12" t="s">
        <v>56</v>
      </c>
      <c r="D122" s="13">
        <v>2</v>
      </c>
      <c r="E122" s="12" t="s">
        <v>80</v>
      </c>
      <c r="F122" s="13">
        <v>6</v>
      </c>
      <c r="G122" s="12"/>
      <c r="H122" s="5" t="s">
        <v>1</v>
      </c>
      <c r="I122" s="5" t="s">
        <v>65</v>
      </c>
      <c r="J122" s="5" t="s">
        <v>28</v>
      </c>
      <c r="K122" s="5" t="s">
        <v>73</v>
      </c>
      <c r="L122" s="14" t="s">
        <v>206</v>
      </c>
    </row>
    <row r="123" spans="1:12" x14ac:dyDescent="0.25">
      <c r="A123" s="7">
        <v>43885</v>
      </c>
      <c r="B123" s="8"/>
      <c r="C123" s="8" t="s">
        <v>56</v>
      </c>
      <c r="D123" s="9">
        <v>2</v>
      </c>
      <c r="E123" s="8" t="s">
        <v>81</v>
      </c>
      <c r="F123" s="9">
        <v>5</v>
      </c>
      <c r="G123" s="8"/>
      <c r="H123" s="4" t="s">
        <v>0</v>
      </c>
      <c r="I123" s="4" t="s">
        <v>64</v>
      </c>
      <c r="J123" s="4" t="s">
        <v>22</v>
      </c>
      <c r="K123" s="4" t="s">
        <v>70</v>
      </c>
      <c r="L123" s="10" t="s">
        <v>207</v>
      </c>
    </row>
    <row r="124" spans="1:12" x14ac:dyDescent="0.25">
      <c r="A124" s="11">
        <v>43885</v>
      </c>
      <c r="B124" s="12"/>
      <c r="C124" s="12" t="s">
        <v>58</v>
      </c>
      <c r="D124" s="13">
        <v>1</v>
      </c>
      <c r="E124" s="12" t="s">
        <v>76</v>
      </c>
      <c r="F124" s="13">
        <v>78</v>
      </c>
      <c r="G124" s="12"/>
      <c r="H124" s="5" t="s">
        <v>0</v>
      </c>
      <c r="I124" s="5" t="s">
        <v>5</v>
      </c>
      <c r="J124" s="5" t="s">
        <v>39</v>
      </c>
      <c r="K124" s="5" t="s">
        <v>69</v>
      </c>
      <c r="L124" s="14" t="s">
        <v>208</v>
      </c>
    </row>
    <row r="125" spans="1:12" x14ac:dyDescent="0.25">
      <c r="A125" s="7">
        <v>43886</v>
      </c>
      <c r="B125" s="8"/>
      <c r="C125" s="8" t="s">
        <v>58</v>
      </c>
      <c r="D125" s="9">
        <v>1</v>
      </c>
      <c r="E125" s="8" t="s">
        <v>76</v>
      </c>
      <c r="F125" s="9">
        <v>5</v>
      </c>
      <c r="G125" s="8"/>
      <c r="H125" s="4" t="s">
        <v>1</v>
      </c>
      <c r="I125" s="4" t="s">
        <v>65</v>
      </c>
      <c r="J125" s="4" t="s">
        <v>27</v>
      </c>
      <c r="K125" s="4" t="s">
        <v>72</v>
      </c>
      <c r="L125" s="10" t="s">
        <v>209</v>
      </c>
    </row>
    <row r="126" spans="1:12" x14ac:dyDescent="0.25">
      <c r="A126" s="11">
        <v>43886</v>
      </c>
      <c r="B126" s="12"/>
      <c r="C126" s="12" t="s">
        <v>58</v>
      </c>
      <c r="D126" s="13">
        <v>1</v>
      </c>
      <c r="E126" s="12" t="s">
        <v>77</v>
      </c>
      <c r="F126" s="13">
        <v>2</v>
      </c>
      <c r="G126" s="12"/>
      <c r="H126" s="5" t="s">
        <v>0</v>
      </c>
      <c r="I126" s="5" t="s">
        <v>64</v>
      </c>
      <c r="J126" s="5" t="s">
        <v>22</v>
      </c>
      <c r="K126" s="5" t="s">
        <v>69</v>
      </c>
      <c r="L126" s="14" t="s">
        <v>210</v>
      </c>
    </row>
    <row r="127" spans="1:12" x14ac:dyDescent="0.25">
      <c r="A127" s="7">
        <v>43886</v>
      </c>
      <c r="B127" s="8"/>
      <c r="C127" s="8" t="s">
        <v>60</v>
      </c>
      <c r="D127" s="9">
        <v>2</v>
      </c>
      <c r="E127" s="8" t="s">
        <v>78</v>
      </c>
      <c r="F127" s="9">
        <v>98</v>
      </c>
      <c r="G127" s="8"/>
      <c r="H127" s="4" t="s">
        <v>1</v>
      </c>
      <c r="I127" s="4" t="s">
        <v>66</v>
      </c>
      <c r="J127" s="4" t="s">
        <v>30</v>
      </c>
      <c r="K127" s="4" t="s">
        <v>73</v>
      </c>
      <c r="L127" s="10" t="s">
        <v>211</v>
      </c>
    </row>
    <row r="128" spans="1:12" x14ac:dyDescent="0.25">
      <c r="A128" s="11">
        <v>43886</v>
      </c>
      <c r="B128" s="12"/>
      <c r="C128" s="12" t="s">
        <v>56</v>
      </c>
      <c r="D128" s="13">
        <v>2</v>
      </c>
      <c r="E128" s="12" t="s">
        <v>81</v>
      </c>
      <c r="F128" s="13">
        <v>45</v>
      </c>
      <c r="G128" s="12"/>
      <c r="H128" s="5" t="s">
        <v>1</v>
      </c>
      <c r="I128" s="5" t="s">
        <v>26</v>
      </c>
      <c r="J128" s="5" t="s">
        <v>25</v>
      </c>
      <c r="K128" s="5" t="s">
        <v>73</v>
      </c>
      <c r="L128" s="14" t="s">
        <v>212</v>
      </c>
    </row>
    <row r="129" spans="1:12" x14ac:dyDescent="0.25">
      <c r="A129" s="7">
        <v>43888</v>
      </c>
      <c r="B129" s="8"/>
      <c r="C129" s="8" t="s">
        <v>60</v>
      </c>
      <c r="D129" s="9">
        <v>1</v>
      </c>
      <c r="E129" s="8" t="s">
        <v>79</v>
      </c>
      <c r="F129" s="9">
        <v>5</v>
      </c>
      <c r="G129" s="8"/>
      <c r="H129" s="4" t="s">
        <v>0</v>
      </c>
      <c r="I129" s="4" t="s">
        <v>5</v>
      </c>
      <c r="J129" s="4" t="s">
        <v>37</v>
      </c>
      <c r="K129" s="4" t="s">
        <v>70</v>
      </c>
      <c r="L129" s="10" t="s">
        <v>213</v>
      </c>
    </row>
    <row r="130" spans="1:12" x14ac:dyDescent="0.25">
      <c r="A130" s="11">
        <v>43888</v>
      </c>
      <c r="B130" s="12"/>
      <c r="C130" s="12" t="s">
        <v>56</v>
      </c>
      <c r="D130" s="13">
        <v>1</v>
      </c>
      <c r="E130" s="12" t="s">
        <v>81</v>
      </c>
      <c r="F130" s="13">
        <v>9</v>
      </c>
      <c r="G130" s="12"/>
      <c r="H130" s="5" t="s">
        <v>0</v>
      </c>
      <c r="I130" s="5" t="s">
        <v>66</v>
      </c>
      <c r="J130" s="5" t="s">
        <v>29</v>
      </c>
      <c r="K130" s="5" t="s">
        <v>69</v>
      </c>
      <c r="L130" s="14" t="s">
        <v>214</v>
      </c>
    </row>
    <row r="131" spans="1:12" x14ac:dyDescent="0.25">
      <c r="A131" s="7">
        <v>43888</v>
      </c>
      <c r="B131" s="8"/>
      <c r="C131" s="8" t="s">
        <v>58</v>
      </c>
      <c r="D131" s="9">
        <v>1</v>
      </c>
      <c r="E131" s="8" t="s">
        <v>76</v>
      </c>
      <c r="F131" s="9">
        <v>45</v>
      </c>
      <c r="G131" s="8"/>
      <c r="H131" s="4" t="s">
        <v>1</v>
      </c>
      <c r="I131" s="4" t="s">
        <v>66</v>
      </c>
      <c r="J131" s="4" t="s">
        <v>35</v>
      </c>
      <c r="K131" s="4" t="s">
        <v>73</v>
      </c>
      <c r="L131" s="10" t="s">
        <v>215</v>
      </c>
    </row>
    <row r="132" spans="1:12" x14ac:dyDescent="0.25">
      <c r="A132" s="11">
        <v>43888</v>
      </c>
      <c r="B132" s="12"/>
      <c r="C132" s="12" t="s">
        <v>58</v>
      </c>
      <c r="D132" s="13">
        <v>2</v>
      </c>
      <c r="E132" s="12" t="s">
        <v>77</v>
      </c>
      <c r="F132" s="13">
        <v>56</v>
      </c>
      <c r="G132" s="12"/>
      <c r="H132" s="5" t="s">
        <v>0</v>
      </c>
      <c r="I132" s="5" t="s">
        <v>2</v>
      </c>
      <c r="J132" s="5" t="s">
        <v>15</v>
      </c>
      <c r="K132" s="5" t="s">
        <v>70</v>
      </c>
      <c r="L132" s="14" t="s">
        <v>216</v>
      </c>
    </row>
    <row r="133" spans="1:12" x14ac:dyDescent="0.25">
      <c r="A133" s="7">
        <v>43889</v>
      </c>
      <c r="B133" s="8"/>
      <c r="C133" s="8" t="s">
        <v>58</v>
      </c>
      <c r="D133" s="9">
        <v>2</v>
      </c>
      <c r="E133" s="8" t="s">
        <v>76</v>
      </c>
      <c r="F133" s="9">
        <v>9</v>
      </c>
      <c r="G133" s="8"/>
      <c r="H133" s="4" t="s">
        <v>1</v>
      </c>
      <c r="I133" s="4" t="s">
        <v>2</v>
      </c>
      <c r="J133" s="4" t="s">
        <v>17</v>
      </c>
      <c r="K133" s="4" t="s">
        <v>72</v>
      </c>
      <c r="L133" s="10" t="s">
        <v>217</v>
      </c>
    </row>
    <row r="134" spans="1:12" x14ac:dyDescent="0.25">
      <c r="A134" s="11">
        <v>43889</v>
      </c>
      <c r="B134" s="12"/>
      <c r="C134" s="12" t="s">
        <v>56</v>
      </c>
      <c r="D134" s="13">
        <v>1</v>
      </c>
      <c r="E134" s="12" t="s">
        <v>80</v>
      </c>
      <c r="F134" s="13">
        <v>9</v>
      </c>
      <c r="G134" s="12"/>
      <c r="H134" s="5" t="s">
        <v>0</v>
      </c>
      <c r="I134" s="5" t="s">
        <v>26</v>
      </c>
      <c r="J134" s="5" t="s">
        <v>26</v>
      </c>
      <c r="K134" s="5" t="s">
        <v>69</v>
      </c>
      <c r="L134" s="14" t="s">
        <v>218</v>
      </c>
    </row>
    <row r="135" spans="1:12" x14ac:dyDescent="0.25">
      <c r="A135" s="7">
        <v>43889</v>
      </c>
      <c r="B135" s="8"/>
      <c r="C135" s="8" t="s">
        <v>60</v>
      </c>
      <c r="D135" s="9">
        <v>2</v>
      </c>
      <c r="E135" s="8" t="s">
        <v>79</v>
      </c>
      <c r="F135" s="9">
        <v>6</v>
      </c>
      <c r="G135" s="8"/>
      <c r="H135" s="4" t="s">
        <v>1</v>
      </c>
      <c r="I135" s="4" t="s">
        <v>66</v>
      </c>
      <c r="J135" s="4" t="s">
        <v>34</v>
      </c>
      <c r="K135" s="4" t="s">
        <v>73</v>
      </c>
      <c r="L135" s="10" t="s">
        <v>219</v>
      </c>
    </row>
    <row r="136" spans="1:12" x14ac:dyDescent="0.25">
      <c r="A136" s="11">
        <v>43889</v>
      </c>
      <c r="B136" s="12"/>
      <c r="C136" s="12" t="s">
        <v>58</v>
      </c>
      <c r="D136" s="13">
        <v>1</v>
      </c>
      <c r="E136" s="12" t="s">
        <v>77</v>
      </c>
      <c r="F136" s="13">
        <v>4</v>
      </c>
      <c r="G136" s="12"/>
      <c r="H136" s="5" t="s">
        <v>67</v>
      </c>
      <c r="I136" s="5" t="s">
        <v>67</v>
      </c>
      <c r="J136" s="5" t="s">
        <v>41</v>
      </c>
      <c r="K136" s="5" t="s">
        <v>41</v>
      </c>
      <c r="L136" s="14" t="s">
        <v>220</v>
      </c>
    </row>
    <row r="137" spans="1:12" x14ac:dyDescent="0.25">
      <c r="A137" s="7">
        <v>43892</v>
      </c>
      <c r="B137" s="8"/>
      <c r="C137" s="8" t="s">
        <v>60</v>
      </c>
      <c r="D137" s="9">
        <v>1</v>
      </c>
      <c r="E137" s="8" t="s">
        <v>78</v>
      </c>
      <c r="F137" s="9">
        <v>8</v>
      </c>
      <c r="G137" s="8"/>
      <c r="H137" s="4" t="s">
        <v>0</v>
      </c>
      <c r="I137" s="4" t="s">
        <v>64</v>
      </c>
      <c r="J137" s="4" t="s">
        <v>21</v>
      </c>
      <c r="K137" s="4" t="s">
        <v>70</v>
      </c>
      <c r="L137" s="10" t="s">
        <v>221</v>
      </c>
    </row>
    <row r="138" spans="1:12" x14ac:dyDescent="0.25">
      <c r="A138" s="11">
        <v>43892</v>
      </c>
      <c r="B138" s="12"/>
      <c r="C138" s="12" t="s">
        <v>60</v>
      </c>
      <c r="D138" s="13">
        <v>1</v>
      </c>
      <c r="E138" s="12" t="s">
        <v>79</v>
      </c>
      <c r="F138" s="13">
        <v>5</v>
      </c>
      <c r="G138" s="12"/>
      <c r="H138" s="5" t="s">
        <v>1</v>
      </c>
      <c r="I138" s="5" t="s">
        <v>65</v>
      </c>
      <c r="J138" s="5" t="s">
        <v>28</v>
      </c>
      <c r="K138" s="5" t="s">
        <v>73</v>
      </c>
      <c r="L138" s="14" t="s">
        <v>222</v>
      </c>
    </row>
    <row r="139" spans="1:12" x14ac:dyDescent="0.25">
      <c r="A139" s="7">
        <v>43892</v>
      </c>
      <c r="B139" s="8"/>
      <c r="C139" s="8" t="s">
        <v>56</v>
      </c>
      <c r="D139" s="9">
        <v>2</v>
      </c>
      <c r="E139" s="8" t="s">
        <v>80</v>
      </c>
      <c r="F139" s="9">
        <v>4</v>
      </c>
      <c r="G139" s="8"/>
      <c r="H139" s="4" t="s">
        <v>1</v>
      </c>
      <c r="I139" s="4" t="s">
        <v>65</v>
      </c>
      <c r="J139" s="4" t="s">
        <v>28</v>
      </c>
      <c r="K139" s="4" t="s">
        <v>73</v>
      </c>
      <c r="L139" s="10" t="s">
        <v>223</v>
      </c>
    </row>
    <row r="140" spans="1:12" x14ac:dyDescent="0.25">
      <c r="A140" s="11">
        <v>43892</v>
      </c>
      <c r="B140" s="12"/>
      <c r="C140" s="12" t="s">
        <v>56</v>
      </c>
      <c r="D140" s="13">
        <v>2</v>
      </c>
      <c r="E140" s="12" t="s">
        <v>81</v>
      </c>
      <c r="F140" s="13">
        <v>69</v>
      </c>
      <c r="G140" s="12"/>
      <c r="H140" s="5" t="s">
        <v>0</v>
      </c>
      <c r="I140" s="5" t="s">
        <v>64</v>
      </c>
      <c r="J140" s="5" t="s">
        <v>22</v>
      </c>
      <c r="K140" s="5" t="s">
        <v>70</v>
      </c>
      <c r="L140" s="14" t="s">
        <v>224</v>
      </c>
    </row>
    <row r="141" spans="1:12" x14ac:dyDescent="0.25">
      <c r="A141" s="7">
        <v>43892</v>
      </c>
      <c r="B141" s="8"/>
      <c r="C141" s="8" t="s">
        <v>58</v>
      </c>
      <c r="D141" s="9">
        <v>1</v>
      </c>
      <c r="E141" s="8" t="s">
        <v>76</v>
      </c>
      <c r="F141" s="9">
        <v>9</v>
      </c>
      <c r="G141" s="8"/>
      <c r="H141" s="4" t="s">
        <v>0</v>
      </c>
      <c r="I141" s="4" t="s">
        <v>5</v>
      </c>
      <c r="J141" s="4" t="s">
        <v>39</v>
      </c>
      <c r="K141" s="4" t="s">
        <v>69</v>
      </c>
      <c r="L141" s="10" t="s">
        <v>225</v>
      </c>
    </row>
    <row r="142" spans="1:12" x14ac:dyDescent="0.25">
      <c r="A142" s="11">
        <v>43893</v>
      </c>
      <c r="B142" s="12"/>
      <c r="C142" s="12" t="s">
        <v>58</v>
      </c>
      <c r="D142" s="13">
        <v>1</v>
      </c>
      <c r="E142" s="12" t="s">
        <v>76</v>
      </c>
      <c r="F142" s="13">
        <v>58</v>
      </c>
      <c r="G142" s="12"/>
      <c r="H142" s="5" t="s">
        <v>1</v>
      </c>
      <c r="I142" s="5" t="s">
        <v>65</v>
      </c>
      <c r="J142" s="5" t="s">
        <v>27</v>
      </c>
      <c r="K142" s="5" t="s">
        <v>72</v>
      </c>
      <c r="L142" s="14" t="s">
        <v>226</v>
      </c>
    </row>
    <row r="143" spans="1:12" x14ac:dyDescent="0.25">
      <c r="A143" s="7">
        <v>43893</v>
      </c>
      <c r="B143" s="8"/>
      <c r="C143" s="8" t="s">
        <v>58</v>
      </c>
      <c r="D143" s="9">
        <v>1</v>
      </c>
      <c r="E143" s="8" t="s">
        <v>77</v>
      </c>
      <c r="F143" s="9">
        <v>5</v>
      </c>
      <c r="G143" s="8"/>
      <c r="H143" s="4" t="s">
        <v>0</v>
      </c>
      <c r="I143" s="4" t="s">
        <v>64</v>
      </c>
      <c r="J143" s="4" t="s">
        <v>22</v>
      </c>
      <c r="K143" s="4" t="s">
        <v>69</v>
      </c>
      <c r="L143" s="10" t="s">
        <v>227</v>
      </c>
    </row>
    <row r="144" spans="1:12" x14ac:dyDescent="0.25">
      <c r="A144" s="11">
        <v>43893</v>
      </c>
      <c r="B144" s="12"/>
      <c r="C144" s="12" t="s">
        <v>60</v>
      </c>
      <c r="D144" s="13">
        <v>2</v>
      </c>
      <c r="E144" s="12" t="s">
        <v>78</v>
      </c>
      <c r="F144" s="13">
        <v>89</v>
      </c>
      <c r="G144" s="12"/>
      <c r="H144" s="5" t="s">
        <v>1</v>
      </c>
      <c r="I144" s="5" t="s">
        <v>66</v>
      </c>
      <c r="J144" s="5" t="s">
        <v>30</v>
      </c>
      <c r="K144" s="5" t="s">
        <v>73</v>
      </c>
      <c r="L144" s="14" t="s">
        <v>228</v>
      </c>
    </row>
    <row r="145" spans="1:12" x14ac:dyDescent="0.25">
      <c r="A145" s="7">
        <v>43893</v>
      </c>
      <c r="B145" s="8"/>
      <c r="C145" s="8" t="s">
        <v>56</v>
      </c>
      <c r="D145" s="9">
        <v>2</v>
      </c>
      <c r="E145" s="8" t="s">
        <v>81</v>
      </c>
      <c r="F145" s="9">
        <v>5</v>
      </c>
      <c r="G145" s="8"/>
      <c r="H145" s="4" t="s">
        <v>1</v>
      </c>
      <c r="I145" s="4" t="s">
        <v>26</v>
      </c>
      <c r="J145" s="4" t="s">
        <v>25</v>
      </c>
      <c r="K145" s="4" t="s">
        <v>73</v>
      </c>
      <c r="L145" s="10" t="s">
        <v>229</v>
      </c>
    </row>
    <row r="146" spans="1:12" x14ac:dyDescent="0.25">
      <c r="A146" s="11">
        <v>43895</v>
      </c>
      <c r="B146" s="12"/>
      <c r="C146" s="12" t="s">
        <v>60</v>
      </c>
      <c r="D146" s="13">
        <v>1</v>
      </c>
      <c r="E146" s="12" t="s">
        <v>79</v>
      </c>
      <c r="F146" s="13">
        <v>5</v>
      </c>
      <c r="G146" s="12"/>
      <c r="H146" s="5" t="s">
        <v>0</v>
      </c>
      <c r="I146" s="5" t="s">
        <v>5</v>
      </c>
      <c r="J146" s="5" t="s">
        <v>37</v>
      </c>
      <c r="K146" s="5" t="s">
        <v>70</v>
      </c>
      <c r="L146" s="14" t="s">
        <v>230</v>
      </c>
    </row>
    <row r="147" spans="1:12" x14ac:dyDescent="0.25">
      <c r="A147" s="7">
        <v>43895</v>
      </c>
      <c r="B147" s="8"/>
      <c r="C147" s="8" t="s">
        <v>56</v>
      </c>
      <c r="D147" s="9">
        <v>1</v>
      </c>
      <c r="E147" s="8" t="s">
        <v>81</v>
      </c>
      <c r="F147" s="9">
        <v>1</v>
      </c>
      <c r="G147" s="8"/>
      <c r="H147" s="4" t="s">
        <v>0</v>
      </c>
      <c r="I147" s="4" t="s">
        <v>66</v>
      </c>
      <c r="J147" s="4" t="s">
        <v>29</v>
      </c>
      <c r="K147" s="4" t="s">
        <v>69</v>
      </c>
      <c r="L147" s="10" t="s">
        <v>231</v>
      </c>
    </row>
    <row r="148" spans="1:12" x14ac:dyDescent="0.25">
      <c r="A148" s="11">
        <v>43895</v>
      </c>
      <c r="B148" s="12"/>
      <c r="C148" s="12" t="s">
        <v>58</v>
      </c>
      <c r="D148" s="13">
        <v>1</v>
      </c>
      <c r="E148" s="12" t="s">
        <v>76</v>
      </c>
      <c r="F148" s="13">
        <v>21</v>
      </c>
      <c r="G148" s="12"/>
      <c r="H148" s="5" t="s">
        <v>1</v>
      </c>
      <c r="I148" s="5" t="s">
        <v>66</v>
      </c>
      <c r="J148" s="5" t="s">
        <v>35</v>
      </c>
      <c r="K148" s="5" t="s">
        <v>73</v>
      </c>
      <c r="L148" s="14" t="s">
        <v>232</v>
      </c>
    </row>
    <row r="149" spans="1:12" x14ac:dyDescent="0.25">
      <c r="A149" s="7">
        <v>43895</v>
      </c>
      <c r="B149" s="8"/>
      <c r="C149" s="8" t="s">
        <v>58</v>
      </c>
      <c r="D149" s="9">
        <v>2</v>
      </c>
      <c r="E149" s="8" t="s">
        <v>77</v>
      </c>
      <c r="F149" s="9">
        <v>4</v>
      </c>
      <c r="G149" s="8"/>
      <c r="H149" s="4" t="s">
        <v>0</v>
      </c>
      <c r="I149" s="4" t="s">
        <v>2</v>
      </c>
      <c r="J149" s="4" t="s">
        <v>15</v>
      </c>
      <c r="K149" s="4" t="s">
        <v>70</v>
      </c>
      <c r="L149" s="10" t="s">
        <v>233</v>
      </c>
    </row>
    <row r="150" spans="1:12" x14ac:dyDescent="0.25">
      <c r="A150" s="11">
        <v>43896</v>
      </c>
      <c r="B150" s="12"/>
      <c r="C150" s="12" t="s">
        <v>58</v>
      </c>
      <c r="D150" s="13">
        <v>2</v>
      </c>
      <c r="E150" s="12" t="s">
        <v>76</v>
      </c>
      <c r="F150" s="13">
        <v>56</v>
      </c>
      <c r="G150" s="12"/>
      <c r="H150" s="5" t="s">
        <v>1</v>
      </c>
      <c r="I150" s="5" t="s">
        <v>2</v>
      </c>
      <c r="J150" s="5" t="s">
        <v>17</v>
      </c>
      <c r="K150" s="5" t="s">
        <v>72</v>
      </c>
      <c r="L150" s="14" t="s">
        <v>234</v>
      </c>
    </row>
    <row r="151" spans="1:12" x14ac:dyDescent="0.25">
      <c r="A151" s="7">
        <v>43896</v>
      </c>
      <c r="B151" s="8"/>
      <c r="C151" s="8" t="s">
        <v>56</v>
      </c>
      <c r="D151" s="9">
        <v>1</v>
      </c>
      <c r="E151" s="8" t="s">
        <v>80</v>
      </c>
      <c r="F151" s="9">
        <v>9</v>
      </c>
      <c r="G151" s="8"/>
      <c r="H151" s="4" t="s">
        <v>0</v>
      </c>
      <c r="I151" s="4" t="s">
        <v>26</v>
      </c>
      <c r="J151" s="4" t="s">
        <v>26</v>
      </c>
      <c r="K151" s="4" t="s">
        <v>69</v>
      </c>
      <c r="L151" s="10" t="s">
        <v>235</v>
      </c>
    </row>
    <row r="152" spans="1:12" x14ac:dyDescent="0.25">
      <c r="A152" s="11">
        <v>43896</v>
      </c>
      <c r="B152" s="12"/>
      <c r="C152" s="12" t="s">
        <v>60</v>
      </c>
      <c r="D152" s="13">
        <v>2</v>
      </c>
      <c r="E152" s="12" t="s">
        <v>79</v>
      </c>
      <c r="F152" s="13">
        <v>9</v>
      </c>
      <c r="G152" s="12"/>
      <c r="H152" s="5" t="s">
        <v>1</v>
      </c>
      <c r="I152" s="5" t="s">
        <v>66</v>
      </c>
      <c r="J152" s="5" t="s">
        <v>34</v>
      </c>
      <c r="K152" s="5" t="s">
        <v>73</v>
      </c>
      <c r="L152" s="14" t="s">
        <v>236</v>
      </c>
    </row>
    <row r="153" spans="1:12" x14ac:dyDescent="0.25">
      <c r="A153" s="7">
        <v>43896</v>
      </c>
      <c r="B153" s="8"/>
      <c r="C153" s="8" t="s">
        <v>58</v>
      </c>
      <c r="D153" s="9">
        <v>1</v>
      </c>
      <c r="E153" s="8" t="s">
        <v>77</v>
      </c>
      <c r="F153" s="9">
        <v>8</v>
      </c>
      <c r="G153" s="8"/>
      <c r="H153" s="4" t="s">
        <v>67</v>
      </c>
      <c r="I153" s="4" t="s">
        <v>67</v>
      </c>
      <c r="J153" s="4" t="s">
        <v>41</v>
      </c>
      <c r="K153" s="4" t="s">
        <v>41</v>
      </c>
      <c r="L153" s="10" t="s">
        <v>237</v>
      </c>
    </row>
    <row r="154" spans="1:12" x14ac:dyDescent="0.25">
      <c r="A154" s="11">
        <v>43899</v>
      </c>
      <c r="B154" s="12"/>
      <c r="C154" s="12" t="s">
        <v>60</v>
      </c>
      <c r="D154" s="13">
        <v>1</v>
      </c>
      <c r="E154" s="12" t="s">
        <v>78</v>
      </c>
      <c r="F154" s="13">
        <v>5</v>
      </c>
      <c r="G154" s="12"/>
      <c r="H154" s="5" t="s">
        <v>0</v>
      </c>
      <c r="I154" s="5" t="s">
        <v>64</v>
      </c>
      <c r="J154" s="5" t="s">
        <v>21</v>
      </c>
      <c r="K154" s="5" t="s">
        <v>70</v>
      </c>
      <c r="L154" s="14" t="s">
        <v>238</v>
      </c>
    </row>
    <row r="155" spans="1:12" x14ac:dyDescent="0.25">
      <c r="A155" s="7">
        <v>43899</v>
      </c>
      <c r="B155" s="8"/>
      <c r="C155" s="8" t="s">
        <v>60</v>
      </c>
      <c r="D155" s="9">
        <v>1</v>
      </c>
      <c r="E155" s="8" t="s">
        <v>79</v>
      </c>
      <c r="F155" s="9">
        <v>5</v>
      </c>
      <c r="G155" s="8"/>
      <c r="H155" s="4" t="s">
        <v>1</v>
      </c>
      <c r="I155" s="4" t="s">
        <v>65</v>
      </c>
      <c r="J155" s="4" t="s">
        <v>28</v>
      </c>
      <c r="K155" s="4" t="s">
        <v>73</v>
      </c>
      <c r="L155" s="10" t="s">
        <v>239</v>
      </c>
    </row>
    <row r="156" spans="1:12" x14ac:dyDescent="0.25">
      <c r="A156" s="11">
        <v>43899</v>
      </c>
      <c r="B156" s="12"/>
      <c r="C156" s="12" t="s">
        <v>56</v>
      </c>
      <c r="D156" s="13">
        <v>2</v>
      </c>
      <c r="E156" s="12" t="s">
        <v>80</v>
      </c>
      <c r="F156" s="13">
        <v>8</v>
      </c>
      <c r="G156" s="12"/>
      <c r="H156" s="5" t="s">
        <v>1</v>
      </c>
      <c r="I156" s="5" t="s">
        <v>65</v>
      </c>
      <c r="J156" s="5" t="s">
        <v>28</v>
      </c>
      <c r="K156" s="5" t="s">
        <v>73</v>
      </c>
      <c r="L156" s="14" t="s">
        <v>240</v>
      </c>
    </row>
    <row r="157" spans="1:12" x14ac:dyDescent="0.25">
      <c r="A157" s="7">
        <v>43899</v>
      </c>
      <c r="B157" s="8"/>
      <c r="C157" s="8" t="s">
        <v>56</v>
      </c>
      <c r="D157" s="9">
        <v>2</v>
      </c>
      <c r="E157" s="8" t="s">
        <v>81</v>
      </c>
      <c r="F157" s="9">
        <v>8</v>
      </c>
      <c r="G157" s="8"/>
      <c r="H157" s="4" t="s">
        <v>0</v>
      </c>
      <c r="I157" s="4" t="s">
        <v>64</v>
      </c>
      <c r="J157" s="4" t="s">
        <v>22</v>
      </c>
      <c r="K157" s="4" t="s">
        <v>70</v>
      </c>
      <c r="L157" s="10" t="s">
        <v>241</v>
      </c>
    </row>
    <row r="158" spans="1:12" x14ac:dyDescent="0.25">
      <c r="A158" s="11">
        <v>43899</v>
      </c>
      <c r="B158" s="12"/>
      <c r="C158" s="12" t="s">
        <v>58</v>
      </c>
      <c r="D158" s="13">
        <v>1</v>
      </c>
      <c r="E158" s="12" t="s">
        <v>76</v>
      </c>
      <c r="F158" s="13">
        <v>8</v>
      </c>
      <c r="G158" s="12"/>
      <c r="H158" s="5" t="s">
        <v>0</v>
      </c>
      <c r="I158" s="5" t="s">
        <v>5</v>
      </c>
      <c r="J158" s="5" t="s">
        <v>39</v>
      </c>
      <c r="K158" s="5" t="s">
        <v>69</v>
      </c>
      <c r="L158" s="14" t="s">
        <v>242</v>
      </c>
    </row>
    <row r="159" spans="1:12" x14ac:dyDescent="0.25">
      <c r="A159" s="7">
        <v>43900</v>
      </c>
      <c r="B159" s="8"/>
      <c r="C159" s="8" t="s">
        <v>58</v>
      </c>
      <c r="D159" s="9">
        <v>1</v>
      </c>
      <c r="E159" s="8" t="s">
        <v>76</v>
      </c>
      <c r="F159" s="9">
        <v>7</v>
      </c>
      <c r="G159" s="8"/>
      <c r="H159" s="4" t="s">
        <v>1</v>
      </c>
      <c r="I159" s="4" t="s">
        <v>65</v>
      </c>
      <c r="J159" s="4" t="s">
        <v>27</v>
      </c>
      <c r="K159" s="4" t="s">
        <v>72</v>
      </c>
      <c r="L159" s="10" t="s">
        <v>243</v>
      </c>
    </row>
    <row r="160" spans="1:12" x14ac:dyDescent="0.25">
      <c r="A160" s="11">
        <v>43900</v>
      </c>
      <c r="B160" s="12"/>
      <c r="C160" s="12" t="s">
        <v>58</v>
      </c>
      <c r="D160" s="13">
        <v>1</v>
      </c>
      <c r="E160" s="12" t="s">
        <v>77</v>
      </c>
      <c r="F160" s="13">
        <v>36</v>
      </c>
      <c r="G160" s="12"/>
      <c r="H160" s="5" t="s">
        <v>0</v>
      </c>
      <c r="I160" s="5" t="s">
        <v>64</v>
      </c>
      <c r="J160" s="5" t="s">
        <v>22</v>
      </c>
      <c r="K160" s="5" t="s">
        <v>69</v>
      </c>
      <c r="L160" s="14" t="s">
        <v>244</v>
      </c>
    </row>
    <row r="161" spans="1:12" x14ac:dyDescent="0.25">
      <c r="A161" s="7">
        <v>43900</v>
      </c>
      <c r="B161" s="8"/>
      <c r="C161" s="8" t="s">
        <v>60</v>
      </c>
      <c r="D161" s="9">
        <v>2</v>
      </c>
      <c r="E161" s="8" t="s">
        <v>78</v>
      </c>
      <c r="F161" s="9">
        <v>6</v>
      </c>
      <c r="G161" s="8"/>
      <c r="H161" s="4" t="s">
        <v>1</v>
      </c>
      <c r="I161" s="4" t="s">
        <v>66</v>
      </c>
      <c r="J161" s="4" t="s">
        <v>30</v>
      </c>
      <c r="K161" s="4" t="s">
        <v>73</v>
      </c>
      <c r="L161" s="10" t="s">
        <v>245</v>
      </c>
    </row>
    <row r="162" spans="1:12" x14ac:dyDescent="0.25">
      <c r="A162" s="11">
        <v>43900</v>
      </c>
      <c r="B162" s="12"/>
      <c r="C162" s="12" t="s">
        <v>56</v>
      </c>
      <c r="D162" s="13">
        <v>2</v>
      </c>
      <c r="E162" s="12" t="s">
        <v>81</v>
      </c>
      <c r="F162" s="13">
        <v>65</v>
      </c>
      <c r="G162" s="12"/>
      <c r="H162" s="5" t="s">
        <v>1</v>
      </c>
      <c r="I162" s="5" t="s">
        <v>26</v>
      </c>
      <c r="J162" s="5" t="s">
        <v>25</v>
      </c>
      <c r="K162" s="5" t="s">
        <v>73</v>
      </c>
      <c r="L162" s="14" t="s">
        <v>246</v>
      </c>
    </row>
    <row r="163" spans="1:12" x14ac:dyDescent="0.25">
      <c r="A163" s="7">
        <v>43902</v>
      </c>
      <c r="B163" s="8"/>
      <c r="C163" s="8" t="s">
        <v>60</v>
      </c>
      <c r="D163" s="9">
        <v>1</v>
      </c>
      <c r="E163" s="8" t="s">
        <v>79</v>
      </c>
      <c r="F163" s="9">
        <v>6</v>
      </c>
      <c r="G163" s="8"/>
      <c r="H163" s="4" t="s">
        <v>0</v>
      </c>
      <c r="I163" s="4" t="s">
        <v>5</v>
      </c>
      <c r="J163" s="4" t="s">
        <v>37</v>
      </c>
      <c r="K163" s="4" t="s">
        <v>70</v>
      </c>
      <c r="L163" s="10" t="s">
        <v>247</v>
      </c>
    </row>
    <row r="164" spans="1:12" x14ac:dyDescent="0.25">
      <c r="A164" s="11">
        <v>43902</v>
      </c>
      <c r="B164" s="12"/>
      <c r="C164" s="12" t="s">
        <v>56</v>
      </c>
      <c r="D164" s="13">
        <v>1</v>
      </c>
      <c r="E164" s="12" t="s">
        <v>81</v>
      </c>
      <c r="F164" s="13">
        <v>11</v>
      </c>
      <c r="G164" s="12"/>
      <c r="H164" s="5" t="s">
        <v>0</v>
      </c>
      <c r="I164" s="5" t="s">
        <v>66</v>
      </c>
      <c r="J164" s="5" t="s">
        <v>29</v>
      </c>
      <c r="K164" s="5" t="s">
        <v>69</v>
      </c>
      <c r="L164" s="14" t="s">
        <v>248</v>
      </c>
    </row>
    <row r="165" spans="1:12" x14ac:dyDescent="0.25">
      <c r="A165" s="7">
        <v>43902</v>
      </c>
      <c r="B165" s="8"/>
      <c r="C165" s="8" t="s">
        <v>58</v>
      </c>
      <c r="D165" s="9">
        <v>1</v>
      </c>
      <c r="E165" s="8" t="s">
        <v>76</v>
      </c>
      <c r="F165" s="9">
        <v>69</v>
      </c>
      <c r="G165" s="8"/>
      <c r="H165" s="4" t="s">
        <v>1</v>
      </c>
      <c r="I165" s="4" t="s">
        <v>66</v>
      </c>
      <c r="J165" s="4" t="s">
        <v>35</v>
      </c>
      <c r="K165" s="4" t="s">
        <v>73</v>
      </c>
      <c r="L165" s="10" t="s">
        <v>249</v>
      </c>
    </row>
    <row r="166" spans="1:12" x14ac:dyDescent="0.25">
      <c r="A166" s="11">
        <v>43902</v>
      </c>
      <c r="B166" s="12"/>
      <c r="C166" s="12" t="s">
        <v>58</v>
      </c>
      <c r="D166" s="13">
        <v>2</v>
      </c>
      <c r="E166" s="12" t="s">
        <v>77</v>
      </c>
      <c r="F166" s="13">
        <v>4</v>
      </c>
      <c r="G166" s="12"/>
      <c r="H166" s="5" t="s">
        <v>0</v>
      </c>
      <c r="I166" s="5" t="s">
        <v>2</v>
      </c>
      <c r="J166" s="5" t="s">
        <v>15</v>
      </c>
      <c r="K166" s="5" t="s">
        <v>70</v>
      </c>
      <c r="L166" s="14" t="s">
        <v>250</v>
      </c>
    </row>
    <row r="167" spans="1:12" x14ac:dyDescent="0.25">
      <c r="A167" s="7">
        <v>43903</v>
      </c>
      <c r="B167" s="8"/>
      <c r="C167" s="8" t="s">
        <v>58</v>
      </c>
      <c r="D167" s="9">
        <v>2</v>
      </c>
      <c r="E167" s="8" t="s">
        <v>76</v>
      </c>
      <c r="F167" s="9">
        <v>1</v>
      </c>
      <c r="G167" s="8"/>
      <c r="H167" s="4" t="s">
        <v>1</v>
      </c>
      <c r="I167" s="4" t="s">
        <v>2</v>
      </c>
      <c r="J167" s="4" t="s">
        <v>17</v>
      </c>
      <c r="K167" s="4" t="s">
        <v>72</v>
      </c>
      <c r="L167" s="10" t="s">
        <v>251</v>
      </c>
    </row>
    <row r="168" spans="1:12" x14ac:dyDescent="0.25">
      <c r="A168" s="11">
        <v>43903</v>
      </c>
      <c r="B168" s="12"/>
      <c r="C168" s="12" t="s">
        <v>56</v>
      </c>
      <c r="D168" s="13">
        <v>1</v>
      </c>
      <c r="E168" s="12" t="s">
        <v>80</v>
      </c>
      <c r="F168" s="13">
        <v>5</v>
      </c>
      <c r="G168" s="12"/>
      <c r="H168" s="5" t="s">
        <v>0</v>
      </c>
      <c r="I168" s="5" t="s">
        <v>26</v>
      </c>
      <c r="J168" s="5" t="s">
        <v>26</v>
      </c>
      <c r="K168" s="5" t="s">
        <v>69</v>
      </c>
      <c r="L168" s="14" t="s">
        <v>252</v>
      </c>
    </row>
    <row r="169" spans="1:12" x14ac:dyDescent="0.25">
      <c r="A169" s="7">
        <v>43903</v>
      </c>
      <c r="B169" s="8"/>
      <c r="C169" s="8" t="s">
        <v>60</v>
      </c>
      <c r="D169" s="9">
        <v>2</v>
      </c>
      <c r="E169" s="8" t="s">
        <v>79</v>
      </c>
      <c r="F169" s="9">
        <v>1</v>
      </c>
      <c r="G169" s="8"/>
      <c r="H169" s="4" t="s">
        <v>1</v>
      </c>
      <c r="I169" s="4" t="s">
        <v>66</v>
      </c>
      <c r="J169" s="4" t="s">
        <v>34</v>
      </c>
      <c r="K169" s="4" t="s">
        <v>73</v>
      </c>
      <c r="L169" s="10" t="s">
        <v>253</v>
      </c>
    </row>
    <row r="170" spans="1:12" x14ac:dyDescent="0.25">
      <c r="A170" s="11">
        <v>43903</v>
      </c>
      <c r="B170" s="12"/>
      <c r="C170" s="12" t="s">
        <v>58</v>
      </c>
      <c r="D170" s="13">
        <v>1</v>
      </c>
      <c r="E170" s="12" t="s">
        <v>77</v>
      </c>
      <c r="F170" s="13">
        <v>2</v>
      </c>
      <c r="G170" s="12"/>
      <c r="H170" s="5" t="s">
        <v>67</v>
      </c>
      <c r="I170" s="5" t="s">
        <v>67</v>
      </c>
      <c r="J170" s="5" t="s">
        <v>41</v>
      </c>
      <c r="K170" s="5" t="s">
        <v>41</v>
      </c>
      <c r="L170" s="14" t="s">
        <v>254</v>
      </c>
    </row>
    <row r="171" spans="1:12" x14ac:dyDescent="0.25">
      <c r="A171" s="7">
        <v>43906</v>
      </c>
      <c r="B171" s="8"/>
      <c r="C171" s="8" t="s">
        <v>60</v>
      </c>
      <c r="D171" s="9">
        <v>1</v>
      </c>
      <c r="E171" s="8" t="s">
        <v>78</v>
      </c>
      <c r="F171" s="9">
        <v>3</v>
      </c>
      <c r="G171" s="8"/>
      <c r="H171" s="4" t="s">
        <v>0</v>
      </c>
      <c r="I171" s="4" t="s">
        <v>64</v>
      </c>
      <c r="J171" s="4" t="s">
        <v>21</v>
      </c>
      <c r="K171" s="4" t="s">
        <v>70</v>
      </c>
      <c r="L171" s="10" t="s">
        <v>255</v>
      </c>
    </row>
    <row r="172" spans="1:12" x14ac:dyDescent="0.25">
      <c r="A172" s="11">
        <v>43906</v>
      </c>
      <c r="B172" s="12"/>
      <c r="C172" s="12" t="s">
        <v>60</v>
      </c>
      <c r="D172" s="13">
        <v>1</v>
      </c>
      <c r="E172" s="12" t="s">
        <v>79</v>
      </c>
      <c r="F172" s="13">
        <v>5</v>
      </c>
      <c r="G172" s="12"/>
      <c r="H172" s="5" t="s">
        <v>1</v>
      </c>
      <c r="I172" s="5" t="s">
        <v>65</v>
      </c>
      <c r="J172" s="5" t="s">
        <v>28</v>
      </c>
      <c r="K172" s="5" t="s">
        <v>73</v>
      </c>
      <c r="L172" s="14" t="s">
        <v>256</v>
      </c>
    </row>
    <row r="173" spans="1:12" x14ac:dyDescent="0.25">
      <c r="A173" s="7">
        <v>43906</v>
      </c>
      <c r="B173" s="8"/>
      <c r="C173" s="8" t="s">
        <v>56</v>
      </c>
      <c r="D173" s="9">
        <v>2</v>
      </c>
      <c r="E173" s="8" t="s">
        <v>80</v>
      </c>
      <c r="F173" s="9">
        <v>5</v>
      </c>
      <c r="G173" s="8"/>
      <c r="H173" s="4" t="s">
        <v>1</v>
      </c>
      <c r="I173" s="4" t="s">
        <v>65</v>
      </c>
      <c r="J173" s="4" t="s">
        <v>28</v>
      </c>
      <c r="K173" s="4" t="s">
        <v>73</v>
      </c>
      <c r="L173" s="10" t="s">
        <v>257</v>
      </c>
    </row>
    <row r="174" spans="1:12" x14ac:dyDescent="0.25">
      <c r="A174" s="11">
        <v>43906</v>
      </c>
      <c r="B174" s="12"/>
      <c r="C174" s="12" t="s">
        <v>56</v>
      </c>
      <c r="D174" s="13">
        <v>2</v>
      </c>
      <c r="E174" s="12" t="s">
        <v>81</v>
      </c>
      <c r="F174" s="13">
        <v>2</v>
      </c>
      <c r="G174" s="12"/>
      <c r="H174" s="5" t="s">
        <v>0</v>
      </c>
      <c r="I174" s="5" t="s">
        <v>64</v>
      </c>
      <c r="J174" s="5" t="s">
        <v>22</v>
      </c>
      <c r="K174" s="5" t="s">
        <v>70</v>
      </c>
      <c r="L174" s="14" t="s">
        <v>258</v>
      </c>
    </row>
    <row r="175" spans="1:12" x14ac:dyDescent="0.25">
      <c r="A175" s="7">
        <v>43906</v>
      </c>
      <c r="B175" s="8"/>
      <c r="C175" s="8" t="s">
        <v>58</v>
      </c>
      <c r="D175" s="9">
        <v>1</v>
      </c>
      <c r="E175" s="8" t="s">
        <v>76</v>
      </c>
      <c r="F175" s="9">
        <v>2</v>
      </c>
      <c r="G175" s="8"/>
      <c r="H175" s="4" t="s">
        <v>0</v>
      </c>
      <c r="I175" s="4" t="s">
        <v>5</v>
      </c>
      <c r="J175" s="4" t="s">
        <v>39</v>
      </c>
      <c r="K175" s="4" t="s">
        <v>69</v>
      </c>
      <c r="L175" s="10" t="s">
        <v>259</v>
      </c>
    </row>
    <row r="176" spans="1:12" x14ac:dyDescent="0.25">
      <c r="A176" s="11">
        <v>43907</v>
      </c>
      <c r="B176" s="12"/>
      <c r="C176" s="12" t="s">
        <v>58</v>
      </c>
      <c r="D176" s="13">
        <v>1</v>
      </c>
      <c r="E176" s="12" t="s">
        <v>76</v>
      </c>
      <c r="F176" s="13">
        <v>8</v>
      </c>
      <c r="G176" s="12"/>
      <c r="H176" s="5" t="s">
        <v>1</v>
      </c>
      <c r="I176" s="5" t="s">
        <v>65</v>
      </c>
      <c r="J176" s="5" t="s">
        <v>27</v>
      </c>
      <c r="K176" s="5" t="s">
        <v>72</v>
      </c>
      <c r="L176" s="14" t="s">
        <v>260</v>
      </c>
    </row>
    <row r="177" spans="1:12" x14ac:dyDescent="0.25">
      <c r="A177" s="7">
        <v>43907</v>
      </c>
      <c r="B177" s="8"/>
      <c r="C177" s="8" t="s">
        <v>58</v>
      </c>
      <c r="D177" s="9">
        <v>1</v>
      </c>
      <c r="E177" s="8" t="s">
        <v>77</v>
      </c>
      <c r="F177" s="9">
        <v>4</v>
      </c>
      <c r="G177" s="8"/>
      <c r="H177" s="4" t="s">
        <v>0</v>
      </c>
      <c r="I177" s="4" t="s">
        <v>64</v>
      </c>
      <c r="J177" s="4" t="s">
        <v>22</v>
      </c>
      <c r="K177" s="4" t="s">
        <v>69</v>
      </c>
      <c r="L177" s="10" t="s">
        <v>261</v>
      </c>
    </row>
    <row r="178" spans="1:12" x14ac:dyDescent="0.25">
      <c r="A178" s="11">
        <v>43907</v>
      </c>
      <c r="B178" s="12"/>
      <c r="C178" s="12" t="s">
        <v>60</v>
      </c>
      <c r="D178" s="13">
        <v>2</v>
      </c>
      <c r="E178" s="12" t="s">
        <v>78</v>
      </c>
      <c r="F178" s="13">
        <v>6</v>
      </c>
      <c r="G178" s="12"/>
      <c r="H178" s="5" t="s">
        <v>1</v>
      </c>
      <c r="I178" s="5" t="s">
        <v>66</v>
      </c>
      <c r="J178" s="5" t="s">
        <v>30</v>
      </c>
      <c r="K178" s="5" t="s">
        <v>73</v>
      </c>
      <c r="L178" s="14" t="s">
        <v>262</v>
      </c>
    </row>
    <row r="179" spans="1:12" x14ac:dyDescent="0.25">
      <c r="A179" s="7">
        <v>43907</v>
      </c>
      <c r="B179" s="8"/>
      <c r="C179" s="8" t="s">
        <v>56</v>
      </c>
      <c r="D179" s="9">
        <v>2</v>
      </c>
      <c r="E179" s="8" t="s">
        <v>81</v>
      </c>
      <c r="F179" s="9">
        <v>6</v>
      </c>
      <c r="G179" s="8"/>
      <c r="H179" s="4" t="s">
        <v>1</v>
      </c>
      <c r="I179" s="4" t="s">
        <v>26</v>
      </c>
      <c r="J179" s="4" t="s">
        <v>25</v>
      </c>
      <c r="K179" s="4" t="s">
        <v>73</v>
      </c>
      <c r="L179" s="10" t="s">
        <v>263</v>
      </c>
    </row>
    <row r="180" spans="1:12" x14ac:dyDescent="0.25">
      <c r="A180" s="11">
        <v>43909</v>
      </c>
      <c r="B180" s="12"/>
      <c r="C180" s="12" t="s">
        <v>60</v>
      </c>
      <c r="D180" s="13">
        <v>1</v>
      </c>
      <c r="E180" s="12" t="s">
        <v>79</v>
      </c>
      <c r="F180" s="13">
        <v>8</v>
      </c>
      <c r="G180" s="12"/>
      <c r="H180" s="5" t="s">
        <v>0</v>
      </c>
      <c r="I180" s="5" t="s">
        <v>5</v>
      </c>
      <c r="J180" s="5" t="s">
        <v>37</v>
      </c>
      <c r="K180" s="5" t="s">
        <v>70</v>
      </c>
      <c r="L180" s="14" t="s">
        <v>264</v>
      </c>
    </row>
    <row r="181" spans="1:12" x14ac:dyDescent="0.25">
      <c r="A181" s="7">
        <v>43909</v>
      </c>
      <c r="B181" s="8"/>
      <c r="C181" s="8" t="s">
        <v>56</v>
      </c>
      <c r="D181" s="9">
        <v>1</v>
      </c>
      <c r="E181" s="8" t="s">
        <v>81</v>
      </c>
      <c r="F181" s="9">
        <v>5</v>
      </c>
      <c r="G181" s="8"/>
      <c r="H181" s="4" t="s">
        <v>0</v>
      </c>
      <c r="I181" s="4" t="s">
        <v>66</v>
      </c>
      <c r="J181" s="4" t="s">
        <v>29</v>
      </c>
      <c r="K181" s="4" t="s">
        <v>69</v>
      </c>
      <c r="L181" s="10" t="s">
        <v>265</v>
      </c>
    </row>
    <row r="182" spans="1:12" x14ac:dyDescent="0.25">
      <c r="A182" s="11">
        <v>43909</v>
      </c>
      <c r="B182" s="12"/>
      <c r="C182" s="12" t="s">
        <v>58</v>
      </c>
      <c r="D182" s="13">
        <v>1</v>
      </c>
      <c r="E182" s="12" t="s">
        <v>76</v>
      </c>
      <c r="F182" s="13">
        <v>5</v>
      </c>
      <c r="G182" s="12"/>
      <c r="H182" s="5" t="s">
        <v>1</v>
      </c>
      <c r="I182" s="5" t="s">
        <v>66</v>
      </c>
      <c r="J182" s="5" t="s">
        <v>35</v>
      </c>
      <c r="K182" s="5" t="s">
        <v>73</v>
      </c>
      <c r="L182" s="14" t="s">
        <v>266</v>
      </c>
    </row>
    <row r="183" spans="1:12" x14ac:dyDescent="0.25">
      <c r="A183" s="7">
        <v>43909</v>
      </c>
      <c r="B183" s="8"/>
      <c r="C183" s="8" t="s">
        <v>58</v>
      </c>
      <c r="D183" s="9">
        <v>2</v>
      </c>
      <c r="E183" s="8" t="s">
        <v>77</v>
      </c>
      <c r="F183" s="9">
        <v>6</v>
      </c>
      <c r="G183" s="8"/>
      <c r="H183" s="4" t="s">
        <v>0</v>
      </c>
      <c r="I183" s="4" t="s">
        <v>2</v>
      </c>
      <c r="J183" s="4" t="s">
        <v>15</v>
      </c>
      <c r="K183" s="4" t="s">
        <v>70</v>
      </c>
      <c r="L183" s="10" t="s">
        <v>267</v>
      </c>
    </row>
    <row r="184" spans="1:12" x14ac:dyDescent="0.25">
      <c r="A184" s="11">
        <v>43910</v>
      </c>
      <c r="B184" s="12"/>
      <c r="C184" s="12" t="s">
        <v>58</v>
      </c>
      <c r="D184" s="13">
        <v>2</v>
      </c>
      <c r="E184" s="12" t="s">
        <v>76</v>
      </c>
      <c r="F184" s="13">
        <v>5</v>
      </c>
      <c r="G184" s="12"/>
      <c r="H184" s="5" t="s">
        <v>1</v>
      </c>
      <c r="I184" s="5" t="s">
        <v>2</v>
      </c>
      <c r="J184" s="5" t="s">
        <v>17</v>
      </c>
      <c r="K184" s="5" t="s">
        <v>72</v>
      </c>
      <c r="L184" s="14" t="s">
        <v>268</v>
      </c>
    </row>
    <row r="185" spans="1:12" x14ac:dyDescent="0.25">
      <c r="A185" s="7">
        <v>43910</v>
      </c>
      <c r="B185" s="8"/>
      <c r="C185" s="8" t="s">
        <v>56</v>
      </c>
      <c r="D185" s="9">
        <v>1</v>
      </c>
      <c r="E185" s="8" t="s">
        <v>80</v>
      </c>
      <c r="F185" s="9">
        <v>4</v>
      </c>
      <c r="G185" s="8"/>
      <c r="H185" s="4" t="s">
        <v>0</v>
      </c>
      <c r="I185" s="4" t="s">
        <v>26</v>
      </c>
      <c r="J185" s="4" t="s">
        <v>26</v>
      </c>
      <c r="K185" s="4" t="s">
        <v>69</v>
      </c>
      <c r="L185" s="10" t="s">
        <v>269</v>
      </c>
    </row>
    <row r="186" spans="1:12" x14ac:dyDescent="0.25">
      <c r="A186" s="11">
        <v>43910</v>
      </c>
      <c r="B186" s="12"/>
      <c r="C186" s="12" t="s">
        <v>60</v>
      </c>
      <c r="D186" s="13">
        <v>2</v>
      </c>
      <c r="E186" s="12" t="s">
        <v>79</v>
      </c>
      <c r="F186" s="13">
        <v>5</v>
      </c>
      <c r="G186" s="12"/>
      <c r="H186" s="5" t="s">
        <v>1</v>
      </c>
      <c r="I186" s="5" t="s">
        <v>66</v>
      </c>
      <c r="J186" s="5" t="s">
        <v>34</v>
      </c>
      <c r="K186" s="5" t="s">
        <v>73</v>
      </c>
      <c r="L186" s="14" t="s">
        <v>270</v>
      </c>
    </row>
    <row r="187" spans="1:12" x14ac:dyDescent="0.25">
      <c r="A187" s="7">
        <v>43910</v>
      </c>
      <c r="B187" s="8"/>
      <c r="C187" s="8" t="s">
        <v>58</v>
      </c>
      <c r="D187" s="9">
        <v>1</v>
      </c>
      <c r="E187" s="8" t="s">
        <v>77</v>
      </c>
      <c r="F187" s="9">
        <v>5</v>
      </c>
      <c r="G187" s="8"/>
      <c r="H187" s="4" t="s">
        <v>67</v>
      </c>
      <c r="I187" s="4" t="s">
        <v>67</v>
      </c>
      <c r="J187" s="4" t="s">
        <v>41</v>
      </c>
      <c r="K187" s="4" t="s">
        <v>41</v>
      </c>
      <c r="L187" s="10" t="s">
        <v>271</v>
      </c>
    </row>
    <row r="188" spans="1:12" x14ac:dyDescent="0.25">
      <c r="A188" s="11">
        <v>43913</v>
      </c>
      <c r="B188" s="12"/>
      <c r="C188" s="12" t="s">
        <v>60</v>
      </c>
      <c r="D188" s="13">
        <v>1</v>
      </c>
      <c r="E188" s="12" t="s">
        <v>78</v>
      </c>
      <c r="F188" s="13">
        <v>5</v>
      </c>
      <c r="G188" s="12"/>
      <c r="H188" s="5" t="s">
        <v>0</v>
      </c>
      <c r="I188" s="5" t="s">
        <v>64</v>
      </c>
      <c r="J188" s="5" t="s">
        <v>21</v>
      </c>
      <c r="K188" s="5" t="s">
        <v>70</v>
      </c>
      <c r="L188" s="14" t="s">
        <v>272</v>
      </c>
    </row>
    <row r="189" spans="1:12" x14ac:dyDescent="0.25">
      <c r="A189" s="7">
        <v>43913</v>
      </c>
      <c r="B189" s="8"/>
      <c r="C189" s="8" t="s">
        <v>60</v>
      </c>
      <c r="D189" s="9">
        <v>1</v>
      </c>
      <c r="E189" s="8" t="s">
        <v>79</v>
      </c>
      <c r="F189" s="9">
        <v>8</v>
      </c>
      <c r="G189" s="8"/>
      <c r="H189" s="4" t="s">
        <v>1</v>
      </c>
      <c r="I189" s="4" t="s">
        <v>65</v>
      </c>
      <c r="J189" s="4" t="s">
        <v>28</v>
      </c>
      <c r="K189" s="4" t="s">
        <v>73</v>
      </c>
      <c r="L189" s="10" t="s">
        <v>273</v>
      </c>
    </row>
    <row r="190" spans="1:12" x14ac:dyDescent="0.25">
      <c r="A190" s="11">
        <v>43913</v>
      </c>
      <c r="B190" s="12"/>
      <c r="C190" s="12" t="s">
        <v>56</v>
      </c>
      <c r="D190" s="13">
        <v>2</v>
      </c>
      <c r="E190" s="12" t="s">
        <v>80</v>
      </c>
      <c r="F190" s="13">
        <v>5</v>
      </c>
      <c r="G190" s="12"/>
      <c r="H190" s="5" t="s">
        <v>1</v>
      </c>
      <c r="I190" s="5" t="s">
        <v>65</v>
      </c>
      <c r="J190" s="5" t="s">
        <v>28</v>
      </c>
      <c r="K190" s="5" t="s">
        <v>73</v>
      </c>
      <c r="L190" s="14" t="s">
        <v>274</v>
      </c>
    </row>
    <row r="191" spans="1:12" x14ac:dyDescent="0.25">
      <c r="A191" s="7">
        <v>43913</v>
      </c>
      <c r="B191" s="8"/>
      <c r="C191" s="8" t="s">
        <v>56</v>
      </c>
      <c r="D191" s="9">
        <v>2</v>
      </c>
      <c r="E191" s="8" t="s">
        <v>81</v>
      </c>
      <c r="F191" s="9">
        <v>52</v>
      </c>
      <c r="G191" s="8"/>
      <c r="H191" s="4" t="s">
        <v>0</v>
      </c>
      <c r="I191" s="4" t="s">
        <v>64</v>
      </c>
      <c r="J191" s="4" t="s">
        <v>22</v>
      </c>
      <c r="K191" s="4" t="s">
        <v>70</v>
      </c>
      <c r="L191" s="10" t="s">
        <v>275</v>
      </c>
    </row>
    <row r="192" spans="1:12" x14ac:dyDescent="0.25">
      <c r="A192" s="11">
        <v>43913</v>
      </c>
      <c r="B192" s="12"/>
      <c r="C192" s="12" t="s">
        <v>58</v>
      </c>
      <c r="D192" s="13">
        <v>1</v>
      </c>
      <c r="E192" s="12" t="s">
        <v>76</v>
      </c>
      <c r="F192" s="13">
        <v>4</v>
      </c>
      <c r="G192" s="12"/>
      <c r="H192" s="5" t="s">
        <v>0</v>
      </c>
      <c r="I192" s="5" t="s">
        <v>5</v>
      </c>
      <c r="J192" s="5" t="s">
        <v>39</v>
      </c>
      <c r="K192" s="5" t="s">
        <v>69</v>
      </c>
      <c r="L192" s="14" t="s">
        <v>276</v>
      </c>
    </row>
    <row r="193" spans="1:12" x14ac:dyDescent="0.25">
      <c r="A193" s="7">
        <v>43914</v>
      </c>
      <c r="B193" s="8"/>
      <c r="C193" s="8" t="s">
        <v>58</v>
      </c>
      <c r="D193" s="9">
        <v>1</v>
      </c>
      <c r="E193" s="8" t="s">
        <v>76</v>
      </c>
      <c r="F193" s="9">
        <v>1</v>
      </c>
      <c r="G193" s="8"/>
      <c r="H193" s="4" t="s">
        <v>1</v>
      </c>
      <c r="I193" s="4" t="s">
        <v>65</v>
      </c>
      <c r="J193" s="4" t="s">
        <v>27</v>
      </c>
      <c r="K193" s="4" t="s">
        <v>72</v>
      </c>
      <c r="L193" s="10" t="s">
        <v>277</v>
      </c>
    </row>
    <row r="194" spans="1:12" x14ac:dyDescent="0.25">
      <c r="A194" s="11">
        <v>43914</v>
      </c>
      <c r="B194" s="12"/>
      <c r="C194" s="12" t="s">
        <v>58</v>
      </c>
      <c r="D194" s="13">
        <v>1</v>
      </c>
      <c r="E194" s="12" t="s">
        <v>77</v>
      </c>
      <c r="F194" s="13">
        <v>36</v>
      </c>
      <c r="G194" s="12"/>
      <c r="H194" s="5" t="s">
        <v>0</v>
      </c>
      <c r="I194" s="5" t="s">
        <v>64</v>
      </c>
      <c r="J194" s="5" t="s">
        <v>22</v>
      </c>
      <c r="K194" s="5" t="s">
        <v>69</v>
      </c>
      <c r="L194" s="14" t="s">
        <v>278</v>
      </c>
    </row>
    <row r="195" spans="1:12" x14ac:dyDescent="0.25">
      <c r="A195" s="7">
        <v>43914</v>
      </c>
      <c r="B195" s="8"/>
      <c r="C195" s="8" t="s">
        <v>60</v>
      </c>
      <c r="D195" s="9">
        <v>2</v>
      </c>
      <c r="E195" s="8" t="s">
        <v>78</v>
      </c>
      <c r="F195" s="9">
        <v>56</v>
      </c>
      <c r="G195" s="8"/>
      <c r="H195" s="4" t="s">
        <v>1</v>
      </c>
      <c r="I195" s="4" t="s">
        <v>66</v>
      </c>
      <c r="J195" s="4" t="s">
        <v>30</v>
      </c>
      <c r="K195" s="4" t="s">
        <v>73</v>
      </c>
      <c r="L195" s="10" t="s">
        <v>279</v>
      </c>
    </row>
    <row r="196" spans="1:12" x14ac:dyDescent="0.25">
      <c r="A196" s="11">
        <v>43914</v>
      </c>
      <c r="B196" s="12"/>
      <c r="C196" s="12" t="s">
        <v>56</v>
      </c>
      <c r="D196" s="13">
        <v>2</v>
      </c>
      <c r="E196" s="12" t="s">
        <v>81</v>
      </c>
      <c r="F196" s="13">
        <v>89</v>
      </c>
      <c r="G196" s="12"/>
      <c r="H196" s="5" t="s">
        <v>1</v>
      </c>
      <c r="I196" s="5" t="s">
        <v>26</v>
      </c>
      <c r="J196" s="5" t="s">
        <v>25</v>
      </c>
      <c r="K196" s="5" t="s">
        <v>73</v>
      </c>
      <c r="L196" s="14" t="s">
        <v>280</v>
      </c>
    </row>
    <row r="197" spans="1:12" x14ac:dyDescent="0.25">
      <c r="A197" s="7">
        <v>43916</v>
      </c>
      <c r="B197" s="8"/>
      <c r="C197" s="8" t="s">
        <v>60</v>
      </c>
      <c r="D197" s="9">
        <v>1</v>
      </c>
      <c r="E197" s="8" t="s">
        <v>79</v>
      </c>
      <c r="F197" s="9">
        <v>4</v>
      </c>
      <c r="G197" s="8"/>
      <c r="H197" s="4" t="s">
        <v>0</v>
      </c>
      <c r="I197" s="4" t="s">
        <v>5</v>
      </c>
      <c r="J197" s="4" t="s">
        <v>37</v>
      </c>
      <c r="K197" s="4" t="s">
        <v>70</v>
      </c>
      <c r="L197" s="10" t="s">
        <v>281</v>
      </c>
    </row>
    <row r="198" spans="1:12" x14ac:dyDescent="0.25">
      <c r="A198" s="11">
        <v>43916</v>
      </c>
      <c r="B198" s="12"/>
      <c r="C198" s="12" t="s">
        <v>56</v>
      </c>
      <c r="D198" s="13">
        <v>1</v>
      </c>
      <c r="E198" s="12" t="s">
        <v>81</v>
      </c>
      <c r="F198" s="13">
        <v>56</v>
      </c>
      <c r="G198" s="12"/>
      <c r="H198" s="5" t="s">
        <v>0</v>
      </c>
      <c r="I198" s="5" t="s">
        <v>66</v>
      </c>
      <c r="J198" s="5" t="s">
        <v>29</v>
      </c>
      <c r="K198" s="5" t="s">
        <v>69</v>
      </c>
      <c r="L198" s="14" t="s">
        <v>282</v>
      </c>
    </row>
    <row r="199" spans="1:12" x14ac:dyDescent="0.25">
      <c r="A199" s="7">
        <v>43916</v>
      </c>
      <c r="B199" s="8"/>
      <c r="C199" s="8" t="s">
        <v>58</v>
      </c>
      <c r="D199" s="9">
        <v>1</v>
      </c>
      <c r="E199" s="8" t="s">
        <v>76</v>
      </c>
      <c r="F199" s="9">
        <v>65</v>
      </c>
      <c r="G199" s="8"/>
      <c r="H199" s="4" t="s">
        <v>1</v>
      </c>
      <c r="I199" s="4" t="s">
        <v>66</v>
      </c>
      <c r="J199" s="4" t="s">
        <v>35</v>
      </c>
      <c r="K199" s="4" t="s">
        <v>73</v>
      </c>
      <c r="L199" s="10" t="s">
        <v>283</v>
      </c>
    </row>
    <row r="200" spans="1:12" x14ac:dyDescent="0.25">
      <c r="A200" s="11">
        <v>43916</v>
      </c>
      <c r="B200" s="12"/>
      <c r="C200" s="12" t="s">
        <v>58</v>
      </c>
      <c r="D200" s="13">
        <v>2</v>
      </c>
      <c r="E200" s="12" t="s">
        <v>77</v>
      </c>
      <c r="F200" s="13">
        <v>48</v>
      </c>
      <c r="G200" s="12"/>
      <c r="H200" s="5" t="s">
        <v>0</v>
      </c>
      <c r="I200" s="5" t="s">
        <v>2</v>
      </c>
      <c r="J200" s="5" t="s">
        <v>15</v>
      </c>
      <c r="K200" s="5" t="s">
        <v>70</v>
      </c>
      <c r="L200" s="14" t="s">
        <v>284</v>
      </c>
    </row>
    <row r="201" spans="1:12" x14ac:dyDescent="0.25">
      <c r="A201" s="7">
        <v>43917</v>
      </c>
      <c r="B201" s="8"/>
      <c r="C201" s="8" t="s">
        <v>58</v>
      </c>
      <c r="D201" s="9">
        <v>2</v>
      </c>
      <c r="E201" s="8" t="s">
        <v>76</v>
      </c>
      <c r="F201" s="9">
        <v>5</v>
      </c>
      <c r="G201" s="8"/>
      <c r="H201" s="4" t="s">
        <v>1</v>
      </c>
      <c r="I201" s="4" t="s">
        <v>2</v>
      </c>
      <c r="J201" s="4" t="s">
        <v>17</v>
      </c>
      <c r="K201" s="4" t="s">
        <v>72</v>
      </c>
      <c r="L201" s="10" t="s">
        <v>285</v>
      </c>
    </row>
    <row r="202" spans="1:12" x14ac:dyDescent="0.25">
      <c r="A202" s="11">
        <v>43917</v>
      </c>
      <c r="B202" s="12"/>
      <c r="C202" s="12" t="s">
        <v>56</v>
      </c>
      <c r="D202" s="13">
        <v>1</v>
      </c>
      <c r="E202" s="12" t="s">
        <v>80</v>
      </c>
      <c r="F202" s="13">
        <v>1</v>
      </c>
      <c r="G202" s="12"/>
      <c r="H202" s="5" t="s">
        <v>0</v>
      </c>
      <c r="I202" s="5" t="s">
        <v>26</v>
      </c>
      <c r="J202" s="5" t="s">
        <v>26</v>
      </c>
      <c r="K202" s="5" t="s">
        <v>69</v>
      </c>
      <c r="L202" s="14" t="s">
        <v>286</v>
      </c>
    </row>
    <row r="203" spans="1:12" x14ac:dyDescent="0.25">
      <c r="A203" s="7">
        <v>43917</v>
      </c>
      <c r="B203" s="8"/>
      <c r="C203" s="8" t="s">
        <v>60</v>
      </c>
      <c r="D203" s="9">
        <v>2</v>
      </c>
      <c r="E203" s="8" t="s">
        <v>79</v>
      </c>
      <c r="F203" s="9">
        <v>7</v>
      </c>
      <c r="G203" s="8"/>
      <c r="H203" s="4" t="s">
        <v>1</v>
      </c>
      <c r="I203" s="4" t="s">
        <v>66</v>
      </c>
      <c r="J203" s="4" t="s">
        <v>34</v>
      </c>
      <c r="K203" s="4" t="s">
        <v>73</v>
      </c>
      <c r="L203" s="10" t="s">
        <v>287</v>
      </c>
    </row>
    <row r="204" spans="1:12" x14ac:dyDescent="0.25">
      <c r="A204" s="11">
        <v>43917</v>
      </c>
      <c r="B204" s="12"/>
      <c r="C204" s="12" t="s">
        <v>58</v>
      </c>
      <c r="D204" s="13">
        <v>1</v>
      </c>
      <c r="E204" s="12" t="s">
        <v>77</v>
      </c>
      <c r="F204" s="13">
        <v>5</v>
      </c>
      <c r="G204" s="12"/>
      <c r="H204" s="5" t="s">
        <v>67</v>
      </c>
      <c r="I204" s="5" t="s">
        <v>67</v>
      </c>
      <c r="J204" s="5" t="s">
        <v>41</v>
      </c>
      <c r="K204" s="5" t="s">
        <v>41</v>
      </c>
      <c r="L204" s="14" t="s">
        <v>288</v>
      </c>
    </row>
    <row r="205" spans="1:12" x14ac:dyDescent="0.25">
      <c r="A205" s="7">
        <v>43920</v>
      </c>
      <c r="B205" s="8"/>
      <c r="C205" s="8" t="s">
        <v>60</v>
      </c>
      <c r="D205" s="9">
        <v>1</v>
      </c>
      <c r="E205" s="8" t="s">
        <v>78</v>
      </c>
      <c r="F205" s="9">
        <v>45</v>
      </c>
      <c r="G205" s="8"/>
      <c r="H205" s="4" t="s">
        <v>0</v>
      </c>
      <c r="I205" s="4" t="s">
        <v>64</v>
      </c>
      <c r="J205" s="4" t="s">
        <v>21</v>
      </c>
      <c r="K205" s="4" t="s">
        <v>70</v>
      </c>
      <c r="L205" s="10" t="s">
        <v>289</v>
      </c>
    </row>
    <row r="206" spans="1:12" x14ac:dyDescent="0.25">
      <c r="A206" s="11">
        <v>43920</v>
      </c>
      <c r="B206" s="12"/>
      <c r="C206" s="12" t="s">
        <v>60</v>
      </c>
      <c r="D206" s="13">
        <v>1</v>
      </c>
      <c r="E206" s="12" t="s">
        <v>79</v>
      </c>
      <c r="F206" s="13">
        <v>4</v>
      </c>
      <c r="G206" s="12"/>
      <c r="H206" s="5" t="s">
        <v>1</v>
      </c>
      <c r="I206" s="5" t="s">
        <v>65</v>
      </c>
      <c r="J206" s="5" t="s">
        <v>28</v>
      </c>
      <c r="K206" s="5" t="s">
        <v>73</v>
      </c>
      <c r="L206" s="14" t="s">
        <v>290</v>
      </c>
    </row>
    <row r="207" spans="1:12" x14ac:dyDescent="0.25">
      <c r="A207" s="7">
        <v>43920</v>
      </c>
      <c r="B207" s="8"/>
      <c r="C207" s="8" t="s">
        <v>56</v>
      </c>
      <c r="D207" s="9">
        <v>2</v>
      </c>
      <c r="E207" s="8" t="s">
        <v>80</v>
      </c>
      <c r="F207" s="9">
        <v>45</v>
      </c>
      <c r="G207" s="8"/>
      <c r="H207" s="4" t="s">
        <v>1</v>
      </c>
      <c r="I207" s="4" t="s">
        <v>65</v>
      </c>
      <c r="J207" s="4" t="s">
        <v>28</v>
      </c>
      <c r="K207" s="4" t="s">
        <v>73</v>
      </c>
      <c r="L207" s="10" t="s">
        <v>291</v>
      </c>
    </row>
    <row r="208" spans="1:12" x14ac:dyDescent="0.25">
      <c r="A208" s="11">
        <v>43920</v>
      </c>
      <c r="B208" s="12"/>
      <c r="C208" s="12" t="s">
        <v>56</v>
      </c>
      <c r="D208" s="13">
        <v>2</v>
      </c>
      <c r="E208" s="12" t="s">
        <v>81</v>
      </c>
      <c r="F208" s="13">
        <v>5</v>
      </c>
      <c r="G208" s="12"/>
      <c r="H208" s="5" t="s">
        <v>0</v>
      </c>
      <c r="I208" s="5" t="s">
        <v>64</v>
      </c>
      <c r="J208" s="5" t="s">
        <v>22</v>
      </c>
      <c r="K208" s="5" t="s">
        <v>70</v>
      </c>
      <c r="L208" s="14" t="s">
        <v>292</v>
      </c>
    </row>
    <row r="209" spans="1:12" x14ac:dyDescent="0.25">
      <c r="A209" s="7">
        <v>43920</v>
      </c>
      <c r="B209" s="8"/>
      <c r="C209" s="8" t="s">
        <v>58</v>
      </c>
      <c r="D209" s="9">
        <v>1</v>
      </c>
      <c r="E209" s="8" t="s">
        <v>76</v>
      </c>
      <c r="F209" s="9">
        <v>1</v>
      </c>
      <c r="G209" s="8"/>
      <c r="H209" s="4" t="s">
        <v>0</v>
      </c>
      <c r="I209" s="4" t="s">
        <v>5</v>
      </c>
      <c r="J209" s="4" t="s">
        <v>39</v>
      </c>
      <c r="K209" s="4" t="s">
        <v>69</v>
      </c>
      <c r="L209" s="10" t="s">
        <v>293</v>
      </c>
    </row>
    <row r="210" spans="1:12" x14ac:dyDescent="0.25">
      <c r="A210" s="11">
        <v>43921</v>
      </c>
      <c r="B210" s="12"/>
      <c r="C210" s="12" t="s">
        <v>58</v>
      </c>
      <c r="D210" s="13">
        <v>1</v>
      </c>
      <c r="E210" s="12" t="s">
        <v>76</v>
      </c>
      <c r="F210" s="13">
        <v>8</v>
      </c>
      <c r="G210" s="12"/>
      <c r="H210" s="5" t="s">
        <v>1</v>
      </c>
      <c r="I210" s="5" t="s">
        <v>65</v>
      </c>
      <c r="J210" s="5" t="s">
        <v>27</v>
      </c>
      <c r="K210" s="5" t="s">
        <v>72</v>
      </c>
      <c r="L210" s="14" t="s">
        <v>294</v>
      </c>
    </row>
    <row r="211" spans="1:12" x14ac:dyDescent="0.25">
      <c r="A211" s="7">
        <v>43921</v>
      </c>
      <c r="B211" s="8"/>
      <c r="C211" s="8" t="s">
        <v>58</v>
      </c>
      <c r="D211" s="9">
        <v>1</v>
      </c>
      <c r="E211" s="8" t="s">
        <v>77</v>
      </c>
      <c r="F211" s="9">
        <v>14</v>
      </c>
      <c r="G211" s="8"/>
      <c r="H211" s="4" t="s">
        <v>0</v>
      </c>
      <c r="I211" s="4" t="s">
        <v>64</v>
      </c>
      <c r="J211" s="4" t="s">
        <v>22</v>
      </c>
      <c r="K211" s="4" t="s">
        <v>69</v>
      </c>
      <c r="L211" s="10" t="s">
        <v>295</v>
      </c>
    </row>
    <row r="212" spans="1:12" x14ac:dyDescent="0.25">
      <c r="A212" s="11">
        <v>43921</v>
      </c>
      <c r="B212" s="12"/>
      <c r="C212" s="12" t="s">
        <v>60</v>
      </c>
      <c r="D212" s="13">
        <v>2</v>
      </c>
      <c r="E212" s="12" t="s">
        <v>78</v>
      </c>
      <c r="F212" s="13">
        <v>5</v>
      </c>
      <c r="G212" s="12"/>
      <c r="H212" s="5" t="s">
        <v>1</v>
      </c>
      <c r="I212" s="5" t="s">
        <v>66</v>
      </c>
      <c r="J212" s="5" t="s">
        <v>30</v>
      </c>
      <c r="K212" s="5" t="s">
        <v>73</v>
      </c>
      <c r="L212" s="14" t="s">
        <v>296</v>
      </c>
    </row>
    <row r="213" spans="1:12" x14ac:dyDescent="0.25">
      <c r="A213" s="7">
        <v>43921</v>
      </c>
      <c r="B213" s="8"/>
      <c r="C213" s="8" t="s">
        <v>56</v>
      </c>
      <c r="D213" s="9">
        <v>2</v>
      </c>
      <c r="E213" s="8" t="s">
        <v>81</v>
      </c>
      <c r="F213" s="9">
        <v>6</v>
      </c>
      <c r="G213" s="8"/>
      <c r="H213" s="4" t="s">
        <v>1</v>
      </c>
      <c r="I213" s="4" t="s">
        <v>26</v>
      </c>
      <c r="J213" s="4" t="s">
        <v>25</v>
      </c>
      <c r="K213" s="4" t="s">
        <v>73</v>
      </c>
      <c r="L213" s="10" t="s">
        <v>297</v>
      </c>
    </row>
    <row r="214" spans="1:12" x14ac:dyDescent="0.25">
      <c r="A214" s="11">
        <v>43923</v>
      </c>
      <c r="B214" s="12"/>
      <c r="C214" s="12" t="s">
        <v>60</v>
      </c>
      <c r="D214" s="13">
        <v>1</v>
      </c>
      <c r="E214" s="12" t="s">
        <v>79</v>
      </c>
      <c r="F214" s="13">
        <v>7</v>
      </c>
      <c r="G214" s="12"/>
      <c r="H214" s="5" t="s">
        <v>0</v>
      </c>
      <c r="I214" s="5" t="s">
        <v>5</v>
      </c>
      <c r="J214" s="5" t="s">
        <v>37</v>
      </c>
      <c r="K214" s="5" t="s">
        <v>70</v>
      </c>
      <c r="L214" s="14" t="s">
        <v>298</v>
      </c>
    </row>
    <row r="215" spans="1:12" x14ac:dyDescent="0.25">
      <c r="A215" s="7">
        <v>43923</v>
      </c>
      <c r="B215" s="8"/>
      <c r="C215" s="8" t="s">
        <v>56</v>
      </c>
      <c r="D215" s="9">
        <v>1</v>
      </c>
      <c r="E215" s="8" t="s">
        <v>81</v>
      </c>
      <c r="F215" s="9">
        <v>6</v>
      </c>
      <c r="G215" s="8"/>
      <c r="H215" s="4" t="s">
        <v>0</v>
      </c>
      <c r="I215" s="4" t="s">
        <v>66</v>
      </c>
      <c r="J215" s="4" t="s">
        <v>29</v>
      </c>
      <c r="K215" s="4" t="s">
        <v>69</v>
      </c>
      <c r="L215" s="10" t="s">
        <v>299</v>
      </c>
    </row>
    <row r="216" spans="1:12" x14ac:dyDescent="0.25">
      <c r="A216" s="11">
        <v>43923</v>
      </c>
      <c r="B216" s="12"/>
      <c r="C216" s="12" t="s">
        <v>58</v>
      </c>
      <c r="D216" s="13">
        <v>1</v>
      </c>
      <c r="E216" s="12" t="s">
        <v>76</v>
      </c>
      <c r="F216" s="13">
        <v>3</v>
      </c>
      <c r="G216" s="12"/>
      <c r="H216" s="5" t="s">
        <v>1</v>
      </c>
      <c r="I216" s="5" t="s">
        <v>66</v>
      </c>
      <c r="J216" s="5" t="s">
        <v>35</v>
      </c>
      <c r="K216" s="5" t="s">
        <v>73</v>
      </c>
      <c r="L216" s="14" t="s">
        <v>300</v>
      </c>
    </row>
    <row r="217" spans="1:12" x14ac:dyDescent="0.25">
      <c r="A217" s="7">
        <v>43923</v>
      </c>
      <c r="B217" s="8"/>
      <c r="C217" s="8" t="s">
        <v>58</v>
      </c>
      <c r="D217" s="9">
        <v>2</v>
      </c>
      <c r="E217" s="8" t="s">
        <v>77</v>
      </c>
      <c r="F217" s="9">
        <v>9</v>
      </c>
      <c r="G217" s="8"/>
      <c r="H217" s="4" t="s">
        <v>0</v>
      </c>
      <c r="I217" s="4" t="s">
        <v>2</v>
      </c>
      <c r="J217" s="4" t="s">
        <v>15</v>
      </c>
      <c r="K217" s="4" t="s">
        <v>70</v>
      </c>
      <c r="L217" s="10" t="s">
        <v>301</v>
      </c>
    </row>
    <row r="218" spans="1:12" x14ac:dyDescent="0.25">
      <c r="A218" s="11">
        <v>43924</v>
      </c>
      <c r="B218" s="12"/>
      <c r="C218" s="12" t="s">
        <v>58</v>
      </c>
      <c r="D218" s="13">
        <v>2</v>
      </c>
      <c r="E218" s="12" t="s">
        <v>76</v>
      </c>
      <c r="F218" s="13">
        <v>4</v>
      </c>
      <c r="G218" s="12"/>
      <c r="H218" s="5" t="s">
        <v>1</v>
      </c>
      <c r="I218" s="5" t="s">
        <v>2</v>
      </c>
      <c r="J218" s="5" t="s">
        <v>17</v>
      </c>
      <c r="K218" s="5" t="s">
        <v>72</v>
      </c>
      <c r="L218" s="14" t="s">
        <v>302</v>
      </c>
    </row>
    <row r="219" spans="1:12" x14ac:dyDescent="0.25">
      <c r="A219" s="7">
        <v>43924</v>
      </c>
      <c r="B219" s="8"/>
      <c r="C219" s="8" t="s">
        <v>56</v>
      </c>
      <c r="D219" s="9">
        <v>1</v>
      </c>
      <c r="E219" s="8" t="s">
        <v>80</v>
      </c>
      <c r="F219" s="9">
        <v>58</v>
      </c>
      <c r="G219" s="8"/>
      <c r="H219" s="4" t="s">
        <v>0</v>
      </c>
      <c r="I219" s="4" t="s">
        <v>26</v>
      </c>
      <c r="J219" s="4" t="s">
        <v>26</v>
      </c>
      <c r="K219" s="4" t="s">
        <v>69</v>
      </c>
      <c r="L219" s="10" t="s">
        <v>303</v>
      </c>
    </row>
    <row r="220" spans="1:12" x14ac:dyDescent="0.25">
      <c r="A220" s="11">
        <v>43924</v>
      </c>
      <c r="B220" s="12"/>
      <c r="C220" s="12" t="s">
        <v>60</v>
      </c>
      <c r="D220" s="13">
        <v>2</v>
      </c>
      <c r="E220" s="12" t="s">
        <v>79</v>
      </c>
      <c r="F220" s="13">
        <v>5</v>
      </c>
      <c r="G220" s="12"/>
      <c r="H220" s="5" t="s">
        <v>1</v>
      </c>
      <c r="I220" s="5" t="s">
        <v>66</v>
      </c>
      <c r="J220" s="5" t="s">
        <v>34</v>
      </c>
      <c r="K220" s="5" t="s">
        <v>73</v>
      </c>
      <c r="L220" s="14" t="s">
        <v>304</v>
      </c>
    </row>
    <row r="221" spans="1:12" x14ac:dyDescent="0.25">
      <c r="A221" s="7">
        <v>43924</v>
      </c>
      <c r="B221" s="8"/>
      <c r="C221" s="8" t="s">
        <v>58</v>
      </c>
      <c r="D221" s="9">
        <v>1</v>
      </c>
      <c r="E221" s="8" t="s">
        <v>77</v>
      </c>
      <c r="F221" s="9">
        <v>2</v>
      </c>
      <c r="G221" s="8"/>
      <c r="H221" s="4" t="s">
        <v>67</v>
      </c>
      <c r="I221" s="4" t="s">
        <v>67</v>
      </c>
      <c r="J221" s="4" t="s">
        <v>41</v>
      </c>
      <c r="K221" s="4" t="s">
        <v>41</v>
      </c>
      <c r="L221" s="10" t="s">
        <v>305</v>
      </c>
    </row>
    <row r="222" spans="1:12" x14ac:dyDescent="0.25">
      <c r="A222" s="11">
        <v>43927</v>
      </c>
      <c r="B222" s="12"/>
      <c r="C222" s="12" t="s">
        <v>60</v>
      </c>
      <c r="D222" s="13">
        <v>1</v>
      </c>
      <c r="E222" s="12" t="s">
        <v>78</v>
      </c>
      <c r="F222" s="13">
        <v>8</v>
      </c>
      <c r="G222" s="12"/>
      <c r="H222" s="5" t="s">
        <v>0</v>
      </c>
      <c r="I222" s="5" t="s">
        <v>64</v>
      </c>
      <c r="J222" s="5" t="s">
        <v>21</v>
      </c>
      <c r="K222" s="5" t="s">
        <v>70</v>
      </c>
      <c r="L222" s="14" t="s">
        <v>306</v>
      </c>
    </row>
    <row r="223" spans="1:12" x14ac:dyDescent="0.25">
      <c r="A223" s="7">
        <v>43927</v>
      </c>
      <c r="B223" s="8"/>
      <c r="C223" s="8" t="s">
        <v>60</v>
      </c>
      <c r="D223" s="9">
        <v>1</v>
      </c>
      <c r="E223" s="8" t="s">
        <v>79</v>
      </c>
      <c r="F223" s="9">
        <v>5</v>
      </c>
      <c r="G223" s="8"/>
      <c r="H223" s="4" t="s">
        <v>1</v>
      </c>
      <c r="I223" s="4" t="s">
        <v>65</v>
      </c>
      <c r="J223" s="4" t="s">
        <v>28</v>
      </c>
      <c r="K223" s="4" t="s">
        <v>73</v>
      </c>
      <c r="L223" s="10" t="s">
        <v>307</v>
      </c>
    </row>
    <row r="224" spans="1:12" x14ac:dyDescent="0.25">
      <c r="A224" s="11">
        <v>43927</v>
      </c>
      <c r="B224" s="12"/>
      <c r="C224" s="12" t="s">
        <v>56</v>
      </c>
      <c r="D224" s="13">
        <v>2</v>
      </c>
      <c r="E224" s="12" t="s">
        <v>80</v>
      </c>
      <c r="F224" s="13">
        <v>8</v>
      </c>
      <c r="G224" s="12"/>
      <c r="H224" s="5" t="s">
        <v>1</v>
      </c>
      <c r="I224" s="5" t="s">
        <v>65</v>
      </c>
      <c r="J224" s="5" t="s">
        <v>28</v>
      </c>
      <c r="K224" s="5" t="s">
        <v>73</v>
      </c>
      <c r="L224" s="14" t="s">
        <v>308</v>
      </c>
    </row>
    <row r="225" spans="1:12" x14ac:dyDescent="0.25">
      <c r="A225" s="7">
        <v>43927</v>
      </c>
      <c r="B225" s="8"/>
      <c r="C225" s="8" t="s">
        <v>56</v>
      </c>
      <c r="D225" s="9">
        <v>2</v>
      </c>
      <c r="E225" s="8" t="s">
        <v>81</v>
      </c>
      <c r="F225" s="9">
        <v>5</v>
      </c>
      <c r="G225" s="8"/>
      <c r="H225" s="4" t="s">
        <v>0</v>
      </c>
      <c r="I225" s="4" t="s">
        <v>64</v>
      </c>
      <c r="J225" s="4" t="s">
        <v>22</v>
      </c>
      <c r="K225" s="4" t="s">
        <v>70</v>
      </c>
      <c r="L225" s="10" t="s">
        <v>309</v>
      </c>
    </row>
    <row r="226" spans="1:12" x14ac:dyDescent="0.25">
      <c r="A226" s="11">
        <v>43927</v>
      </c>
      <c r="B226" s="12"/>
      <c r="C226" s="12" t="s">
        <v>58</v>
      </c>
      <c r="D226" s="13">
        <v>1</v>
      </c>
      <c r="E226" s="12" t="s">
        <v>76</v>
      </c>
      <c r="F226" s="13">
        <v>69</v>
      </c>
      <c r="G226" s="12"/>
      <c r="H226" s="5" t="s">
        <v>0</v>
      </c>
      <c r="I226" s="5" t="s">
        <v>5</v>
      </c>
      <c r="J226" s="5" t="s">
        <v>39</v>
      </c>
      <c r="K226" s="5" t="s">
        <v>69</v>
      </c>
      <c r="L226" s="14" t="s">
        <v>310</v>
      </c>
    </row>
    <row r="227" spans="1:12" x14ac:dyDescent="0.25">
      <c r="A227" s="7">
        <v>43928</v>
      </c>
      <c r="B227" s="8"/>
      <c r="C227" s="8" t="s">
        <v>58</v>
      </c>
      <c r="D227" s="9">
        <v>1</v>
      </c>
      <c r="E227" s="8" t="s">
        <v>76</v>
      </c>
      <c r="F227" s="9">
        <v>46</v>
      </c>
      <c r="G227" s="8"/>
      <c r="H227" s="4" t="s">
        <v>1</v>
      </c>
      <c r="I227" s="4" t="s">
        <v>65</v>
      </c>
      <c r="J227" s="4" t="s">
        <v>27</v>
      </c>
      <c r="K227" s="4" t="s">
        <v>72</v>
      </c>
      <c r="L227" s="10" t="s">
        <v>311</v>
      </c>
    </row>
    <row r="228" spans="1:12" x14ac:dyDescent="0.25">
      <c r="A228" s="11">
        <v>43928</v>
      </c>
      <c r="B228" s="12"/>
      <c r="C228" s="12" t="s">
        <v>58</v>
      </c>
      <c r="D228" s="13">
        <v>1</v>
      </c>
      <c r="E228" s="12" t="s">
        <v>77</v>
      </c>
      <c r="F228" s="13">
        <v>8</v>
      </c>
      <c r="G228" s="12"/>
      <c r="H228" s="5" t="s">
        <v>0</v>
      </c>
      <c r="I228" s="5" t="s">
        <v>64</v>
      </c>
      <c r="J228" s="5" t="s">
        <v>22</v>
      </c>
      <c r="K228" s="5" t="s">
        <v>69</v>
      </c>
      <c r="L228" s="14" t="s">
        <v>312</v>
      </c>
    </row>
    <row r="229" spans="1:12" x14ac:dyDescent="0.25">
      <c r="A229" s="7">
        <v>43928</v>
      </c>
      <c r="B229" s="8"/>
      <c r="C229" s="8" t="s">
        <v>60</v>
      </c>
      <c r="D229" s="9">
        <v>2</v>
      </c>
      <c r="E229" s="8" t="s">
        <v>78</v>
      </c>
      <c r="F229" s="9">
        <v>4</v>
      </c>
      <c r="G229" s="8"/>
      <c r="H229" s="4" t="s">
        <v>1</v>
      </c>
      <c r="I229" s="4" t="s">
        <v>66</v>
      </c>
      <c r="J229" s="4" t="s">
        <v>30</v>
      </c>
      <c r="K229" s="4" t="s">
        <v>73</v>
      </c>
      <c r="L229" s="10" t="s">
        <v>313</v>
      </c>
    </row>
    <row r="230" spans="1:12" x14ac:dyDescent="0.25">
      <c r="A230" s="11">
        <v>43928</v>
      </c>
      <c r="B230" s="12"/>
      <c r="C230" s="12" t="s">
        <v>56</v>
      </c>
      <c r="D230" s="13">
        <v>2</v>
      </c>
      <c r="E230" s="12" t="s">
        <v>81</v>
      </c>
      <c r="F230" s="13">
        <v>1</v>
      </c>
      <c r="G230" s="12"/>
      <c r="H230" s="5" t="s">
        <v>1</v>
      </c>
      <c r="I230" s="5" t="s">
        <v>26</v>
      </c>
      <c r="J230" s="5" t="s">
        <v>25</v>
      </c>
      <c r="K230" s="5" t="s">
        <v>73</v>
      </c>
      <c r="L230" s="14" t="s">
        <v>314</v>
      </c>
    </row>
    <row r="231" spans="1:12" x14ac:dyDescent="0.25">
      <c r="A231" s="7">
        <v>43930</v>
      </c>
      <c r="B231" s="8"/>
      <c r="C231" s="8" t="s">
        <v>60</v>
      </c>
      <c r="D231" s="9">
        <v>1</v>
      </c>
      <c r="E231" s="8" t="s">
        <v>79</v>
      </c>
      <c r="F231" s="9">
        <v>2</v>
      </c>
      <c r="G231" s="8"/>
      <c r="H231" s="4" t="s">
        <v>0</v>
      </c>
      <c r="I231" s="4" t="s">
        <v>5</v>
      </c>
      <c r="J231" s="4" t="s">
        <v>37</v>
      </c>
      <c r="K231" s="4" t="s">
        <v>70</v>
      </c>
      <c r="L231" s="10" t="s">
        <v>315</v>
      </c>
    </row>
    <row r="232" spans="1:12" x14ac:dyDescent="0.25">
      <c r="A232" s="11">
        <v>43930</v>
      </c>
      <c r="B232" s="12"/>
      <c r="C232" s="12" t="s">
        <v>56</v>
      </c>
      <c r="D232" s="13">
        <v>1</v>
      </c>
      <c r="E232" s="12" t="s">
        <v>81</v>
      </c>
      <c r="F232" s="13">
        <v>11</v>
      </c>
      <c r="G232" s="12"/>
      <c r="H232" s="5" t="s">
        <v>0</v>
      </c>
      <c r="I232" s="5" t="s">
        <v>66</v>
      </c>
      <c r="J232" s="5" t="s">
        <v>29</v>
      </c>
      <c r="K232" s="5" t="s">
        <v>69</v>
      </c>
      <c r="L232" s="14" t="s">
        <v>316</v>
      </c>
    </row>
    <row r="233" spans="1:12" x14ac:dyDescent="0.25">
      <c r="A233" s="7">
        <v>43930</v>
      </c>
      <c r="B233" s="8"/>
      <c r="C233" s="8" t="s">
        <v>58</v>
      </c>
      <c r="D233" s="9">
        <v>1</v>
      </c>
      <c r="E233" s="8" t="s">
        <v>76</v>
      </c>
      <c r="F233" s="9">
        <v>5</v>
      </c>
      <c r="G233" s="8"/>
      <c r="H233" s="4" t="s">
        <v>1</v>
      </c>
      <c r="I233" s="4" t="s">
        <v>66</v>
      </c>
      <c r="J233" s="4" t="s">
        <v>35</v>
      </c>
      <c r="K233" s="4" t="s">
        <v>73</v>
      </c>
      <c r="L233" s="10" t="s">
        <v>317</v>
      </c>
    </row>
    <row r="234" spans="1:12" x14ac:dyDescent="0.25">
      <c r="A234" s="11">
        <v>43930</v>
      </c>
      <c r="B234" s="12"/>
      <c r="C234" s="12" t="s">
        <v>58</v>
      </c>
      <c r="D234" s="13">
        <v>2</v>
      </c>
      <c r="E234" s="12" t="s">
        <v>77</v>
      </c>
      <c r="F234" s="13">
        <v>8</v>
      </c>
      <c r="G234" s="12"/>
      <c r="H234" s="5" t="s">
        <v>0</v>
      </c>
      <c r="I234" s="5" t="s">
        <v>2</v>
      </c>
      <c r="J234" s="5" t="s">
        <v>15</v>
      </c>
      <c r="K234" s="5" t="s">
        <v>70</v>
      </c>
      <c r="L234" s="14" t="s">
        <v>318</v>
      </c>
    </row>
    <row r="235" spans="1:12" x14ac:dyDescent="0.25">
      <c r="A235" s="7">
        <v>43931</v>
      </c>
      <c r="B235" s="8"/>
      <c r="C235" s="8" t="s">
        <v>58</v>
      </c>
      <c r="D235" s="9">
        <v>2</v>
      </c>
      <c r="E235" s="8" t="s">
        <v>76</v>
      </c>
      <c r="F235" s="9">
        <v>2</v>
      </c>
      <c r="G235" s="8"/>
      <c r="H235" s="4" t="s">
        <v>1</v>
      </c>
      <c r="I235" s="4" t="s">
        <v>2</v>
      </c>
      <c r="J235" s="4" t="s">
        <v>17</v>
      </c>
      <c r="K235" s="4" t="s">
        <v>72</v>
      </c>
      <c r="L235" s="10" t="s">
        <v>319</v>
      </c>
    </row>
    <row r="236" spans="1:12" x14ac:dyDescent="0.25">
      <c r="A236" s="11">
        <v>43931</v>
      </c>
      <c r="B236" s="12"/>
      <c r="C236" s="12" t="s">
        <v>56</v>
      </c>
      <c r="D236" s="13">
        <v>1</v>
      </c>
      <c r="E236" s="12" t="s">
        <v>80</v>
      </c>
      <c r="F236" s="13">
        <v>5</v>
      </c>
      <c r="G236" s="12"/>
      <c r="H236" s="5" t="s">
        <v>0</v>
      </c>
      <c r="I236" s="5" t="s">
        <v>26</v>
      </c>
      <c r="J236" s="5" t="s">
        <v>26</v>
      </c>
      <c r="K236" s="5" t="s">
        <v>69</v>
      </c>
      <c r="L236" s="14" t="s">
        <v>320</v>
      </c>
    </row>
    <row r="237" spans="1:12" x14ac:dyDescent="0.25">
      <c r="A237" s="7">
        <v>43931</v>
      </c>
      <c r="B237" s="8"/>
      <c r="C237" s="8" t="s">
        <v>60</v>
      </c>
      <c r="D237" s="9">
        <v>2</v>
      </c>
      <c r="E237" s="8" t="s">
        <v>79</v>
      </c>
      <c r="F237" s="9">
        <v>5</v>
      </c>
      <c r="G237" s="8"/>
      <c r="H237" s="4" t="s">
        <v>1</v>
      </c>
      <c r="I237" s="4" t="s">
        <v>66</v>
      </c>
      <c r="J237" s="4" t="s">
        <v>34</v>
      </c>
      <c r="K237" s="4" t="s">
        <v>73</v>
      </c>
      <c r="L237" s="10" t="s">
        <v>321</v>
      </c>
    </row>
    <row r="238" spans="1:12" x14ac:dyDescent="0.25">
      <c r="A238" s="11">
        <v>43931</v>
      </c>
      <c r="B238" s="12"/>
      <c r="C238" s="12" t="s">
        <v>58</v>
      </c>
      <c r="D238" s="13">
        <v>1</v>
      </c>
      <c r="E238" s="12" t="s">
        <v>77</v>
      </c>
      <c r="F238" s="13">
        <v>8</v>
      </c>
      <c r="G238" s="12"/>
      <c r="H238" s="5" t="s">
        <v>67</v>
      </c>
      <c r="I238" s="5" t="s">
        <v>67</v>
      </c>
      <c r="J238" s="5" t="s">
        <v>41</v>
      </c>
      <c r="K238" s="5" t="s">
        <v>41</v>
      </c>
      <c r="L238" s="14" t="s">
        <v>322</v>
      </c>
    </row>
    <row r="239" spans="1:12" x14ac:dyDescent="0.25">
      <c r="A239" s="7">
        <v>44087</v>
      </c>
      <c r="B239" s="8"/>
      <c r="C239" s="8" t="s">
        <v>60</v>
      </c>
      <c r="D239" s="9">
        <v>1</v>
      </c>
      <c r="E239" s="8" t="s">
        <v>78</v>
      </c>
      <c r="F239" s="9">
        <v>4</v>
      </c>
      <c r="G239" s="8"/>
      <c r="H239" s="4" t="s">
        <v>0</v>
      </c>
      <c r="I239" s="4" t="s">
        <v>64</v>
      </c>
      <c r="J239" s="4" t="s">
        <v>21</v>
      </c>
      <c r="K239" s="4" t="s">
        <v>70</v>
      </c>
      <c r="L239" s="10" t="s">
        <v>323</v>
      </c>
    </row>
    <row r="240" spans="1:12" x14ac:dyDescent="0.25">
      <c r="A240" s="11">
        <v>44087</v>
      </c>
      <c r="B240" s="12"/>
      <c r="C240" s="12" t="s">
        <v>60</v>
      </c>
      <c r="D240" s="13">
        <v>1</v>
      </c>
      <c r="E240" s="12" t="s">
        <v>79</v>
      </c>
      <c r="F240" s="13">
        <v>6</v>
      </c>
      <c r="G240" s="12"/>
      <c r="H240" s="5" t="s">
        <v>1</v>
      </c>
      <c r="I240" s="5" t="s">
        <v>65</v>
      </c>
      <c r="J240" s="5" t="s">
        <v>28</v>
      </c>
      <c r="K240" s="5" t="s">
        <v>73</v>
      </c>
      <c r="L240" s="14" t="s">
        <v>324</v>
      </c>
    </row>
    <row r="241" spans="1:12" x14ac:dyDescent="0.25">
      <c r="A241" s="7">
        <v>44087</v>
      </c>
      <c r="B241" s="8"/>
      <c r="C241" s="8" t="s">
        <v>56</v>
      </c>
      <c r="D241" s="9">
        <v>2</v>
      </c>
      <c r="E241" s="8" t="s">
        <v>80</v>
      </c>
      <c r="F241" s="9">
        <v>9</v>
      </c>
      <c r="G241" s="8"/>
      <c r="H241" s="4" t="s">
        <v>1</v>
      </c>
      <c r="I241" s="4" t="s">
        <v>65</v>
      </c>
      <c r="J241" s="4" t="s">
        <v>28</v>
      </c>
      <c r="K241" s="4" t="s">
        <v>73</v>
      </c>
      <c r="L241" s="10" t="s">
        <v>325</v>
      </c>
    </row>
    <row r="242" spans="1:12" x14ac:dyDescent="0.25">
      <c r="A242" s="11">
        <v>44087</v>
      </c>
      <c r="B242" s="12"/>
      <c r="C242" s="12" t="s">
        <v>56</v>
      </c>
      <c r="D242" s="13">
        <v>2</v>
      </c>
      <c r="E242" s="12" t="s">
        <v>81</v>
      </c>
      <c r="F242" s="13">
        <v>9</v>
      </c>
      <c r="G242" s="12"/>
      <c r="H242" s="5" t="s">
        <v>0</v>
      </c>
      <c r="I242" s="5" t="s">
        <v>64</v>
      </c>
      <c r="J242" s="5" t="s">
        <v>22</v>
      </c>
      <c r="K242" s="5" t="s">
        <v>70</v>
      </c>
      <c r="L242" s="14" t="s">
        <v>326</v>
      </c>
    </row>
    <row r="243" spans="1:12" x14ac:dyDescent="0.25">
      <c r="A243" s="7">
        <v>44087</v>
      </c>
      <c r="B243" s="8"/>
      <c r="C243" s="8" t="s">
        <v>58</v>
      </c>
      <c r="D243" s="9">
        <v>1</v>
      </c>
      <c r="E243" s="8" t="s">
        <v>76</v>
      </c>
      <c r="F243" s="9">
        <v>8</v>
      </c>
      <c r="G243" s="8"/>
      <c r="H243" s="4" t="s">
        <v>0</v>
      </c>
      <c r="I243" s="4" t="s">
        <v>5</v>
      </c>
      <c r="J243" s="4" t="s">
        <v>39</v>
      </c>
      <c r="K243" s="4" t="s">
        <v>69</v>
      </c>
      <c r="L243" s="10" t="s">
        <v>327</v>
      </c>
    </row>
    <row r="244" spans="1:12" x14ac:dyDescent="0.25">
      <c r="A244" s="11">
        <v>44088</v>
      </c>
      <c r="B244" s="12"/>
      <c r="C244" s="12" t="s">
        <v>58</v>
      </c>
      <c r="D244" s="13">
        <v>1</v>
      </c>
      <c r="E244" s="12" t="s">
        <v>76</v>
      </c>
      <c r="F244" s="13">
        <v>54</v>
      </c>
      <c r="G244" s="12"/>
      <c r="H244" s="5" t="s">
        <v>1</v>
      </c>
      <c r="I244" s="5" t="s">
        <v>65</v>
      </c>
      <c r="J244" s="5" t="s">
        <v>27</v>
      </c>
      <c r="K244" s="5" t="s">
        <v>72</v>
      </c>
      <c r="L244" s="14" t="s">
        <v>328</v>
      </c>
    </row>
    <row r="245" spans="1:12" x14ac:dyDescent="0.25">
      <c r="A245" s="7">
        <v>44088</v>
      </c>
      <c r="B245" s="8"/>
      <c r="C245" s="8" t="s">
        <v>58</v>
      </c>
      <c r="D245" s="9">
        <v>1</v>
      </c>
      <c r="E245" s="8" t="s">
        <v>77</v>
      </c>
      <c r="F245" s="9">
        <v>5</v>
      </c>
      <c r="G245" s="8"/>
      <c r="H245" s="4" t="s">
        <v>0</v>
      </c>
      <c r="I245" s="4" t="s">
        <v>64</v>
      </c>
      <c r="J245" s="4" t="s">
        <v>22</v>
      </c>
      <c r="K245" s="4" t="s">
        <v>69</v>
      </c>
      <c r="L245" s="10" t="s">
        <v>329</v>
      </c>
    </row>
    <row r="246" spans="1:12" x14ac:dyDescent="0.25">
      <c r="A246" s="11">
        <v>44088</v>
      </c>
      <c r="B246" s="12"/>
      <c r="C246" s="12" t="s">
        <v>60</v>
      </c>
      <c r="D246" s="13">
        <v>2</v>
      </c>
      <c r="E246" s="12" t="s">
        <v>78</v>
      </c>
      <c r="F246" s="13">
        <v>5</v>
      </c>
      <c r="G246" s="12"/>
      <c r="H246" s="5" t="s">
        <v>1</v>
      </c>
      <c r="I246" s="5" t="s">
        <v>66</v>
      </c>
      <c r="J246" s="5" t="s">
        <v>30</v>
      </c>
      <c r="K246" s="5" t="s">
        <v>73</v>
      </c>
      <c r="L246" s="14" t="s">
        <v>330</v>
      </c>
    </row>
    <row r="247" spans="1:12" x14ac:dyDescent="0.25">
      <c r="A247" s="7">
        <v>44088</v>
      </c>
      <c r="B247" s="8"/>
      <c r="C247" s="8" t="s">
        <v>56</v>
      </c>
      <c r="D247" s="9">
        <v>2</v>
      </c>
      <c r="E247" s="8" t="s">
        <v>81</v>
      </c>
      <c r="F247" s="9">
        <v>30</v>
      </c>
      <c r="G247" s="8"/>
      <c r="H247" s="4" t="s">
        <v>1</v>
      </c>
      <c r="I247" s="4" t="s">
        <v>26</v>
      </c>
      <c r="J247" s="4" t="s">
        <v>25</v>
      </c>
      <c r="K247" s="4" t="s">
        <v>73</v>
      </c>
      <c r="L247" s="10" t="s">
        <v>331</v>
      </c>
    </row>
    <row r="248" spans="1:12" x14ac:dyDescent="0.25">
      <c r="A248" s="11">
        <v>44090</v>
      </c>
      <c r="B248" s="12"/>
      <c r="C248" s="12" t="s">
        <v>60</v>
      </c>
      <c r="D248" s="13">
        <v>1</v>
      </c>
      <c r="E248" s="12" t="s">
        <v>79</v>
      </c>
      <c r="F248" s="13">
        <v>5</v>
      </c>
      <c r="G248" s="12"/>
      <c r="H248" s="5" t="s">
        <v>0</v>
      </c>
      <c r="I248" s="5" t="s">
        <v>5</v>
      </c>
      <c r="J248" s="5" t="s">
        <v>37</v>
      </c>
      <c r="K248" s="5" t="s">
        <v>70</v>
      </c>
      <c r="L248" s="14" t="s">
        <v>332</v>
      </c>
    </row>
    <row r="249" spans="1:12" x14ac:dyDescent="0.25">
      <c r="A249" s="7">
        <v>44090</v>
      </c>
      <c r="B249" s="8"/>
      <c r="C249" s="8" t="s">
        <v>56</v>
      </c>
      <c r="D249" s="9">
        <v>1</v>
      </c>
      <c r="E249" s="8" t="s">
        <v>81</v>
      </c>
      <c r="F249" s="9">
        <v>8</v>
      </c>
      <c r="G249" s="8"/>
      <c r="H249" s="4" t="s">
        <v>0</v>
      </c>
      <c r="I249" s="4" t="s">
        <v>66</v>
      </c>
      <c r="J249" s="4" t="s">
        <v>29</v>
      </c>
      <c r="K249" s="4" t="s">
        <v>69</v>
      </c>
      <c r="L249" s="10" t="s">
        <v>333</v>
      </c>
    </row>
    <row r="250" spans="1:12" x14ac:dyDescent="0.25">
      <c r="A250" s="11">
        <v>44090</v>
      </c>
      <c r="B250" s="12"/>
      <c r="C250" s="12" t="s">
        <v>58</v>
      </c>
      <c r="D250" s="13">
        <v>1</v>
      </c>
      <c r="E250" s="12" t="s">
        <v>76</v>
      </c>
      <c r="F250" s="13">
        <v>5</v>
      </c>
      <c r="G250" s="12"/>
      <c r="H250" s="5" t="s">
        <v>1</v>
      </c>
      <c r="I250" s="5" t="s">
        <v>66</v>
      </c>
      <c r="J250" s="5" t="s">
        <v>34</v>
      </c>
      <c r="K250" s="5" t="s">
        <v>73</v>
      </c>
      <c r="L250" s="14" t="s">
        <v>334</v>
      </c>
    </row>
    <row r="251" spans="1:12" x14ac:dyDescent="0.25">
      <c r="A251" s="7">
        <v>44090</v>
      </c>
      <c r="B251" s="8"/>
      <c r="C251" s="8" t="s">
        <v>58</v>
      </c>
      <c r="D251" s="9">
        <v>2</v>
      </c>
      <c r="E251" s="8" t="s">
        <v>77</v>
      </c>
      <c r="F251" s="9">
        <v>7</v>
      </c>
      <c r="G251" s="8"/>
      <c r="H251" s="4" t="s">
        <v>0</v>
      </c>
      <c r="I251" s="4" t="s">
        <v>2</v>
      </c>
      <c r="J251" s="4" t="s">
        <v>15</v>
      </c>
      <c r="K251" s="4" t="s">
        <v>70</v>
      </c>
      <c r="L251" s="10" t="s">
        <v>335</v>
      </c>
    </row>
    <row r="252" spans="1:12" x14ac:dyDescent="0.25">
      <c r="A252" s="11">
        <v>44091</v>
      </c>
      <c r="B252" s="12"/>
      <c r="C252" s="12" t="s">
        <v>58</v>
      </c>
      <c r="D252" s="13">
        <v>2</v>
      </c>
      <c r="E252" s="12" t="s">
        <v>76</v>
      </c>
      <c r="F252" s="13">
        <v>4</v>
      </c>
      <c r="G252" s="12"/>
      <c r="H252" s="5" t="s">
        <v>1</v>
      </c>
      <c r="I252" s="5" t="s">
        <v>2</v>
      </c>
      <c r="J252" s="5" t="s">
        <v>17</v>
      </c>
      <c r="K252" s="5" t="s">
        <v>72</v>
      </c>
      <c r="L252" s="14" t="s">
        <v>336</v>
      </c>
    </row>
    <row r="253" spans="1:12" x14ac:dyDescent="0.25">
      <c r="A253" s="7">
        <v>44091</v>
      </c>
      <c r="B253" s="8"/>
      <c r="C253" s="8" t="s">
        <v>56</v>
      </c>
      <c r="D253" s="9">
        <v>1</v>
      </c>
      <c r="E253" s="8" t="s">
        <v>80</v>
      </c>
      <c r="F253" s="9">
        <v>5</v>
      </c>
      <c r="G253" s="8"/>
      <c r="H253" s="4" t="s">
        <v>0</v>
      </c>
      <c r="I253" s="4" t="s">
        <v>26</v>
      </c>
      <c r="J253" s="4" t="s">
        <v>26</v>
      </c>
      <c r="K253" s="4" t="s">
        <v>69</v>
      </c>
      <c r="L253" s="10" t="s">
        <v>337</v>
      </c>
    </row>
    <row r="254" spans="1:12" x14ac:dyDescent="0.25">
      <c r="A254" s="11">
        <v>44091</v>
      </c>
      <c r="B254" s="12"/>
      <c r="C254" s="12" t="s">
        <v>60</v>
      </c>
      <c r="D254" s="13">
        <v>2</v>
      </c>
      <c r="E254" s="12" t="s">
        <v>79</v>
      </c>
      <c r="F254" s="13">
        <v>5</v>
      </c>
      <c r="G254" s="12"/>
      <c r="H254" s="5" t="s">
        <v>1</v>
      </c>
      <c r="I254" s="5" t="s">
        <v>66</v>
      </c>
      <c r="J254" s="5" t="s">
        <v>34</v>
      </c>
      <c r="K254" s="5" t="s">
        <v>73</v>
      </c>
      <c r="L254" s="14" t="s">
        <v>338</v>
      </c>
    </row>
    <row r="255" spans="1:12" x14ac:dyDescent="0.25">
      <c r="A255" s="7">
        <v>44091</v>
      </c>
      <c r="B255" s="8"/>
      <c r="C255" s="8" t="s">
        <v>58</v>
      </c>
      <c r="D255" s="9">
        <v>1</v>
      </c>
      <c r="E255" s="8" t="s">
        <v>77</v>
      </c>
      <c r="F255" s="9">
        <v>7</v>
      </c>
      <c r="G255" s="8"/>
      <c r="H255" s="4" t="s">
        <v>67</v>
      </c>
      <c r="I255" s="4" t="s">
        <v>67</v>
      </c>
      <c r="J255" s="4" t="s">
        <v>41</v>
      </c>
      <c r="K255" s="4" t="s">
        <v>41</v>
      </c>
      <c r="L255" s="10" t="s">
        <v>339</v>
      </c>
    </row>
    <row r="256" spans="1:12" x14ac:dyDescent="0.25">
      <c r="A256" s="11">
        <v>44092</v>
      </c>
      <c r="B256" s="12"/>
      <c r="C256" s="12" t="s">
        <v>58</v>
      </c>
      <c r="D256" s="13">
        <v>2</v>
      </c>
      <c r="E256" s="12" t="s">
        <v>77</v>
      </c>
      <c r="F256" s="13">
        <v>150</v>
      </c>
      <c r="G256" s="12"/>
      <c r="H256" s="5" t="s">
        <v>1</v>
      </c>
      <c r="I256" s="5" t="s">
        <v>65</v>
      </c>
      <c r="J256" s="5" t="s">
        <v>27</v>
      </c>
      <c r="K256" s="5" t="s">
        <v>82</v>
      </c>
      <c r="L256" s="14" t="s">
        <v>340</v>
      </c>
    </row>
    <row r="257" spans="1:12" x14ac:dyDescent="0.25">
      <c r="A257" s="7">
        <v>44092</v>
      </c>
      <c r="B257" s="8"/>
      <c r="C257" s="8" t="s">
        <v>60</v>
      </c>
      <c r="D257" s="9">
        <v>2</v>
      </c>
      <c r="E257" s="8"/>
      <c r="F257" s="9">
        <v>20</v>
      </c>
      <c r="G257" s="8"/>
      <c r="H257" s="4" t="s">
        <v>1</v>
      </c>
      <c r="I257" s="4" t="s">
        <v>66</v>
      </c>
      <c r="J257" s="4" t="s">
        <v>35</v>
      </c>
      <c r="K257" s="4" t="s">
        <v>73</v>
      </c>
      <c r="L257" s="10" t="s">
        <v>341</v>
      </c>
    </row>
    <row r="258" spans="1:12" x14ac:dyDescent="0.25">
      <c r="A258" s="11">
        <v>43863</v>
      </c>
      <c r="B258" s="12"/>
      <c r="C258" s="12" t="s">
        <v>58</v>
      </c>
      <c r="D258" s="13">
        <v>2</v>
      </c>
      <c r="E258" s="12"/>
      <c r="F258" s="13">
        <v>60</v>
      </c>
      <c r="G258" s="12"/>
      <c r="H258" s="5" t="s">
        <v>0</v>
      </c>
      <c r="I258" s="5" t="s">
        <v>64</v>
      </c>
      <c r="J258" s="5" t="s">
        <v>21</v>
      </c>
      <c r="K258" s="5" t="s">
        <v>82</v>
      </c>
      <c r="L258" s="14" t="s">
        <v>342</v>
      </c>
    </row>
    <row r="259" spans="1:12" x14ac:dyDescent="0.25">
      <c r="A259" s="7">
        <v>44098</v>
      </c>
      <c r="B259" s="8"/>
      <c r="C259" s="8" t="s">
        <v>56</v>
      </c>
      <c r="D259" s="9">
        <v>3</v>
      </c>
      <c r="E259" s="8"/>
      <c r="F259" s="9">
        <v>40</v>
      </c>
      <c r="G259" s="8"/>
      <c r="H259" s="4" t="s">
        <v>0</v>
      </c>
      <c r="I259" s="4" t="s">
        <v>64</v>
      </c>
      <c r="J259" s="4" t="s">
        <v>22</v>
      </c>
      <c r="K259" s="4" t="s">
        <v>82</v>
      </c>
      <c r="L259" s="10" t="s">
        <v>343</v>
      </c>
    </row>
    <row r="260" spans="1:12" x14ac:dyDescent="0.25">
      <c r="A260" s="11">
        <v>44099</v>
      </c>
      <c r="B260" s="12">
        <v>44097</v>
      </c>
      <c r="C260" s="12" t="s">
        <v>58</v>
      </c>
      <c r="D260" s="13">
        <v>3</v>
      </c>
      <c r="E260" s="12"/>
      <c r="F260" s="13">
        <v>20</v>
      </c>
      <c r="G260" s="12"/>
      <c r="H260" s="5" t="s">
        <v>1</v>
      </c>
      <c r="I260" s="5" t="s">
        <v>2</v>
      </c>
      <c r="J260" s="5" t="s">
        <v>13</v>
      </c>
      <c r="K260" s="5" t="s">
        <v>73</v>
      </c>
      <c r="L260" s="14" t="s">
        <v>347</v>
      </c>
    </row>
    <row r="261" spans="1:12" x14ac:dyDescent="0.25">
      <c r="A261" s="7">
        <v>44102</v>
      </c>
      <c r="B261" s="8">
        <v>44101</v>
      </c>
      <c r="C261" s="8" t="s">
        <v>58</v>
      </c>
      <c r="D261" s="9">
        <v>3</v>
      </c>
      <c r="E261" s="8"/>
      <c r="F261" s="9">
        <v>13</v>
      </c>
      <c r="G261" s="8" t="s">
        <v>348</v>
      </c>
      <c r="H261" s="4" t="s">
        <v>1</v>
      </c>
      <c r="I261" s="4" t="s">
        <v>66</v>
      </c>
      <c r="J261" s="4" t="s">
        <v>30</v>
      </c>
      <c r="K261" s="4" t="s">
        <v>73</v>
      </c>
      <c r="L261" s="10" t="s">
        <v>351</v>
      </c>
    </row>
    <row r="262" spans="1:12" x14ac:dyDescent="0.25">
      <c r="A262" s="11">
        <v>44102</v>
      </c>
      <c r="B262" s="12">
        <v>44101</v>
      </c>
      <c r="C262" s="12" t="s">
        <v>60</v>
      </c>
      <c r="D262" s="13">
        <v>2</v>
      </c>
      <c r="E262" s="12"/>
      <c r="F262" s="13"/>
      <c r="G262" s="12"/>
      <c r="H262" s="5"/>
      <c r="I262" s="5"/>
      <c r="J262" s="5"/>
      <c r="K262" s="5"/>
      <c r="L262" s="14"/>
    </row>
  </sheetData>
  <dataValidations count="5">
    <dataValidation type="list" operator="greaterThan" allowBlank="1" showInputMessage="1" showErrorMessage="1" sqref="A1:A262">
      <formula1>"1/1/2019+Sheet2!$C$11:$C$22"</formula1>
    </dataValidation>
    <dataValidation type="list" allowBlank="1" showInputMessage="1" showErrorMessage="1" sqref="J1:J262">
      <formula1>INDIRECT(I1)</formula1>
    </dataValidation>
    <dataValidation type="list" allowBlank="1" showInputMessage="1" showErrorMessage="1" sqref="K1:K262">
      <formula1>INDIRECT(H1)</formula1>
    </dataValidation>
    <dataValidation type="textLength" allowBlank="1" showInputMessage="1" showErrorMessage="1" sqref="E1:E262">
      <formula1>6</formula1>
      <formula2>6</formula2>
    </dataValidation>
    <dataValidation type="date" operator="greaterThan" allowBlank="1" showInputMessage="1" showErrorMessage="1" sqref="B1:B262">
      <formula1>43466</formula1>
    </dataValidation>
  </dataValidations>
  <pageMargins left="0.7" right="0.7" top="0.75" bottom="0.75" header="0.3" footer="0.3"/>
  <pageSetup orientation="landscape" horizontalDpi="1200" verticalDpi="1200"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Lists!$H$2</xm:f>
          </x14:formula1>
          <xm:sqref>G1:G262</xm:sqref>
        </x14:dataValidation>
        <x14:dataValidation type="list" allowBlank="1" showInputMessage="1" showErrorMessage="1">
          <x14:formula1>
            <xm:f>Lists!$F$2:$F$4</xm:f>
          </x14:formula1>
          <xm:sqref>D1:D262</xm:sqref>
        </x14:dataValidation>
        <x14:dataValidation type="list" allowBlank="1" showInputMessage="1" showErrorMessage="1">
          <x14:formula1>
            <xm:f>Sheet2!$A$3:$A$5</xm:f>
          </x14:formula1>
          <xm:sqref>H1:H262</xm:sqref>
        </x14:dataValidation>
        <x14:dataValidation type="list" allowBlank="1" showInputMessage="1" showErrorMessage="1">
          <x14:formula1>
            <xm:f>Sheet2!$A$9:$A$15</xm:f>
          </x14:formula1>
          <xm:sqref>I1:I262</xm:sqref>
        </x14:dataValidation>
        <x14:dataValidation type="list" allowBlank="1" showInputMessage="1" showErrorMessage="1">
          <x14:formula1>
            <xm:f>Lists!$A$2:$A$5</xm:f>
          </x14:formula1>
          <xm:sqref>C1:C262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C15" sqref="C15"/>
    </sheetView>
  </sheetViews>
  <sheetFormatPr defaultRowHeight="15" x14ac:dyDescent="0.25"/>
  <cols>
    <col min="1" max="1" width="8.42578125" bestFit="1" customWidth="1"/>
    <col min="2" max="2" width="15.85546875" bestFit="1" customWidth="1"/>
    <col min="3" max="3" width="27.140625" bestFit="1" customWidth="1"/>
    <col min="4" max="4" width="8" bestFit="1" customWidth="1"/>
    <col min="10" max="11" width="9.7109375" bestFit="1" customWidth="1"/>
  </cols>
  <sheetData>
    <row r="1" spans="1:11" x14ac:dyDescent="0.25">
      <c r="A1" t="s">
        <v>49</v>
      </c>
      <c r="B1" t="s">
        <v>50</v>
      </c>
      <c r="C1" t="s">
        <v>11</v>
      </c>
      <c r="D1" t="s">
        <v>6</v>
      </c>
      <c r="E1" t="s">
        <v>398</v>
      </c>
    </row>
    <row r="2" spans="1:11" x14ac:dyDescent="0.25">
      <c r="A2" t="s">
        <v>56</v>
      </c>
      <c r="B2" t="s">
        <v>55</v>
      </c>
      <c r="C2" t="s">
        <v>57</v>
      </c>
      <c r="D2" t="s">
        <v>52</v>
      </c>
      <c r="E2" t="s">
        <v>399</v>
      </c>
      <c r="F2" t="s">
        <v>404</v>
      </c>
      <c r="H2" t="s">
        <v>75</v>
      </c>
      <c r="J2" s="1">
        <f ca="1">TODAY()</f>
        <v>44730</v>
      </c>
      <c r="K2" s="1"/>
    </row>
    <row r="3" spans="1:11" x14ac:dyDescent="0.25">
      <c r="A3" t="s">
        <v>58</v>
      </c>
      <c r="B3" t="s">
        <v>55</v>
      </c>
      <c r="C3" t="s">
        <v>59</v>
      </c>
      <c r="D3" t="s">
        <v>51</v>
      </c>
      <c r="E3" t="s">
        <v>400</v>
      </c>
      <c r="F3" t="s">
        <v>405</v>
      </c>
      <c r="K3" s="1"/>
    </row>
    <row r="4" spans="1:11" x14ac:dyDescent="0.25">
      <c r="A4" t="s">
        <v>60</v>
      </c>
      <c r="B4" t="s">
        <v>55</v>
      </c>
      <c r="C4" t="s">
        <v>61</v>
      </c>
      <c r="D4" t="s">
        <v>53</v>
      </c>
      <c r="E4" t="s">
        <v>401</v>
      </c>
      <c r="F4" t="s">
        <v>406</v>
      </c>
      <c r="K4" s="1"/>
    </row>
    <row r="5" spans="1:11" x14ac:dyDescent="0.25">
      <c r="A5" t="s">
        <v>62</v>
      </c>
      <c r="B5" t="s">
        <v>55</v>
      </c>
      <c r="C5" t="s">
        <v>63</v>
      </c>
      <c r="D5" t="s">
        <v>54</v>
      </c>
      <c r="E5" t="s">
        <v>402</v>
      </c>
      <c r="K5" s="1"/>
    </row>
    <row r="6" spans="1:11" x14ac:dyDescent="0.25">
      <c r="K6" s="1"/>
    </row>
    <row r="7" spans="1:11" x14ac:dyDescent="0.25">
      <c r="K7" s="1"/>
    </row>
    <row r="8" spans="1:11" x14ac:dyDescent="0.25">
      <c r="K8" s="1"/>
    </row>
    <row r="9" spans="1:11" x14ac:dyDescent="0.25">
      <c r="K9" s="1"/>
    </row>
    <row r="10" spans="1:11" x14ac:dyDescent="0.25">
      <c r="K10" s="1"/>
    </row>
  </sheetData>
  <pageMargins left="0.7" right="0.7" top="0.75" bottom="0.75" header="0.3" footer="0.3"/>
  <pageSetup orientation="landscape"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y n A 2 U e 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D K c D Z 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n A 2 U S i K R 7 g O A A A A E Q A A A B M A H A B G b 3 J t d W x h c y 9 T Z W N 0 a W 9 u M S 5 t I K I Y A C i g F A A A A A A A A A A A A A A A A A A A A A A A A A A A A C t O T S 7 J z M 9 T C I b Q h t Y A U E s B A i 0 A F A A C A A g A y n A 2 U e n 8 W i q m A A A A + A A A A B I A A A A A A A A A A A A A A A A A A A A A A E N v b m Z p Z y 9 Q Y W N r Y W d l L n h t b F B L A Q I t A B Q A A g A I A M p w N l E P y u m r p A A A A O k A A A A T A A A A A A A A A A A A A A A A A P I A A A B b Q 2 9 u d G V u d F 9 U e X B l c 1 0 u e G 1 s U E s B A i 0 A F A A C A A g A y n A 2 U 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B 6 N 1 N p N j E l A k z w 8 E x q m r g 4 A A A A A A g A A A A A A A 2 Y A A M A A A A A Q A A A A y I h g H l m 4 x + / B R W q S R C M x f w A A A A A E g A A A o A A A A B A A A A B r l U / e E y g 0 P 1 v k M 4 Q + J I 3 3 U A A A A L N m Y 3 9 e W S 2 R p 8 A m I I n Q S a 5 O j o V O K F 7 0 g u 9 k c P M l 8 6 9 W S c g 8 z v j D c b D v Z k r k o f D 3 V J k 7 C Q o h 5 A o h k G U p H R 8 T 3 u F v K B 3 W r I w Y / 5 r E M 2 9 h Q Y o W F A A A A A 4 G c r 5 d V d y B j T g i p S j v l s T L Q I B z < / D a t a M a s h u p > 
</file>

<file path=customXml/itemProps1.xml><?xml version="1.0" encoding="utf-8"?>
<ds:datastoreItem xmlns:ds="http://schemas.openxmlformats.org/officeDocument/2006/customXml" ds:itemID="{C1F3EBB4-BE67-473E-B422-CB2AA319441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36</vt:i4>
      </vt:variant>
    </vt:vector>
  </HeadingPairs>
  <TitlesOfParts>
    <vt:vector size="42" baseType="lpstr">
      <vt:lpstr>Sheet2</vt:lpstr>
      <vt:lpstr>Hours</vt:lpstr>
      <vt:lpstr>Downtime </vt:lpstr>
      <vt:lpstr>Sheet1</vt:lpstr>
      <vt:lpstr>test data</vt:lpstr>
      <vt:lpstr>Lists</vt:lpstr>
      <vt:lpstr>aCooler</vt:lpstr>
      <vt:lpstr>aDivider</vt:lpstr>
      <vt:lpstr>aMixer</vt:lpstr>
      <vt:lpstr>aOther</vt:lpstr>
      <vt:lpstr>aOven</vt:lpstr>
      <vt:lpstr>aPan</vt:lpstr>
      <vt:lpstr>aProofbox</vt:lpstr>
      <vt:lpstr>aWrap</vt:lpstr>
      <vt:lpstr>bCooler</vt:lpstr>
      <vt:lpstr>bDivider</vt:lpstr>
      <vt:lpstr>bMixer</vt:lpstr>
      <vt:lpstr>bOther</vt:lpstr>
      <vt:lpstr>bOven</vt:lpstr>
      <vt:lpstr>bPan</vt:lpstr>
      <vt:lpstr>bProofbox</vt:lpstr>
      <vt:lpstr>bWrap</vt:lpstr>
      <vt:lpstr>cCooler</vt:lpstr>
      <vt:lpstr>cDivider</vt:lpstr>
      <vt:lpstr>cMixer</vt:lpstr>
      <vt:lpstr>cOther</vt:lpstr>
      <vt:lpstr>cOven</vt:lpstr>
      <vt:lpstr>cPan</vt:lpstr>
      <vt:lpstr>cProofbox</vt:lpstr>
      <vt:lpstr>cWrap</vt:lpstr>
      <vt:lpstr>dCooler</vt:lpstr>
      <vt:lpstr>dDivider</vt:lpstr>
      <vt:lpstr>dMixer</vt:lpstr>
      <vt:lpstr>dOther</vt:lpstr>
      <vt:lpstr>dOven</vt:lpstr>
      <vt:lpstr>dPan</vt:lpstr>
      <vt:lpstr>dProofbox</vt:lpstr>
      <vt:lpstr>dWrap</vt:lpstr>
      <vt:lpstr>Mech.</vt:lpstr>
      <vt:lpstr>Oper.</vt:lpstr>
      <vt:lpstr>Other</vt:lpstr>
      <vt:lpstr>P068Mixer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 Noblin</dc:creator>
  <cp:lastModifiedBy>Marcus Larson</cp:lastModifiedBy>
  <cp:lastPrinted>2022-03-21T12:15:43Z</cp:lastPrinted>
  <dcterms:created xsi:type="dcterms:W3CDTF">2020-09-21T19:08:55Z</dcterms:created>
  <dcterms:modified xsi:type="dcterms:W3CDTF">2022-06-18T13:47:30Z</dcterms:modified>
</cp:coreProperties>
</file>