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1.png" ContentType="image/png"/>
  <Override PartName="/xl/media/image10.png" ContentType="image/png"/>
  <Override PartName="/xl/media/image9.png" ContentType="image/png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rent" sheetId="1" state="visible" r:id="rId2"/>
    <sheet name="Lin" sheetId="2" state="visible" r:id="rId3"/>
    <sheet name="AbsoluteEfficiency" sheetId="3" state="visible" r:id="rId4"/>
    <sheet name="KEStransparency" sheetId="4" state="visible" r:id="rId5"/>
    <sheet name="AllTogethe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<sst xmlns="http://schemas.openxmlformats.org/spreadsheetml/2006/main" count="172" uniqueCount="81">
  <si>
    <t xml:space="preserve">Simulation results</t>
  </si>
  <si>
    <t xml:space="preserve">Priegnitz 2015</t>
  </si>
  <si>
    <t xml:space="preserve">NoTOF 3-6 MeV</t>
  </si>
  <si>
    <t xml:space="preserve">TOF 1-8 MeV</t>
  </si>
  <si>
    <t xml:space="preserve">Prototypes</t>
  </si>
  <si>
    <t xml:space="preserve">MPS</t>
  </si>
  <si>
    <t xml:space="preserve">KES</t>
  </si>
  <si>
    <t xml:space="preserve">d1 (mm)</t>
  </si>
  <si>
    <t xml:space="preserve">D (mm)</t>
  </si>
  <si>
    <t xml:space="preserve">d2 (mm)</t>
  </si>
  <si>
    <t xml:space="preserve">L (mm)</t>
  </si>
  <si>
    <t xml:space="preserve">H (mm)</t>
  </si>
  <si>
    <t xml:space="preserve">s (mm)</t>
  </si>
  <si>
    <t xml:space="preserve">*</t>
  </si>
  <si>
    <t xml:space="preserve">s_e (mm)</t>
  </si>
  <si>
    <t xml:space="preserve">septa (mm)</t>
  </si>
  <si>
    <t xml:space="preserve">w (detector width) (mm)</t>
  </si>
  <si>
    <t xml:space="preserve">p (mm)</t>
  </si>
  <si>
    <t xml:space="preserve">Longueur caméra (mm)</t>
  </si>
  <si>
    <t xml:space="preserve">Nbre fentes</t>
  </si>
  <si>
    <t xml:space="preserve">f</t>
  </si>
  <si>
    <t xml:space="preserve">Effective thickness (mm)</t>
  </si>
  <si>
    <t xml:space="preserve">Det. Unit FOV (mm)</t>
  </si>
  <si>
    <t xml:space="preserve">Det. Unit. Geom. Efficiency</t>
  </si>
  <si>
    <t xml:space="preserve">Det. Unit efficiency</t>
  </si>
  <si>
    <t xml:space="preserve">Det. Unit efficiency (published)</t>
  </si>
  <si>
    <t xml:space="preserve">Falloff amplitude (4 mm bin)</t>
  </si>
  <si>
    <t xml:space="preserve">KES eff/ MPS eff</t>
  </si>
  <si>
    <t xml:space="preserve">KES Det. unit FOV / MPS</t>
  </si>
  <si>
    <t xml:space="preserve">* no KES transparency taken into account</t>
  </si>
  <si>
    <t xml:space="preserve">µ (mm-1)</t>
  </si>
  <si>
    <t xml:space="preserve">** Efficiency at the center of the camera</t>
  </si>
  <si>
    <t xml:space="preserve">Se (mm)</t>
  </si>
  <si>
    <t xml:space="preserve">MPS, TOF, 1 MeV &lt; E &lt; 8 MeV</t>
  </si>
  <si>
    <t xml:space="preserve">KES, TOF, 1 MeV &lt; E &lt; 8 MeV</t>
  </si>
  <si>
    <t xml:space="preserve">Geometrical calculations</t>
  </si>
  <si>
    <t xml:space="preserve">MPS </t>
  </si>
  <si>
    <t xml:space="preserve">Lin. Coll. Eff (relative)</t>
  </si>
  <si>
    <t xml:space="preserve">Detection efficiency</t>
  </si>
  <si>
    <t xml:space="preserve">Efficaicté KES publiée</t>
  </si>
  <si>
    <t xml:space="preserve">https://www.physics.nist.gov/PhysRefData/Xcom/html/xcom1.html</t>
  </si>
  <si>
    <t xml:space="preserve">Tungsten</t>
  </si>
  <si>
    <t xml:space="preserve">Density</t>
  </si>
  <si>
    <t xml:space="preserve">Energy (MeV)</t>
  </si>
  <si>
    <t xml:space="preserve">mu/rho (cm2/g)</t>
  </si>
  <si>
    <t xml:space="preserve">mu (cm-1)</t>
  </si>
  <si>
    <t xml:space="preserve">With of the knife-edge</t>
  </si>
  <si>
    <t xml:space="preserve">Collimator thickness (mm)</t>
  </si>
  <si>
    <t xml:space="preserve">Knife-edge angle (degree)</t>
  </si>
  <si>
    <t xml:space="preserve">With of the knife-edge (mm)</t>
  </si>
  <si>
    <t xml:space="preserve">ln(2)/(mu*tan(alpha)) (mm)</t>
  </si>
  <si>
    <t xml:space="preserve">Lu2SiO5 (LSO)</t>
  </si>
  <si>
    <t xml:space="preserve">Thickness (cm)</t>
  </si>
  <si>
    <t xml:space="preserve">Detection efficiency (interaction prob.)</t>
  </si>
  <si>
    <t xml:space="preserve">CsI</t>
  </si>
  <si>
    <t xml:space="preserve">BGO</t>
  </si>
  <si>
    <t xml:space="preserve">Brent</t>
  </si>
  <si>
    <t xml:space="preserve">Smeets 2016</t>
  </si>
  <si>
    <t xml:space="preserve">Lin 2017</t>
  </si>
  <si>
    <t xml:space="preserve">Park 2017</t>
  </si>
  <si>
    <t xml:space="preserve">Analytical model</t>
  </si>
  <si>
    <t xml:space="preserve">MC simulations</t>
  </si>
  <si>
    <t xml:space="preserve">Ecarts relatifs</t>
  </si>
  <si>
    <t xml:space="preserve">Ratio</t>
  </si>
  <si>
    <t xml:space="preserve">Res (mm) Perfect collimator </t>
  </si>
  <si>
    <t xml:space="preserve">Res (mm) Physical collimator</t>
  </si>
  <si>
    <t xml:space="preserve">Published Res (mm)</t>
  </si>
  <si>
    <t xml:space="preserve">Eff Perfect collimator</t>
  </si>
  <si>
    <t xml:space="preserve">Eff Physical collimator</t>
  </si>
  <si>
    <t xml:space="preserve">Published eff</t>
  </si>
  <si>
    <t xml:space="preserve">Reference for eff</t>
  </si>
  <si>
    <t xml:space="preserve">AM eff / published eff</t>
  </si>
  <si>
    <t xml:space="preserve">1/(Estimated intrinsic absorber eff.)</t>
  </si>
  <si>
    <t xml:space="preserve">FOV factor</t>
  </si>
  <si>
    <t xml:space="preserve">Res (mm)</t>
  </si>
  <si>
    <t xml:space="preserve">Smeets 2016 – AM</t>
  </si>
  <si>
    <t xml:space="preserve">Lin 2017 – AM</t>
  </si>
  <si>
    <t xml:space="preserve">Park 2017 - AM</t>
  </si>
  <si>
    <t xml:space="preserve">Park 2017 – Published</t>
  </si>
  <si>
    <t xml:space="preserve">Eff </t>
  </si>
  <si>
    <t xml:space="preserve">Park 2017 – AM corrected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</si>
</sst>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0E+000"/>
    <numFmt numFmtId="167" formatCode="#,##0.00"/>
    <numFmt numFmtId="168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CCCCCC"/>
        <bgColor rgb="FFDDDDDD"/>
      </patternFill>
    </fill>
    <fill>
      <patternFill patternType="solid">
        <fgColor rgb="FF000000"/>
        <bgColor rgb="FF003300"/>
      </patternFill>
    </fill>
    <fill>
      <patternFill patternType="solid">
        <fgColor rgb="FFE0EFD4"/>
        <bgColor rgb="FFDDDDDD"/>
      </patternFill>
    </fill>
    <fill>
      <patternFill patternType="solid">
        <fgColor rgb="FFBCE4E5"/>
        <bgColor rgb="FFDDDDDD"/>
      </patternFill>
    </fill>
    <fill>
      <patternFill patternType="solid">
        <fgColor rgb="FFDDDDDD"/>
        <bgColor rgb="FFE0EFD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BCE4E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Spatial resolution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64302059497"/>
          <c:y val="0.110867616296444"/>
          <c:w val="0.71546052631579"/>
          <c:h val="0.685327223827074"/>
        </c:manualLayout>
      </c:layout>
      <c:lineChart>
        <c:grouping val="standard"/>
        <c:varyColors val="0"/>
        <c:ser>
          <c:idx val="0"/>
          <c:order val="0"/>
          <c:tx>
            <c:strRef>
              <c:f>AllTogether!$B$28:$B$28</c:f>
              <c:strCache>
                <c:ptCount val="1"/>
                <c:pt idx="0">
                  <c:v>MPS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AllTogether!$A$29:$A$31</c:f>
              <c:strCache>
                <c:ptCount val="3"/>
                <c:pt idx="0">
                  <c:v>Smeets 2016 – AM</c:v>
                </c:pt>
                <c:pt idx="1">
                  <c:v>Lin 2017 – AM</c:v>
                </c:pt>
                <c:pt idx="2">
                  <c:v>Park 2017 - AM</c:v>
                </c:pt>
              </c:strCache>
            </c:strRef>
          </c:cat>
          <c:val>
            <c:numRef>
              <c:f>AllTogether!$B$29:$B$31</c:f>
              <c:numCache>
                <c:formatCode>General</c:formatCode>
                <c:ptCount val="3"/>
                <c:pt idx="0">
                  <c:v>8.4</c:v>
                </c:pt>
                <c:pt idx="1">
                  <c:v>4</c:v>
                </c:pt>
                <c:pt idx="2">
                  <c:v>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AllTogether!$C$28:$C$28</c:f>
              <c:strCache>
                <c:ptCount val="1"/>
                <c:pt idx="0">
                  <c:v>KES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AllTogether!$A$29:$A$31</c:f>
              <c:strCache>
                <c:ptCount val="3"/>
                <c:pt idx="0">
                  <c:v>Smeets 2016 – AM</c:v>
                </c:pt>
                <c:pt idx="1">
                  <c:v>Lin 2017 – AM</c:v>
                </c:pt>
                <c:pt idx="2">
                  <c:v>Park 2017 - AM</c:v>
                </c:pt>
              </c:strCache>
            </c:strRef>
          </c:cat>
          <c:val>
            <c:numRef>
              <c:f>AllTogether!$C$29:$C$31</c:f>
              <c:numCache>
                <c:formatCode>General</c:formatCode>
                <c:ptCount val="3"/>
                <c:pt idx="0">
                  <c:v>23.6964791689616</c:v>
                </c:pt>
                <c:pt idx="1">
                  <c:v>21.063537039077</c:v>
                </c:pt>
                <c:pt idx="2">
                  <c:v>21.063537039077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552367"/>
        <c:axId val="92020503"/>
      </c:lineChart>
      <c:catAx>
        <c:axId val="35552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020503"/>
        <c:crosses val="autoZero"/>
        <c:auto val="1"/>
        <c:lblAlgn val="ctr"/>
        <c:lblOffset val="100"/>
      </c:catAx>
      <c:valAx>
        <c:axId val="920205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Res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55236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562705562705563"/>
          <c:y val="0.297480330644358"/>
          <c:w val="0.170599170599171"/>
          <c:h val="0.17737277163629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Detection efficiency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AllTogether!$B$35:$B$35</c:f>
              <c:strCache>
                <c:ptCount val="1"/>
                <c:pt idx="0">
                  <c:v>MPS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AllTogether!$A$36:$A$38</c:f>
              <c:strCache>
                <c:ptCount val="3"/>
                <c:pt idx="0">
                  <c:v>Smeets 2016 – AM</c:v>
                </c:pt>
                <c:pt idx="1">
                  <c:v>Lin 2017 – AM</c:v>
                </c:pt>
                <c:pt idx="2">
                  <c:v>Park 2017 - AM</c:v>
                </c:pt>
              </c:strCache>
            </c:strRef>
          </c:cat>
          <c:val>
            <c:numRef>
              <c:f>AllTogether!$B$36:$B$38</c:f>
              <c:numCache>
                <c:formatCode>General</c:formatCode>
                <c:ptCount val="3"/>
                <c:pt idx="0">
                  <c:v>0.00032740445436047</c:v>
                </c:pt>
                <c:pt idx="1">
                  <c:v>6.6314559621623E-005</c:v>
                </c:pt>
                <c:pt idx="2">
                  <c:v>0.000568410511042483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AllTogether!$C$35:$C$35</c:f>
              <c:strCache>
                <c:ptCount val="1"/>
                <c:pt idx="0">
                  <c:v>KES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AllTogether!$A$36:$A$38</c:f>
              <c:strCache>
                <c:ptCount val="3"/>
                <c:pt idx="0">
                  <c:v>Smeets 2016 – AM</c:v>
                </c:pt>
                <c:pt idx="1">
                  <c:v>Lin 2017 – AM</c:v>
                </c:pt>
                <c:pt idx="2">
                  <c:v>Park 2017 - AM</c:v>
                </c:pt>
              </c:strCache>
            </c:strRef>
          </c:cat>
          <c:val>
            <c:numRef>
              <c:f>AllTogether!$C$36:$C$38</c:f>
              <c:numCache>
                <c:formatCode>General</c:formatCode>
                <c:ptCount val="3"/>
                <c:pt idx="0">
                  <c:v>0.00120249585297877</c:v>
                </c:pt>
                <c:pt idx="1">
                  <c:v>0.000465606394273379</c:v>
                </c:pt>
                <c:pt idx="2">
                  <c:v>0.00209522877423021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714919"/>
        <c:axId val="46612256"/>
      </c:lineChart>
      <c:catAx>
        <c:axId val="26714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612256"/>
        <c:crosses val="autoZero"/>
        <c:auto val="1"/>
        <c:lblAlgn val="ctr"/>
        <c:lblOffset val="100"/>
      </c:catAx>
      <c:valAx>
        <c:axId val="46612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7149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89430894308943"/>
          <c:y val="0.242114615726344"/>
          <c:w val="0.118824265165729"/>
          <c:h val="0.121612616614838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235800</xdr:colOff>
      <xdr:row>0</xdr:row>
      <xdr:rowOff>0</xdr:rowOff>
    </xdr:from>
    <xdr:to>
      <xdr:col>16</xdr:col>
      <xdr:colOff>462240</xdr:colOff>
      <xdr:row>18</xdr:row>
      <xdr:rowOff>49680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781560" y="0"/>
          <a:ext cx="2030400" cy="2975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431280</xdr:colOff>
      <xdr:row>0</xdr:row>
      <xdr:rowOff>56160</xdr:rowOff>
    </xdr:from>
    <xdr:to>
      <xdr:col>13</xdr:col>
      <xdr:colOff>351000</xdr:colOff>
      <xdr:row>18</xdr:row>
      <xdr:rowOff>17640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7571520" y="56160"/>
          <a:ext cx="2325240" cy="2887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173880</xdr:colOff>
      <xdr:row>27</xdr:row>
      <xdr:rowOff>102960</xdr:rowOff>
    </xdr:from>
    <xdr:to>
      <xdr:col>4</xdr:col>
      <xdr:colOff>280800</xdr:colOff>
      <xdr:row>58</xdr:row>
      <xdr:rowOff>59760</xdr:rowOff>
    </xdr:to>
    <xdr:pic>
      <xdr:nvPicPr>
        <xdr:cNvPr id="2" name="Image 4" descr=""/>
        <xdr:cNvPicPr/>
      </xdr:nvPicPr>
      <xdr:blipFill>
        <a:blip r:embed="rId3"/>
        <a:stretch/>
      </xdr:blipFill>
      <xdr:spPr>
        <a:xfrm>
          <a:off x="173880" y="4492080"/>
          <a:ext cx="3998520" cy="4996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13680</xdr:colOff>
      <xdr:row>2</xdr:row>
      <xdr:rowOff>149400</xdr:rowOff>
    </xdr:from>
    <xdr:to>
      <xdr:col>23</xdr:col>
      <xdr:colOff>572400</xdr:colOff>
      <xdr:row>14</xdr:row>
      <xdr:rowOff>85320</xdr:rowOff>
    </xdr:to>
    <xdr:pic>
      <xdr:nvPicPr>
        <xdr:cNvPr id="3" name="Image 5" descr=""/>
        <xdr:cNvPicPr/>
      </xdr:nvPicPr>
      <xdr:blipFill>
        <a:blip r:embed="rId4"/>
        <a:stretch/>
      </xdr:blipFill>
      <xdr:spPr>
        <a:xfrm>
          <a:off x="11964960" y="474480"/>
          <a:ext cx="4166640" cy="1886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240480</xdr:colOff>
      <xdr:row>29</xdr:row>
      <xdr:rowOff>106200</xdr:rowOff>
    </xdr:from>
    <xdr:to>
      <xdr:col>12</xdr:col>
      <xdr:colOff>361080</xdr:colOff>
      <xdr:row>52</xdr:row>
      <xdr:rowOff>135360</xdr:rowOff>
    </xdr:to>
    <xdr:pic>
      <xdr:nvPicPr>
        <xdr:cNvPr id="4" name="Image 3" descr=""/>
        <xdr:cNvPicPr/>
      </xdr:nvPicPr>
      <xdr:blipFill>
        <a:blip r:embed="rId5"/>
        <a:stretch/>
      </xdr:blipFill>
      <xdr:spPr>
        <a:xfrm>
          <a:off x="4733640" y="4820400"/>
          <a:ext cx="4572000" cy="3767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397080</xdr:colOff>
      <xdr:row>30</xdr:row>
      <xdr:rowOff>54360</xdr:rowOff>
    </xdr:from>
    <xdr:to>
      <xdr:col>21</xdr:col>
      <xdr:colOff>74520</xdr:colOff>
      <xdr:row>53</xdr:row>
      <xdr:rowOff>59040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9942840" y="4930920"/>
          <a:ext cx="4488120" cy="3743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272520</xdr:colOff>
      <xdr:row>0</xdr:row>
      <xdr:rowOff>0</xdr:rowOff>
    </xdr:from>
    <xdr:to>
      <xdr:col>10</xdr:col>
      <xdr:colOff>519120</xdr:colOff>
      <xdr:row>18</xdr:row>
      <xdr:rowOff>49680</xdr:rowOff>
    </xdr:to>
    <xdr:pic>
      <xdr:nvPicPr>
        <xdr:cNvPr id="6" name="Image 1" descr=""/>
        <xdr:cNvPicPr/>
      </xdr:nvPicPr>
      <xdr:blipFill>
        <a:blip r:embed="rId1"/>
        <a:stretch/>
      </xdr:blipFill>
      <xdr:spPr>
        <a:xfrm>
          <a:off x="5666760" y="0"/>
          <a:ext cx="2050560" cy="2975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321480</xdr:colOff>
      <xdr:row>0</xdr:row>
      <xdr:rowOff>0</xdr:rowOff>
    </xdr:from>
    <xdr:to>
      <xdr:col>8</xdr:col>
      <xdr:colOff>231480</xdr:colOff>
      <xdr:row>17</xdr:row>
      <xdr:rowOff>124200</xdr:rowOff>
    </xdr:to>
    <xdr:pic>
      <xdr:nvPicPr>
        <xdr:cNvPr id="7" name="Image 2" descr=""/>
        <xdr:cNvPicPr/>
      </xdr:nvPicPr>
      <xdr:blipFill>
        <a:blip r:embed="rId2"/>
        <a:stretch/>
      </xdr:blipFill>
      <xdr:spPr>
        <a:xfrm>
          <a:off x="3911760" y="0"/>
          <a:ext cx="2315160" cy="2887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159120</xdr:colOff>
      <xdr:row>2</xdr:row>
      <xdr:rowOff>91800</xdr:rowOff>
    </xdr:from>
    <xdr:to>
      <xdr:col>18</xdr:col>
      <xdr:colOff>116280</xdr:colOff>
      <xdr:row>14</xdr:row>
      <xdr:rowOff>27720</xdr:rowOff>
    </xdr:to>
    <xdr:pic>
      <xdr:nvPicPr>
        <xdr:cNvPr id="8" name="Image 5" descr=""/>
        <xdr:cNvPicPr/>
      </xdr:nvPicPr>
      <xdr:blipFill>
        <a:blip r:embed="rId3"/>
        <a:stretch/>
      </xdr:blipFill>
      <xdr:spPr>
        <a:xfrm>
          <a:off x="7958520" y="416880"/>
          <a:ext cx="4166640" cy="1886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34560</xdr:colOff>
      <xdr:row>22</xdr:row>
      <xdr:rowOff>81360</xdr:rowOff>
    </xdr:from>
    <xdr:to>
      <xdr:col>13</xdr:col>
      <xdr:colOff>131040</xdr:colOff>
      <xdr:row>34</xdr:row>
      <xdr:rowOff>15480</xdr:rowOff>
    </xdr:to>
    <xdr:pic>
      <xdr:nvPicPr>
        <xdr:cNvPr id="9" name="Image 5" descr=""/>
        <xdr:cNvPicPr/>
      </xdr:nvPicPr>
      <xdr:blipFill>
        <a:blip r:embed="rId1"/>
        <a:stretch/>
      </xdr:blipFill>
      <xdr:spPr>
        <a:xfrm>
          <a:off x="8138880" y="3657600"/>
          <a:ext cx="4160520" cy="1884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416520</xdr:colOff>
      <xdr:row>0</xdr:row>
      <xdr:rowOff>30960</xdr:rowOff>
    </xdr:from>
    <xdr:to>
      <xdr:col>18</xdr:col>
      <xdr:colOff>298800</xdr:colOff>
      <xdr:row>17</xdr:row>
      <xdr:rowOff>153360</xdr:rowOff>
    </xdr:to>
    <xdr:pic>
      <xdr:nvPicPr>
        <xdr:cNvPr id="10" name="Image 2" descr=""/>
        <xdr:cNvPicPr/>
      </xdr:nvPicPr>
      <xdr:blipFill>
        <a:blip r:embed="rId2"/>
        <a:stretch/>
      </xdr:blipFill>
      <xdr:spPr>
        <a:xfrm>
          <a:off x="14210280" y="30960"/>
          <a:ext cx="2320920" cy="2885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554400</xdr:colOff>
      <xdr:row>28</xdr:row>
      <xdr:rowOff>2880</xdr:rowOff>
    </xdr:from>
    <xdr:to>
      <xdr:col>12</xdr:col>
      <xdr:colOff>200160</xdr:colOff>
      <xdr:row>50</xdr:row>
      <xdr:rowOff>40320</xdr:rowOff>
    </xdr:to>
    <xdr:graphicFrame>
      <xdr:nvGraphicFramePr>
        <xdr:cNvPr id="11" name=""/>
        <xdr:cNvGraphicFramePr/>
      </xdr:nvGraphicFramePr>
      <xdr:xfrm>
        <a:off x="4835880" y="4554360"/>
        <a:ext cx="5033880" cy="361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4320</xdr:colOff>
      <xdr:row>28</xdr:row>
      <xdr:rowOff>87840</xdr:rowOff>
    </xdr:from>
    <xdr:to>
      <xdr:col>21</xdr:col>
      <xdr:colOff>70920</xdr:colOff>
      <xdr:row>48</xdr:row>
      <xdr:rowOff>77040</xdr:rowOff>
    </xdr:to>
    <xdr:graphicFrame>
      <xdr:nvGraphicFramePr>
        <xdr:cNvPr id="12" name=""/>
        <xdr:cNvGraphicFramePr/>
      </xdr:nvGraphicFramePr>
      <xdr:xfrm>
        <a:off x="10707120" y="4639320"/>
        <a:ext cx="57560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physics.nist.gov/PhysRefData/Xcom/html/xcom1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27.26"/>
    <col collapsed="false" customWidth="true" hidden="false" outlineLevel="0" max="2" min="2" style="0" width="10.65"/>
    <col collapsed="false" customWidth="true" hidden="false" outlineLevel="0" max="3" min="3" style="0" width="14.14"/>
    <col collapsed="false" customWidth="true" hidden="false" outlineLevel="0" max="4" min="4" style="0" width="3.11"/>
    <col collapsed="false" customWidth="true" hidden="false" outlineLevel="0" max="5" min="5" style="0" width="8.52"/>
    <col collapsed="false" customWidth="true" hidden="false" outlineLevel="0" max="6" min="6" style="0" width="12.15"/>
    <col collapsed="false" customWidth="true" hidden="false" outlineLevel="0" max="7" min="7" style="0" width="5.4"/>
    <col collapsed="false" customWidth="true" hidden="false" outlineLevel="0" max="8" min="8" style="0" width="11.45"/>
    <col collapsed="false" customWidth="true" hidden="false" outlineLevel="0" max="1025" min="9" style="0" width="8.52"/>
  </cols>
  <sheetData>
    <row r="2" customFormat="false" ht="12.8" hidden="false" customHeight="false" outlineLevel="0" collapsed="false">
      <c r="A2" s="1"/>
      <c r="B2" s="1"/>
      <c r="C2" s="1"/>
      <c r="D2" s="1"/>
      <c r="E2" s="2" t="s">
        <v>0</v>
      </c>
      <c r="F2" s="2"/>
      <c r="G2" s="2"/>
      <c r="H2" s="2"/>
    </row>
    <row r="3" customFormat="false" ht="12.8" hidden="false" customHeight="false" outlineLevel="0" collapsed="false">
      <c r="A3" s="1"/>
      <c r="B3" s="1"/>
      <c r="C3" s="2" t="s">
        <v>1</v>
      </c>
      <c r="D3" s="1"/>
      <c r="E3" s="3" t="s">
        <v>2</v>
      </c>
      <c r="F3" s="3"/>
      <c r="G3" s="4" t="s">
        <v>3</v>
      </c>
      <c r="H3" s="4"/>
      <c r="I3" s="5" t="s">
        <v>4</v>
      </c>
      <c r="J3" s="5"/>
    </row>
    <row r="4" customFormat="false" ht="12.8" hidden="false" customHeight="false" outlineLevel="0" collapsed="false">
      <c r="A4" s="1"/>
      <c r="B4" s="1" t="s">
        <v>5</v>
      </c>
      <c r="C4" s="6" t="s">
        <v>6</v>
      </c>
      <c r="D4" s="1"/>
      <c r="E4" s="6" t="s">
        <v>5</v>
      </c>
      <c r="F4" s="6" t="s">
        <v>6</v>
      </c>
      <c r="G4" s="6" t="s">
        <v>5</v>
      </c>
      <c r="H4" s="6" t="s">
        <v>6</v>
      </c>
      <c r="I4" s="0" t="s">
        <v>5</v>
      </c>
      <c r="J4" s="0" t="s">
        <v>6</v>
      </c>
    </row>
    <row r="5" customFormat="false" ht="12.8" hidden="false" customHeight="false" outlineLevel="0" collapsed="false">
      <c r="A5" s="6" t="s">
        <v>7</v>
      </c>
      <c r="B5" s="6" t="n">
        <v>304</v>
      </c>
      <c r="C5" s="6" t="n">
        <v>250</v>
      </c>
      <c r="D5" s="1"/>
      <c r="E5" s="1"/>
      <c r="F5" s="1"/>
      <c r="G5" s="6"/>
      <c r="H5" s="6"/>
    </row>
    <row r="6" customFormat="false" ht="12.8" hidden="false" customHeight="false" outlineLevel="0" collapsed="false">
      <c r="A6" s="6" t="s">
        <v>8</v>
      </c>
      <c r="B6" s="6" t="n">
        <v>180</v>
      </c>
      <c r="C6" s="1"/>
      <c r="D6" s="1"/>
      <c r="E6" s="1"/>
      <c r="F6" s="1"/>
      <c r="G6" s="6"/>
      <c r="H6" s="6"/>
    </row>
    <row r="7" customFormat="false" ht="12.8" hidden="false" customHeight="false" outlineLevel="0" collapsed="false">
      <c r="A7" s="6" t="s">
        <v>9</v>
      </c>
      <c r="B7" s="6" t="n">
        <v>0</v>
      </c>
      <c r="C7" s="6" t="n">
        <v>200</v>
      </c>
      <c r="D7" s="1"/>
      <c r="E7" s="1"/>
      <c r="F7" s="1"/>
      <c r="G7" s="6"/>
      <c r="H7" s="6"/>
    </row>
    <row r="8" customFormat="false" ht="12.8" hidden="false" customHeight="false" outlineLevel="0" collapsed="false">
      <c r="A8" s="6" t="s">
        <v>10</v>
      </c>
      <c r="B8" s="6" t="n">
        <f aca="false">B5+B6+B7</f>
        <v>484</v>
      </c>
      <c r="C8" s="6" t="n">
        <f aca="false">SUM(C5:C7)</f>
        <v>450</v>
      </c>
      <c r="D8" s="1"/>
      <c r="E8" s="1"/>
      <c r="F8" s="1"/>
      <c r="G8" s="6"/>
      <c r="H8" s="6"/>
    </row>
    <row r="9" customFormat="false" ht="12.8" hidden="false" customHeight="false" outlineLevel="0" collapsed="false">
      <c r="A9" s="6" t="s">
        <v>11</v>
      </c>
      <c r="B9" s="1" t="n">
        <v>200</v>
      </c>
      <c r="C9" s="1" t="n">
        <v>200</v>
      </c>
      <c r="D9" s="1"/>
      <c r="E9" s="1"/>
      <c r="F9" s="1"/>
      <c r="G9" s="6"/>
      <c r="H9" s="6"/>
    </row>
    <row r="10" customFormat="false" ht="12.8" hidden="false" customHeight="false" outlineLevel="0" collapsed="false">
      <c r="A10" s="6" t="s">
        <v>12</v>
      </c>
      <c r="B10" s="6" t="n">
        <v>5.4</v>
      </c>
      <c r="C10" s="6" t="n">
        <v>6</v>
      </c>
      <c r="D10" s="6" t="s">
        <v>13</v>
      </c>
      <c r="E10" s="1"/>
      <c r="F10" s="1"/>
      <c r="G10" s="6"/>
      <c r="H10" s="6"/>
    </row>
    <row r="11" customFormat="false" ht="12.8" hidden="false" customHeight="false" outlineLevel="0" collapsed="false">
      <c r="A11" s="6" t="s">
        <v>14</v>
      </c>
      <c r="B11" s="6" t="n">
        <f aca="false">B10</f>
        <v>5.4</v>
      </c>
      <c r="C11" s="6" t="n">
        <f aca="false">C10+KEStransparency!B13</f>
        <v>10.5317685195385</v>
      </c>
      <c r="D11" s="6"/>
      <c r="E11" s="1"/>
      <c r="F11" s="1"/>
      <c r="G11" s="6"/>
      <c r="H11" s="6"/>
    </row>
    <row r="12" customFormat="false" ht="12.8" hidden="false" customHeight="false" outlineLevel="0" collapsed="false">
      <c r="A12" s="6" t="s">
        <v>15</v>
      </c>
      <c r="B12" s="6"/>
      <c r="C12" s="1"/>
      <c r="D12" s="1"/>
      <c r="E12" s="1"/>
      <c r="F12" s="1"/>
      <c r="G12" s="6"/>
      <c r="H12" s="6"/>
    </row>
    <row r="13" customFormat="false" ht="12.8" hidden="false" customHeight="false" outlineLevel="0" collapsed="false">
      <c r="A13" s="6" t="s">
        <v>16</v>
      </c>
      <c r="B13" s="6"/>
      <c r="C13" s="1" t="n">
        <v>4</v>
      </c>
      <c r="D13" s="1"/>
      <c r="E13" s="1"/>
      <c r="F13" s="1"/>
      <c r="G13" s="6"/>
      <c r="H13" s="6"/>
    </row>
    <row r="14" customFormat="false" ht="12.8" hidden="false" customHeight="false" outlineLevel="0" collapsed="false">
      <c r="A14" s="7" t="s">
        <v>17</v>
      </c>
      <c r="B14" s="7" t="n">
        <f aca="false">B10+B12</f>
        <v>5.4</v>
      </c>
      <c r="C14" s="7"/>
      <c r="D14" s="1"/>
      <c r="E14" s="1"/>
      <c r="F14" s="1"/>
      <c r="G14" s="6"/>
      <c r="H14" s="6"/>
    </row>
    <row r="15" customFormat="false" ht="12.8" hidden="false" customHeight="false" outlineLevel="0" collapsed="false">
      <c r="A15" s="7" t="s">
        <v>18</v>
      </c>
      <c r="B15" s="7" t="n">
        <v>25</v>
      </c>
      <c r="C15" s="7"/>
      <c r="D15" s="1"/>
      <c r="E15" s="1"/>
      <c r="F15" s="1"/>
      <c r="G15" s="6"/>
      <c r="H15" s="6"/>
    </row>
    <row r="16" customFormat="false" ht="12.8" hidden="false" customHeight="false" outlineLevel="0" collapsed="false">
      <c r="A16" s="7" t="s">
        <v>19</v>
      </c>
      <c r="B16" s="7" t="n">
        <f aca="false">B15/B14</f>
        <v>4.62962962962963</v>
      </c>
      <c r="C16" s="7"/>
      <c r="D16" s="1"/>
      <c r="E16" s="1"/>
      <c r="F16" s="1"/>
      <c r="G16" s="6"/>
      <c r="H16" s="6"/>
    </row>
    <row r="17" customFormat="false" ht="12.8" hidden="false" customHeight="false" outlineLevel="0" collapsed="false">
      <c r="A17" s="6" t="s">
        <v>20</v>
      </c>
      <c r="B17" s="6" t="n">
        <f aca="false">2.6/8</f>
        <v>0.325</v>
      </c>
      <c r="C17" s="1"/>
      <c r="D17" s="1"/>
      <c r="E17" s="1"/>
      <c r="F17" s="1"/>
      <c r="G17" s="6"/>
      <c r="H17" s="6"/>
    </row>
    <row r="18" customFormat="false" ht="12.8" hidden="false" customHeight="false" outlineLevel="0" collapsed="false">
      <c r="A18" s="6" t="s">
        <v>21</v>
      </c>
      <c r="B18" s="6" t="n">
        <f aca="false">B6*B17</f>
        <v>58.5</v>
      </c>
      <c r="C18" s="6" t="n">
        <v>40</v>
      </c>
      <c r="D18" s="1"/>
      <c r="E18" s="1" t="n">
        <f aca="false">180*0.4</f>
        <v>72</v>
      </c>
      <c r="F18" s="1"/>
      <c r="G18" s="6"/>
      <c r="H18" s="6"/>
    </row>
    <row r="19" customFormat="false" ht="12.8" hidden="false" customHeight="false" outlineLevel="0" collapsed="false">
      <c r="A19" s="6" t="s">
        <v>22</v>
      </c>
      <c r="B19" s="6" t="n">
        <f aca="false">B10*(1+B5/B6)</f>
        <v>14.52</v>
      </c>
      <c r="C19" s="6" t="n">
        <f aca="false">C10*(1+C5/C7)</f>
        <v>13.5</v>
      </c>
      <c r="D19" s="1"/>
      <c r="E19" s="1"/>
      <c r="F19" s="1"/>
      <c r="G19" s="6"/>
      <c r="H19" s="6"/>
      <c r="I19" s="0" t="n">
        <v>17.5</v>
      </c>
      <c r="J19" s="0" t="n">
        <v>15.6</v>
      </c>
    </row>
    <row r="20" customFormat="false" ht="12.8" hidden="false" customHeight="false" outlineLevel="0" collapsed="false">
      <c r="A20" s="6" t="s">
        <v>23</v>
      </c>
      <c r="B20" s="8" t="n">
        <f aca="false">B9*B10/(4*PI()*B8^2)</f>
        <v>0.00036687926571624</v>
      </c>
      <c r="C20" s="8" t="n">
        <f aca="false">C10*C9/(4*PI()*C5^2)</f>
        <v>0.0015278874536822</v>
      </c>
      <c r="D20" s="1"/>
      <c r="E20" s="1"/>
      <c r="F20" s="1"/>
      <c r="G20" s="6"/>
      <c r="H20" s="6"/>
    </row>
    <row r="21" customFormat="false" ht="12.8" hidden="false" customHeight="false" outlineLevel="0" collapsed="false">
      <c r="A21" s="1" t="s">
        <v>24</v>
      </c>
      <c r="B21" s="9" t="n">
        <f aca="false">B10*B9/(4*PI()*B8*B6)*(1-B17)</f>
        <v>0.000665885867274975</v>
      </c>
      <c r="C21" s="9" t="n">
        <f aca="false">C10*C9/(4*PI()*C8*C7)</f>
        <v>0.00106103295394597</v>
      </c>
      <c r="D21" s="6"/>
      <c r="E21" s="1"/>
      <c r="F21" s="1"/>
      <c r="G21" s="6"/>
      <c r="H21" s="6"/>
    </row>
    <row r="22" customFormat="false" ht="12.8" hidden="false" customHeight="false" outlineLevel="0" collapsed="false">
      <c r="A22" s="1" t="s">
        <v>25</v>
      </c>
      <c r="B22" s="9"/>
      <c r="C22" s="10" t="n">
        <f aca="false">4*10^(-4)</f>
        <v>0.0004</v>
      </c>
      <c r="D22" s="6"/>
      <c r="E22" s="1"/>
      <c r="F22" s="1"/>
      <c r="G22" s="6"/>
      <c r="H22" s="6"/>
      <c r="O22" s="0" t="n">
        <f aca="false">SQRT(2)/B24</f>
        <v>0.887535887543033</v>
      </c>
    </row>
    <row r="23" customFormat="false" ht="12.8" hidden="false" customHeight="false" outlineLevel="0" collapsed="false">
      <c r="A23" s="11" t="s">
        <v>26</v>
      </c>
      <c r="B23" s="6"/>
      <c r="C23" s="1"/>
      <c r="D23" s="1"/>
      <c r="E23" s="0" t="n">
        <v>200</v>
      </c>
      <c r="F23" s="0" t="n">
        <v>350</v>
      </c>
      <c r="G23" s="12" t="n">
        <v>400</v>
      </c>
      <c r="H23" s="1" t="n">
        <v>650</v>
      </c>
      <c r="I23" s="0" t="n">
        <v>400</v>
      </c>
      <c r="J23" s="0" t="n">
        <v>350</v>
      </c>
    </row>
    <row r="24" customFormat="false" ht="12.8" hidden="false" customHeight="false" outlineLevel="0" collapsed="false">
      <c r="A24" s="6" t="s">
        <v>27</v>
      </c>
      <c r="B24" s="13" t="n">
        <f aca="false">C21/B21</f>
        <v>1.59341563786008</v>
      </c>
      <c r="C24" s="1"/>
      <c r="D24" s="1"/>
      <c r="E24" s="6" t="n">
        <f aca="false">F23/E23</f>
        <v>1.75</v>
      </c>
      <c r="F24" s="6"/>
      <c r="G24" s="6" t="n">
        <f aca="false">H23/G23</f>
        <v>1.625</v>
      </c>
      <c r="H24" s="6"/>
      <c r="I24" s="6" t="n">
        <f aca="false">J23/I23</f>
        <v>0.875</v>
      </c>
    </row>
    <row r="25" customFormat="false" ht="12.8" hidden="false" customHeight="false" outlineLevel="0" collapsed="false">
      <c r="A25" s="0" t="s">
        <v>28</v>
      </c>
      <c r="B25" s="0" t="n">
        <f aca="false">C19/B19</f>
        <v>0.929752066115702</v>
      </c>
      <c r="I25" s="0" t="n">
        <f aca="false">J19/I19</f>
        <v>0.891428571428571</v>
      </c>
    </row>
    <row r="26" customFormat="false" ht="12.8" hidden="false" customHeight="false" outlineLevel="0" collapsed="false">
      <c r="A26" s="14" t="s">
        <v>29</v>
      </c>
      <c r="B26" s="14"/>
      <c r="C26" s="14"/>
      <c r="D26" s="14"/>
      <c r="E26" s="14"/>
      <c r="U26" s="0" t="s">
        <v>30</v>
      </c>
      <c r="V26" s="0" t="n">
        <f aca="false">4.4*10^(-2)*18/10</f>
        <v>0.0792</v>
      </c>
      <c r="X26" s="0" t="n">
        <f aca="false">EXP(-V26*5)</f>
        <v>0.673006695937386</v>
      </c>
    </row>
    <row r="27" customFormat="false" ht="12.8" hidden="false" customHeight="false" outlineLevel="0" collapsed="false">
      <c r="A27" s="14" t="s">
        <v>31</v>
      </c>
      <c r="B27" s="14"/>
      <c r="C27" s="14"/>
      <c r="D27" s="14"/>
      <c r="E27" s="14"/>
      <c r="U27" s="0" t="s">
        <v>32</v>
      </c>
      <c r="V27" s="0" t="n">
        <f aca="false">LN(2)/(V26*TAN(60*3.14159/180))</f>
        <v>5.05289809045416</v>
      </c>
    </row>
    <row r="29" customFormat="false" ht="12.8" hidden="false" customHeight="false" outlineLevel="0" collapsed="false">
      <c r="I29" s="15" t="s">
        <v>33</v>
      </c>
      <c r="Q29" s="15" t="s">
        <v>34</v>
      </c>
    </row>
  </sheetData>
  <mergeCells count="6">
    <mergeCell ref="E2:H2"/>
    <mergeCell ref="E3:F3"/>
    <mergeCell ref="G3:H3"/>
    <mergeCell ref="I3:J3"/>
    <mergeCell ref="A26:E26"/>
    <mergeCell ref="A27:E2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true" hidden="false" outlineLevel="0" max="1" min="1" style="0" width="24.7"/>
    <col collapsed="false" customWidth="true" hidden="false" outlineLevel="0" max="2" min="2" style="0" width="12.42"/>
    <col collapsed="false" customWidth="true" hidden="false" outlineLevel="0" max="3" min="3" style="0" width="10.65"/>
    <col collapsed="false" customWidth="true" hidden="false" outlineLevel="0" max="4" min="4" style="0" width="3.11"/>
    <col collapsed="false" customWidth="true" hidden="false" outlineLevel="0" max="1025" min="5" style="0" width="8.52"/>
  </cols>
  <sheetData>
    <row r="1" customFormat="false" ht="12.8" hidden="false" customHeight="false" outlineLevel="0" collapsed="false">
      <c r="A1" s="1"/>
      <c r="B1" s="1"/>
      <c r="C1" s="1"/>
      <c r="D1" s="1"/>
    </row>
    <row r="2" customFormat="false" ht="12.8" hidden="false" customHeight="false" outlineLevel="0" collapsed="false">
      <c r="A2" s="1"/>
      <c r="B2" s="2" t="s">
        <v>35</v>
      </c>
      <c r="C2" s="2"/>
      <c r="D2" s="1"/>
    </row>
    <row r="3" customFormat="false" ht="12.8" hidden="false" customHeight="false" outlineLevel="0" collapsed="false">
      <c r="A3" s="1"/>
      <c r="B3" s="6" t="s">
        <v>36</v>
      </c>
      <c r="C3" s="6" t="s">
        <v>6</v>
      </c>
      <c r="D3" s="1"/>
    </row>
    <row r="4" customFormat="false" ht="12.8" hidden="false" customHeight="false" outlineLevel="0" collapsed="false">
      <c r="A4" s="6" t="s">
        <v>7</v>
      </c>
      <c r="B4" s="6" t="n">
        <v>300</v>
      </c>
      <c r="C4" s="6" t="n">
        <v>300</v>
      </c>
      <c r="D4" s="1"/>
    </row>
    <row r="5" customFormat="false" ht="12.8" hidden="false" customHeight="false" outlineLevel="0" collapsed="false">
      <c r="A5" s="6" t="s">
        <v>8</v>
      </c>
      <c r="B5" s="6" t="n">
        <v>200</v>
      </c>
      <c r="C5" s="1"/>
      <c r="D5" s="1"/>
    </row>
    <row r="6" customFormat="false" ht="12.8" hidden="false" customHeight="false" outlineLevel="0" collapsed="false">
      <c r="A6" s="6" t="s">
        <v>9</v>
      </c>
      <c r="B6" s="6" t="n">
        <v>300</v>
      </c>
      <c r="C6" s="6" t="n">
        <v>300</v>
      </c>
      <c r="D6" s="1"/>
    </row>
    <row r="7" customFormat="false" ht="12.8" hidden="false" customHeight="false" outlineLevel="0" collapsed="false">
      <c r="A7" s="6" t="s">
        <v>10</v>
      </c>
      <c r="B7" s="6" t="n">
        <f aca="false">B4+B5+B6</f>
        <v>800</v>
      </c>
      <c r="C7" s="6" t="n">
        <f aca="false">SUM(C4:C6)</f>
        <v>600</v>
      </c>
      <c r="D7" s="1"/>
    </row>
    <row r="8" customFormat="false" ht="12.8" hidden="false" customHeight="false" outlineLevel="0" collapsed="false">
      <c r="A8" s="6" t="s">
        <v>12</v>
      </c>
      <c r="B8" s="6" t="n">
        <v>2</v>
      </c>
      <c r="C8" s="6" t="n">
        <v>6</v>
      </c>
      <c r="D8" s="6"/>
    </row>
    <row r="9" customFormat="false" ht="12.8" hidden="false" customHeight="false" outlineLevel="0" collapsed="false">
      <c r="A9" s="6" t="s">
        <v>15</v>
      </c>
      <c r="B9" s="6" t="n">
        <v>2</v>
      </c>
      <c r="C9" s="1"/>
      <c r="D9" s="1"/>
    </row>
    <row r="10" customFormat="false" ht="12.8" hidden="false" customHeight="false" outlineLevel="0" collapsed="false">
      <c r="A10" s="6" t="s">
        <v>20</v>
      </c>
      <c r="B10" s="6" t="n">
        <f aca="false">B9/(B8+B9)</f>
        <v>0.5</v>
      </c>
      <c r="C10" s="1"/>
      <c r="D10" s="1"/>
    </row>
    <row r="11" customFormat="false" ht="12.8" hidden="false" customHeight="false" outlineLevel="0" collapsed="false">
      <c r="A11" s="6" t="s">
        <v>21</v>
      </c>
      <c r="B11" s="6" t="n">
        <f aca="false">B5*B10</f>
        <v>100</v>
      </c>
      <c r="C11" s="6" t="n">
        <v>40</v>
      </c>
      <c r="D11" s="1"/>
    </row>
    <row r="12" customFormat="false" ht="12.8" hidden="false" customHeight="false" outlineLevel="0" collapsed="false">
      <c r="A12" s="6" t="s">
        <v>22</v>
      </c>
      <c r="B12" s="6" t="n">
        <f aca="false">B8*(1+B4/B5)</f>
        <v>5</v>
      </c>
      <c r="C12" s="6" t="n">
        <f aca="false">C8*(1+C4/C6)</f>
        <v>12</v>
      </c>
      <c r="D12" s="1"/>
    </row>
    <row r="13" customFormat="false" ht="12.8" hidden="false" customHeight="false" outlineLevel="0" collapsed="false">
      <c r="A13" s="6" t="s">
        <v>37</v>
      </c>
      <c r="B13" s="9" t="n">
        <f aca="false">B8*(1-B10)/(B7*B5)</f>
        <v>6.25E-006</v>
      </c>
      <c r="C13" s="9" t="e">
        <f aca="false">C3*C2/(4*PI()*C1*#REF!)</f>
        <v>#VALUE!</v>
      </c>
      <c r="D13" s="6"/>
    </row>
    <row r="14" customFormat="false" ht="12.8" hidden="false" customHeight="false" outlineLevel="0" collapsed="false">
      <c r="A14" s="6" t="s">
        <v>26</v>
      </c>
      <c r="B14" s="1"/>
      <c r="C14" s="1"/>
      <c r="D14" s="1"/>
    </row>
    <row r="15" customFormat="false" ht="12.8" hidden="false" customHeight="false" outlineLevel="0" collapsed="false">
      <c r="A15" s="6" t="s">
        <v>27</v>
      </c>
      <c r="B15" s="6" t="e">
        <f aca="false">C13/B13</f>
        <v>#VALUE!</v>
      </c>
      <c r="C15" s="1"/>
      <c r="D15" s="1"/>
    </row>
    <row r="17" customFormat="false" ht="12.8" hidden="false" customHeight="false" outlineLevel="0" collapsed="false">
      <c r="A17" s="14" t="s">
        <v>29</v>
      </c>
      <c r="B17" s="14"/>
      <c r="C17" s="14"/>
      <c r="D17" s="14"/>
    </row>
    <row r="18" customFormat="false" ht="12.8" hidden="false" customHeight="false" outlineLevel="0" collapsed="false">
      <c r="A18" s="14" t="s">
        <v>31</v>
      </c>
      <c r="B18" s="14"/>
      <c r="C18" s="14"/>
      <c r="D18" s="14"/>
    </row>
  </sheetData>
  <mergeCells count="3">
    <mergeCell ref="B2:C2"/>
    <mergeCell ref="A17:D17"/>
    <mergeCell ref="A18:D1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6" activeCellId="0" sqref="A16"/>
    </sheetView>
  </sheetViews>
  <sheetFormatPr defaultRowHeight="12.8" zeroHeight="false" outlineLevelRow="0" outlineLevelCol="0"/>
  <cols>
    <col collapsed="false" customWidth="true" hidden="false" outlineLevel="0" max="1" min="1" style="0" width="25.14"/>
    <col collapsed="false" customWidth="false" hidden="false" outlineLevel="0" max="5" min="2" style="0" width="11.52"/>
    <col collapsed="false" customWidth="true" hidden="false" outlineLevel="0" max="6" min="6" style="0" width="20.6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/>
      <c r="B1" s="1"/>
      <c r="C1" s="2"/>
    </row>
    <row r="2" customFormat="false" ht="12.8" hidden="false" customHeight="false" outlineLevel="0" collapsed="false">
      <c r="A2" s="1"/>
      <c r="B2" s="1" t="s">
        <v>5</v>
      </c>
      <c r="C2" s="6" t="s">
        <v>6</v>
      </c>
    </row>
    <row r="3" customFormat="false" ht="12.8" hidden="false" customHeight="false" outlineLevel="0" collapsed="false">
      <c r="A3" s="6" t="s">
        <v>7</v>
      </c>
      <c r="B3" s="6" t="n">
        <v>320</v>
      </c>
      <c r="C3" s="6" t="n">
        <v>250</v>
      </c>
    </row>
    <row r="4" customFormat="false" ht="12.8" hidden="false" customHeight="false" outlineLevel="0" collapsed="false">
      <c r="A4" s="6" t="s">
        <v>8</v>
      </c>
      <c r="B4" s="6" t="n">
        <v>190</v>
      </c>
      <c r="C4" s="1"/>
    </row>
    <row r="5" customFormat="false" ht="12.8" hidden="false" customHeight="false" outlineLevel="0" collapsed="false">
      <c r="A5" s="6" t="s">
        <v>9</v>
      </c>
      <c r="B5" s="6" t="n">
        <v>0</v>
      </c>
      <c r="C5" s="6" t="n">
        <v>200</v>
      </c>
    </row>
    <row r="6" customFormat="false" ht="12.8" hidden="false" customHeight="false" outlineLevel="0" collapsed="false">
      <c r="A6" s="6" t="s">
        <v>10</v>
      </c>
      <c r="B6" s="6" t="n">
        <f aca="false">B3+B4+B5</f>
        <v>510</v>
      </c>
      <c r="C6" s="6" t="n">
        <f aca="false">SUM(C3:C5)</f>
        <v>450</v>
      </c>
    </row>
    <row r="7" customFormat="false" ht="12.8" hidden="false" customHeight="false" outlineLevel="0" collapsed="false">
      <c r="A7" s="0" t="s">
        <v>11</v>
      </c>
      <c r="B7" s="0" t="n">
        <v>100</v>
      </c>
      <c r="C7" s="0" t="n">
        <v>200</v>
      </c>
    </row>
    <row r="8" customFormat="false" ht="12.8" hidden="false" customHeight="false" outlineLevel="0" collapsed="false">
      <c r="A8" s="6" t="s">
        <v>12</v>
      </c>
      <c r="B8" s="6" t="n">
        <v>3</v>
      </c>
      <c r="C8" s="6" t="n">
        <v>6</v>
      </c>
    </row>
    <row r="9" customFormat="false" ht="12.8" hidden="false" customHeight="false" outlineLevel="0" collapsed="false">
      <c r="A9" s="6" t="s">
        <v>15</v>
      </c>
      <c r="B9" s="6" t="n">
        <v>2</v>
      </c>
      <c r="C9" s="1"/>
    </row>
    <row r="10" customFormat="false" ht="12.8" hidden="false" customHeight="false" outlineLevel="0" collapsed="false">
      <c r="A10" s="0" t="s">
        <v>17</v>
      </c>
      <c r="B10" s="0" t="n">
        <f aca="false">B8+B9</f>
        <v>5</v>
      </c>
    </row>
    <row r="11" customFormat="false" ht="12.8" hidden="false" customHeight="false" outlineLevel="0" collapsed="false">
      <c r="A11" s="0" t="s">
        <v>18</v>
      </c>
      <c r="B11" s="0" t="n">
        <v>25</v>
      </c>
    </row>
    <row r="12" customFormat="false" ht="12.8" hidden="false" customHeight="false" outlineLevel="0" collapsed="false">
      <c r="A12" s="0" t="s">
        <v>19</v>
      </c>
      <c r="B12" s="0" t="n">
        <f aca="false">B11/B10</f>
        <v>5</v>
      </c>
    </row>
    <row r="13" customFormat="false" ht="12.8" hidden="false" customHeight="false" outlineLevel="0" collapsed="false">
      <c r="A13" s="6" t="s">
        <v>20</v>
      </c>
      <c r="B13" s="6" t="n">
        <f aca="false">B9/(B8+B9)</f>
        <v>0.4</v>
      </c>
      <c r="C13" s="1"/>
    </row>
    <row r="14" customFormat="false" ht="12.8" hidden="false" customHeight="false" outlineLevel="0" collapsed="false">
      <c r="A14" s="6" t="s">
        <v>21</v>
      </c>
      <c r="B14" s="6" t="n">
        <f aca="false">B4*B13</f>
        <v>76</v>
      </c>
      <c r="C14" s="6" t="n">
        <v>40</v>
      </c>
    </row>
    <row r="15" customFormat="false" ht="12.8" hidden="false" customHeight="false" outlineLevel="0" collapsed="false">
      <c r="A15" s="6" t="s">
        <v>22</v>
      </c>
      <c r="B15" s="6" t="n">
        <f aca="false">B8*(1+B3/B4)</f>
        <v>8.05263157894737</v>
      </c>
      <c r="C15" s="6" t="n">
        <f aca="false">C8*(1+C3/C5)</f>
        <v>13.5</v>
      </c>
    </row>
    <row r="16" customFormat="false" ht="12.8" hidden="false" customHeight="false" outlineLevel="0" collapsed="false">
      <c r="A16" s="0" t="s">
        <v>24</v>
      </c>
      <c r="B16" s="9" t="n">
        <f aca="false">B8*B7/(4*PI()*B6*B4)*(1-B13)</f>
        <v>0.000147821928568324</v>
      </c>
      <c r="C16" s="9" t="n">
        <f aca="false">C8*C7/(4*PI()*C6*C5)</f>
        <v>0.00106103295394597</v>
      </c>
    </row>
    <row r="17" customFormat="false" ht="12.8" hidden="false" customHeight="false" outlineLevel="0" collapsed="false">
      <c r="A17" s="6" t="s">
        <v>38</v>
      </c>
      <c r="B17" s="9" t="n">
        <f aca="false">B12*B16</f>
        <v>0.000739109642841619</v>
      </c>
    </row>
    <row r="18" customFormat="false" ht="12.8" hidden="false" customHeight="false" outlineLevel="0" collapsed="false">
      <c r="A18" s="6" t="s">
        <v>26</v>
      </c>
      <c r="B18" s="6"/>
      <c r="C18" s="1"/>
    </row>
    <row r="19" customFormat="false" ht="12.8" hidden="false" customHeight="false" outlineLevel="0" collapsed="false">
      <c r="A19" s="6" t="s">
        <v>27</v>
      </c>
      <c r="B19" s="6" t="n">
        <f aca="false">C16/B17</f>
        <v>1.43555555555556</v>
      </c>
      <c r="C19" s="1"/>
    </row>
    <row r="26" customFormat="false" ht="12.8" hidden="false" customHeight="false" outlineLevel="0" collapsed="false">
      <c r="F26" s="0" t="s">
        <v>39</v>
      </c>
      <c r="G26" s="0" t="n">
        <f aca="false">4*10^(-4)</f>
        <v>0.0004</v>
      </c>
    </row>
    <row r="27" customFormat="false" ht="12.8" hidden="false" customHeight="false" outlineLevel="0" collapsed="false">
      <c r="C27" s="0" t="n">
        <f aca="false">100*3/(4*PI()*B6^2)</f>
        <v>9.17848576077828E-005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8" activeCellId="0" sqref="B38"/>
    </sheetView>
  </sheetViews>
  <sheetFormatPr defaultRowHeight="12.8" zeroHeight="false" outlineLevelRow="0" outlineLevelCol="0"/>
  <cols>
    <col collapsed="false" customWidth="true" hidden="false" outlineLevel="0" max="1" min="1" style="0" width="33.47"/>
    <col collapsed="false" customWidth="true" hidden="false" outlineLevel="0" max="2" min="2" style="0" width="18.28"/>
    <col collapsed="false" customWidth="false" hidden="false" outlineLevel="0" max="5" min="3" style="0" width="11.52"/>
    <col collapsed="false" customWidth="true" hidden="false" outlineLevel="0" max="6" min="6" style="0" width="38.63"/>
    <col collapsed="false" customWidth="false" hidden="false" outlineLevel="0" max="1025" min="7" style="0" width="11.52"/>
  </cols>
  <sheetData>
    <row r="1" customFormat="false" ht="13.1" hidden="false" customHeight="false" outlineLevel="0" collapsed="false">
      <c r="F1" s="16" t="s">
        <v>40</v>
      </c>
    </row>
    <row r="2" customFormat="false" ht="12.8" hidden="false" customHeight="false" outlineLevel="0" collapsed="false">
      <c r="A2" s="17" t="s">
        <v>41</v>
      </c>
    </row>
    <row r="3" customFormat="false" ht="12.8" hidden="false" customHeight="false" outlineLevel="0" collapsed="false">
      <c r="A3" s="0" t="s">
        <v>42</v>
      </c>
      <c r="B3" s="18" t="n">
        <f aca="false">1.93*10</f>
        <v>19.3</v>
      </c>
      <c r="C3" s="19"/>
      <c r="D3" s="19"/>
      <c r="E3" s="19"/>
      <c r="F3" s="19"/>
    </row>
    <row r="4" customFormat="false" ht="12.8" hidden="false" customHeight="false" outlineLevel="0" collapsed="false">
      <c r="A4" s="19" t="s">
        <v>43</v>
      </c>
      <c r="B4" s="19" t="s">
        <v>44</v>
      </c>
      <c r="C4" s="19" t="s">
        <v>45</v>
      </c>
      <c r="D4" s="19"/>
      <c r="E4" s="19"/>
      <c r="F4" s="19"/>
    </row>
    <row r="5" customFormat="false" ht="12.8" hidden="false" customHeight="false" outlineLevel="0" collapsed="false">
      <c r="A5" s="19" t="n">
        <v>4</v>
      </c>
      <c r="B5" s="19" t="n">
        <v>0.04038</v>
      </c>
      <c r="C5" s="19" t="n">
        <f aca="false">B5*B3</f>
        <v>0.779334</v>
      </c>
      <c r="D5" s="19"/>
      <c r="E5" s="19"/>
      <c r="F5" s="19"/>
    </row>
    <row r="7" customFormat="false" ht="12.8" hidden="false" customHeight="false" outlineLevel="0" collapsed="false">
      <c r="A7" s="0" t="s">
        <v>46</v>
      </c>
    </row>
    <row r="8" customFormat="false" ht="12.8" hidden="false" customHeight="false" outlineLevel="0" collapsed="false">
      <c r="A8" s="0" t="s">
        <v>47</v>
      </c>
      <c r="B8" s="0" t="n">
        <v>40</v>
      </c>
    </row>
    <row r="9" customFormat="false" ht="12.8" hidden="false" customHeight="false" outlineLevel="0" collapsed="false">
      <c r="A9" s="0" t="s">
        <v>48</v>
      </c>
      <c r="B9" s="0" t="n">
        <v>63</v>
      </c>
    </row>
    <row r="10" customFormat="false" ht="12.8" hidden="false" customHeight="false" outlineLevel="0" collapsed="false">
      <c r="A10" s="19" t="s">
        <v>49</v>
      </c>
      <c r="B10" s="0" t="n">
        <f aca="false">B8/2/TAN(B9*PI()/180)</f>
        <v>10.1905089898886</v>
      </c>
    </row>
    <row r="13" customFormat="false" ht="12.8" hidden="false" customHeight="false" outlineLevel="0" collapsed="false">
      <c r="A13" s="0" t="s">
        <v>50</v>
      </c>
      <c r="B13" s="0" t="n">
        <f aca="false">LN(2)/(C5*TAN(B9*PI()/180))*10</f>
        <v>4.5317685195385</v>
      </c>
    </row>
    <row r="16" customFormat="false" ht="12.8" hidden="false" customHeight="false" outlineLevel="0" collapsed="false">
      <c r="A16" s="20" t="s">
        <v>51</v>
      </c>
    </row>
    <row r="17" customFormat="false" ht="12.8" hidden="false" customHeight="false" outlineLevel="0" collapsed="false">
      <c r="A17" s="0" t="s">
        <v>42</v>
      </c>
      <c r="B17" s="0" t="n">
        <v>7.4</v>
      </c>
    </row>
    <row r="18" customFormat="false" ht="12.8" hidden="false" customHeight="false" outlineLevel="0" collapsed="false">
      <c r="A18" s="19" t="s">
        <v>43</v>
      </c>
      <c r="B18" s="19" t="s">
        <v>44</v>
      </c>
      <c r="C18" s="19" t="s">
        <v>45</v>
      </c>
    </row>
    <row r="19" customFormat="false" ht="12.8" hidden="false" customHeight="false" outlineLevel="0" collapsed="false">
      <c r="A19" s="19" t="n">
        <v>4</v>
      </c>
      <c r="B19" s="19" t="n">
        <v>0.03785</v>
      </c>
      <c r="C19" s="19" t="n">
        <f aca="false">B19*B17</f>
        <v>0.28009</v>
      </c>
    </row>
    <row r="21" customFormat="false" ht="12.8" hidden="false" customHeight="false" outlineLevel="0" collapsed="false">
      <c r="A21" s="0" t="s">
        <v>52</v>
      </c>
      <c r="B21" s="0" t="n">
        <v>3</v>
      </c>
    </row>
    <row r="22" customFormat="false" ht="12.8" hidden="false" customHeight="false" outlineLevel="0" collapsed="false">
      <c r="A22" s="0" t="s">
        <v>53</v>
      </c>
      <c r="B22" s="0" t="n">
        <f aca="false">1-EXP(-C19*B21)</f>
        <v>0.568406022677814</v>
      </c>
    </row>
    <row r="24" customFormat="false" ht="12.8" hidden="false" customHeight="false" outlineLevel="0" collapsed="false">
      <c r="A24" s="20" t="s">
        <v>54</v>
      </c>
    </row>
    <row r="25" customFormat="false" ht="12.8" hidden="false" customHeight="false" outlineLevel="0" collapsed="false">
      <c r="A25" s="0" t="s">
        <v>42</v>
      </c>
      <c r="B25" s="0" t="n">
        <v>4.51</v>
      </c>
    </row>
    <row r="26" customFormat="false" ht="12.8" hidden="false" customHeight="false" outlineLevel="0" collapsed="false">
      <c r="A26" s="19" t="s">
        <v>43</v>
      </c>
      <c r="B26" s="19" t="s">
        <v>44</v>
      </c>
      <c r="C26" s="19" t="s">
        <v>45</v>
      </c>
    </row>
    <row r="27" customFormat="false" ht="12.8" hidden="false" customHeight="false" outlineLevel="0" collapsed="false">
      <c r="A27" s="19" t="n">
        <v>4</v>
      </c>
      <c r="B27" s="19" t="n">
        <v>0.0361</v>
      </c>
      <c r="C27" s="19" t="n">
        <f aca="false">B27*B25</f>
        <v>0.162811</v>
      </c>
    </row>
    <row r="29" customFormat="false" ht="12.8" hidden="false" customHeight="false" outlineLevel="0" collapsed="false">
      <c r="A29" s="0" t="s">
        <v>52</v>
      </c>
      <c r="B29" s="0" t="n">
        <v>3</v>
      </c>
    </row>
    <row r="30" customFormat="false" ht="12.8" hidden="false" customHeight="false" outlineLevel="0" collapsed="false">
      <c r="A30" s="0" t="s">
        <v>53</v>
      </c>
      <c r="B30" s="0" t="n">
        <f aca="false">1-EXP(-C27*B29)</f>
        <v>0.386412867714185</v>
      </c>
    </row>
    <row r="32" customFormat="false" ht="12.8" hidden="false" customHeight="false" outlineLevel="0" collapsed="false">
      <c r="A32" s="20" t="s">
        <v>55</v>
      </c>
    </row>
    <row r="33" customFormat="false" ht="12.8" hidden="false" customHeight="false" outlineLevel="0" collapsed="false">
      <c r="A33" s="0" t="s">
        <v>42</v>
      </c>
      <c r="B33" s="0" t="n">
        <v>7.13</v>
      </c>
    </row>
    <row r="34" customFormat="false" ht="12.8" hidden="false" customHeight="false" outlineLevel="0" collapsed="false">
      <c r="A34" s="19" t="s">
        <v>43</v>
      </c>
      <c r="B34" s="19" t="s">
        <v>44</v>
      </c>
      <c r="C34" s="19" t="s">
        <v>45</v>
      </c>
    </row>
    <row r="35" customFormat="false" ht="12.8" hidden="false" customHeight="false" outlineLevel="0" collapsed="false">
      <c r="A35" s="19" t="n">
        <v>4</v>
      </c>
      <c r="B35" s="19" t="n">
        <v>0.0389</v>
      </c>
      <c r="C35" s="19" t="n">
        <f aca="false">B35*B33</f>
        <v>0.277357</v>
      </c>
    </row>
    <row r="37" customFormat="false" ht="12.8" hidden="false" customHeight="false" outlineLevel="0" collapsed="false">
      <c r="A37" s="0" t="s">
        <v>52</v>
      </c>
      <c r="B37" s="0" t="n">
        <v>3</v>
      </c>
    </row>
    <row r="38" customFormat="false" ht="12.8" hidden="false" customHeight="false" outlineLevel="0" collapsed="false">
      <c r="A38" s="0" t="s">
        <v>53</v>
      </c>
      <c r="B38" s="0" t="n">
        <f aca="false">1-EXP(-C35*B37)</f>
        <v>0.564852837279011</v>
      </c>
    </row>
  </sheetData>
  <hyperlinks>
    <hyperlink ref="F1" r:id="rId1" display="https://www.physics.nist.gov/PhysRefData/Xcom/html/xcom1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T19" activeCellId="0" sqref="T19"/>
    </sheetView>
  </sheetViews>
  <sheetFormatPr defaultRowHeight="12.8" zeroHeight="false" outlineLevelRow="0" outlineLevelCol="0"/>
  <cols>
    <col collapsed="false" customWidth="true" hidden="false" outlineLevel="0" max="1" min="1" style="0" width="30.89"/>
    <col collapsed="false" customWidth="false" hidden="false" outlineLevel="0" max="2" min="2" style="0" width="11.52"/>
    <col collapsed="false" customWidth="true" hidden="false" outlineLevel="0" max="3" min="3" style="0" width="18.28"/>
    <col collapsed="false" customWidth="true" hidden="false" outlineLevel="0" max="4" min="4" style="0" width="10.31"/>
    <col collapsed="false" customWidth="true" hidden="false" outlineLevel="0" max="5" min="5" style="0" width="1.29"/>
    <col collapsed="false" customWidth="false" hidden="false" outlineLevel="0" max="7" min="6" style="0" width="11.52"/>
    <col collapsed="false" customWidth="true" hidden="false" outlineLevel="0" max="8" min="8" style="0" width="5.88"/>
    <col collapsed="false" customWidth="true" hidden="false" outlineLevel="0" max="9" min="9" style="0" width="1.29"/>
    <col collapsed="false" customWidth="false" hidden="false" outlineLevel="0" max="12" min="10" style="0" width="11.52"/>
    <col collapsed="false" customWidth="true" hidden="false" outlineLevel="0" max="13" min="13" style="0" width="3.12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21"/>
      <c r="B1" s="21"/>
      <c r="C1" s="21"/>
      <c r="D1" s="21"/>
      <c r="E1" s="21"/>
      <c r="N1" s="22" t="s">
        <v>56</v>
      </c>
      <c r="O1" s="22"/>
      <c r="P1" s="22"/>
      <c r="Q1" s="22"/>
      <c r="R1" s="22"/>
      <c r="S1" s="22"/>
      <c r="T1" s="22"/>
    </row>
    <row r="2" customFormat="false" ht="12.8" hidden="false" customHeight="false" outlineLevel="0" collapsed="false">
      <c r="A2" s="1"/>
      <c r="B2" s="22" t="s">
        <v>57</v>
      </c>
      <c r="C2" s="22"/>
      <c r="D2" s="22"/>
      <c r="E2" s="2"/>
      <c r="F2" s="22" t="s">
        <v>58</v>
      </c>
      <c r="G2" s="22"/>
      <c r="H2" s="22"/>
      <c r="I2" s="2"/>
      <c r="J2" s="22" t="s">
        <v>59</v>
      </c>
      <c r="K2" s="22"/>
      <c r="L2" s="22"/>
      <c r="N2" s="5" t="s">
        <v>60</v>
      </c>
      <c r="O2" s="5"/>
      <c r="P2" s="5"/>
      <c r="Q2" s="3" t="s">
        <v>61</v>
      </c>
      <c r="R2" s="3"/>
      <c r="S2" s="6" t="s">
        <v>62</v>
      </c>
      <c r="T2" s="6"/>
    </row>
    <row r="3" customFormat="false" ht="12.8" hidden="false" customHeight="false" outlineLevel="0" collapsed="false">
      <c r="A3" s="1"/>
      <c r="B3" s="1" t="s">
        <v>5</v>
      </c>
      <c r="C3" s="6" t="s">
        <v>6</v>
      </c>
      <c r="D3" s="6" t="s">
        <v>63</v>
      </c>
      <c r="E3" s="6"/>
      <c r="F3" s="1" t="s">
        <v>5</v>
      </c>
      <c r="G3" s="6" t="s">
        <v>6</v>
      </c>
      <c r="H3" s="6" t="s">
        <v>63</v>
      </c>
      <c r="I3" s="6"/>
      <c r="J3" s="1" t="s">
        <v>5</v>
      </c>
      <c r="K3" s="6" t="s">
        <v>6</v>
      </c>
      <c r="L3" s="6" t="s">
        <v>63</v>
      </c>
      <c r="N3" s="1" t="s">
        <v>5</v>
      </c>
      <c r="O3" s="6" t="s">
        <v>6</v>
      </c>
      <c r="P3" s="6" t="s">
        <v>63</v>
      </c>
      <c r="Q3" s="1" t="s">
        <v>5</v>
      </c>
      <c r="R3" s="6" t="s">
        <v>6</v>
      </c>
      <c r="S3" s="1" t="s">
        <v>5</v>
      </c>
      <c r="T3" s="6" t="s">
        <v>6</v>
      </c>
    </row>
    <row r="4" customFormat="false" ht="12.8" hidden="false" customHeight="false" outlineLevel="0" collapsed="false">
      <c r="A4" s="6" t="s">
        <v>7</v>
      </c>
      <c r="B4" s="6" t="n">
        <v>250</v>
      </c>
      <c r="C4" s="6" t="n">
        <v>220</v>
      </c>
      <c r="D4" s="6"/>
      <c r="E4" s="6"/>
      <c r="F4" s="6" t="n">
        <f aca="false">300-F5/2</f>
        <v>200</v>
      </c>
      <c r="G4" s="6" t="n">
        <v>300</v>
      </c>
      <c r="H4" s="6"/>
      <c r="I4" s="6"/>
      <c r="J4" s="6" t="n">
        <v>180</v>
      </c>
      <c r="K4" s="6" t="n">
        <f aca="false">180+20</f>
        <v>200</v>
      </c>
      <c r="L4" s="6"/>
      <c r="N4" s="6" t="n">
        <v>304</v>
      </c>
      <c r="O4" s="6" t="n">
        <v>250</v>
      </c>
      <c r="P4" s="6"/>
      <c r="Q4" s="6"/>
      <c r="R4" s="6"/>
      <c r="S4" s="6"/>
      <c r="T4" s="6"/>
    </row>
    <row r="5" customFormat="false" ht="12.8" hidden="false" customHeight="false" outlineLevel="0" collapsed="false">
      <c r="A5" s="6" t="s">
        <v>8</v>
      </c>
      <c r="B5" s="6" t="n">
        <v>100</v>
      </c>
      <c r="C5" s="1"/>
      <c r="D5" s="1"/>
      <c r="E5" s="1"/>
      <c r="F5" s="6" t="n">
        <v>200</v>
      </c>
      <c r="G5" s="1"/>
      <c r="H5" s="1"/>
      <c r="I5" s="1"/>
      <c r="J5" s="6" t="n">
        <v>100</v>
      </c>
      <c r="K5" s="1"/>
      <c r="L5" s="6"/>
      <c r="N5" s="6" t="n">
        <v>180</v>
      </c>
      <c r="O5" s="1"/>
      <c r="P5" s="1"/>
      <c r="Q5" s="6"/>
      <c r="R5" s="6"/>
      <c r="S5" s="6"/>
      <c r="T5" s="6"/>
    </row>
    <row r="6" customFormat="false" ht="12.8" hidden="false" customHeight="false" outlineLevel="0" collapsed="false">
      <c r="A6" s="6" t="s">
        <v>9</v>
      </c>
      <c r="B6" s="6" t="n">
        <v>0</v>
      </c>
      <c r="C6" s="6" t="n">
        <v>176</v>
      </c>
      <c r="D6" s="6"/>
      <c r="E6" s="6"/>
      <c r="F6" s="6" t="n">
        <f aca="false">300-F5/2</f>
        <v>200</v>
      </c>
      <c r="G6" s="6" t="n">
        <v>300</v>
      </c>
      <c r="H6" s="6"/>
      <c r="I6" s="6"/>
      <c r="J6" s="6" t="n">
        <v>0</v>
      </c>
      <c r="K6" s="6" t="n">
        <v>200</v>
      </c>
      <c r="L6" s="6"/>
      <c r="N6" s="6" t="n">
        <v>0</v>
      </c>
      <c r="O6" s="6" t="n">
        <v>200</v>
      </c>
      <c r="P6" s="6"/>
      <c r="Q6" s="6"/>
      <c r="R6" s="6"/>
      <c r="S6" s="6"/>
      <c r="T6" s="6"/>
    </row>
    <row r="7" customFormat="false" ht="12.8" hidden="false" customHeight="false" outlineLevel="0" collapsed="false">
      <c r="A7" s="6" t="s">
        <v>10</v>
      </c>
      <c r="B7" s="6" t="n">
        <f aca="false">B4+B5+B6</f>
        <v>350</v>
      </c>
      <c r="C7" s="6" t="n">
        <f aca="false">SUM(C4:C6)</f>
        <v>396</v>
      </c>
      <c r="D7" s="6"/>
      <c r="E7" s="6"/>
      <c r="F7" s="6" t="n">
        <f aca="false">F4+F5+F6</f>
        <v>600</v>
      </c>
      <c r="G7" s="6" t="n">
        <f aca="false">SUM(G4:G6)</f>
        <v>600</v>
      </c>
      <c r="H7" s="6"/>
      <c r="I7" s="6"/>
      <c r="J7" s="6" t="n">
        <f aca="false">J4+J5+J6</f>
        <v>280</v>
      </c>
      <c r="K7" s="6" t="n">
        <f aca="false">SUM(K4:K6)</f>
        <v>400</v>
      </c>
      <c r="L7" s="6"/>
      <c r="N7" s="6" t="n">
        <f aca="false">N4+N5+N6</f>
        <v>484</v>
      </c>
      <c r="O7" s="6" t="n">
        <f aca="false">SUM(O4:O6)</f>
        <v>450</v>
      </c>
      <c r="P7" s="6"/>
      <c r="Q7" s="6"/>
      <c r="R7" s="6"/>
      <c r="S7" s="6"/>
      <c r="T7" s="6"/>
    </row>
    <row r="8" customFormat="false" ht="12.8" hidden="false" customHeight="false" outlineLevel="0" collapsed="false">
      <c r="A8" s="6" t="s">
        <v>11</v>
      </c>
      <c r="B8" s="1" t="n">
        <v>100</v>
      </c>
      <c r="C8" s="1" t="n">
        <v>100</v>
      </c>
      <c r="D8" s="1"/>
      <c r="E8" s="1"/>
      <c r="F8" s="1" t="n">
        <v>100</v>
      </c>
      <c r="G8" s="1" t="n">
        <v>100</v>
      </c>
      <c r="H8" s="1"/>
      <c r="I8" s="1"/>
      <c r="J8" s="1" t="n">
        <v>200</v>
      </c>
      <c r="K8" s="1" t="n">
        <v>200</v>
      </c>
      <c r="L8" s="6"/>
      <c r="N8" s="1" t="n">
        <v>200</v>
      </c>
      <c r="O8" s="1" t="n">
        <v>200</v>
      </c>
      <c r="P8" s="1"/>
      <c r="Q8" s="6"/>
      <c r="R8" s="6"/>
      <c r="S8" s="6"/>
      <c r="T8" s="6"/>
    </row>
    <row r="9" customFormat="false" ht="12.8" hidden="false" customHeight="false" outlineLevel="0" collapsed="false">
      <c r="A9" s="6" t="s">
        <v>12</v>
      </c>
      <c r="B9" s="6" t="n">
        <v>2.4</v>
      </c>
      <c r="C9" s="6" t="n">
        <v>6</v>
      </c>
      <c r="D9" s="6"/>
      <c r="E9" s="6"/>
      <c r="F9" s="6" t="n">
        <v>2</v>
      </c>
      <c r="G9" s="6" t="n">
        <v>6</v>
      </c>
      <c r="H9" s="6"/>
      <c r="I9" s="6"/>
      <c r="J9" s="6" t="n">
        <v>2</v>
      </c>
      <c r="K9" s="6" t="n">
        <v>6</v>
      </c>
      <c r="L9" s="6"/>
      <c r="N9" s="6" t="n">
        <v>5.4</v>
      </c>
      <c r="O9" s="6" t="n">
        <v>6</v>
      </c>
      <c r="P9" s="6"/>
      <c r="Q9" s="6"/>
      <c r="R9" s="6"/>
      <c r="S9" s="6"/>
      <c r="T9" s="6"/>
    </row>
    <row r="10" customFormat="false" ht="12.8" hidden="false" customHeight="false" outlineLevel="0" collapsed="false">
      <c r="A10" s="6" t="s">
        <v>14</v>
      </c>
      <c r="B10" s="6" t="n">
        <f aca="false">B9</f>
        <v>2.4</v>
      </c>
      <c r="C10" s="6" t="n">
        <f aca="false">C9+KEStransparency!$B13</f>
        <v>10.5317685195385</v>
      </c>
      <c r="D10" s="6"/>
      <c r="E10" s="6"/>
      <c r="F10" s="6" t="n">
        <f aca="false">F9</f>
        <v>2</v>
      </c>
      <c r="G10" s="6" t="n">
        <f aca="false">G9+KEStransparency!$B13</f>
        <v>10.5317685195385</v>
      </c>
      <c r="H10" s="6"/>
      <c r="I10" s="6"/>
      <c r="J10" s="6" t="n">
        <f aca="false">J9</f>
        <v>2</v>
      </c>
      <c r="K10" s="6" t="n">
        <f aca="false">K9+KEStransparency!$B13</f>
        <v>10.5317685195385</v>
      </c>
      <c r="L10" s="6"/>
      <c r="N10" s="6" t="n">
        <f aca="false">N9</f>
        <v>5.4</v>
      </c>
      <c r="O10" s="6" t="n">
        <f aca="false">O9+KEStransparency!$B13</f>
        <v>10.5317685195385</v>
      </c>
      <c r="P10" s="6"/>
      <c r="Q10" s="6"/>
      <c r="R10" s="6"/>
      <c r="S10" s="6"/>
      <c r="T10" s="6"/>
    </row>
    <row r="11" customFormat="false" ht="12.8" hidden="false" customHeight="false" outlineLevel="0" collapsed="false">
      <c r="A11" s="6" t="s">
        <v>15</v>
      </c>
      <c r="B11" s="6" t="n">
        <v>1.6</v>
      </c>
      <c r="C11" s="1"/>
      <c r="D11" s="1"/>
      <c r="E11" s="1"/>
      <c r="F11" s="6" t="n">
        <v>2</v>
      </c>
      <c r="G11" s="1"/>
      <c r="H11" s="1"/>
      <c r="I11" s="1"/>
      <c r="J11" s="6" t="n">
        <v>2</v>
      </c>
      <c r="K11" s="1"/>
      <c r="L11" s="6"/>
      <c r="N11" s="6" t="n">
        <v>2.6</v>
      </c>
      <c r="O11" s="1"/>
      <c r="P11" s="1"/>
      <c r="Q11" s="6"/>
      <c r="R11" s="6"/>
      <c r="S11" s="6"/>
      <c r="T11" s="6"/>
    </row>
    <row r="12" customFormat="false" ht="12.8" hidden="false" customHeight="false" outlineLevel="0" collapsed="false">
      <c r="A12" s="6" t="s">
        <v>16</v>
      </c>
      <c r="B12" s="6"/>
      <c r="C12" s="1" t="n">
        <v>4</v>
      </c>
      <c r="D12" s="1"/>
      <c r="E12" s="1"/>
      <c r="F12" s="6"/>
      <c r="G12" s="1" t="n">
        <v>4</v>
      </c>
      <c r="H12" s="1"/>
      <c r="I12" s="1"/>
      <c r="J12" s="6"/>
      <c r="K12" s="1" t="n">
        <v>4</v>
      </c>
      <c r="L12" s="6"/>
      <c r="N12" s="6"/>
      <c r="O12" s="1" t="n">
        <v>4</v>
      </c>
      <c r="P12" s="1"/>
      <c r="Q12" s="6"/>
      <c r="R12" s="6"/>
      <c r="S12" s="6"/>
      <c r="T12" s="6"/>
    </row>
    <row r="13" customFormat="false" ht="12.8" hidden="false" customHeight="false" outlineLevel="0" collapsed="false">
      <c r="A13" s="6" t="s">
        <v>17</v>
      </c>
      <c r="B13" s="6" t="n">
        <f aca="false">B9+B11</f>
        <v>4</v>
      </c>
      <c r="C13" s="6"/>
      <c r="D13" s="6"/>
      <c r="E13" s="6"/>
      <c r="F13" s="6" t="n">
        <f aca="false">F9+F11</f>
        <v>4</v>
      </c>
      <c r="G13" s="6"/>
      <c r="H13" s="6"/>
      <c r="I13" s="6"/>
      <c r="J13" s="6" t="n">
        <f aca="false">J9+J11</f>
        <v>4</v>
      </c>
      <c r="K13" s="6" t="n">
        <v>4</v>
      </c>
      <c r="L13" s="1"/>
      <c r="N13" s="6" t="n">
        <f aca="false">N9+N11</f>
        <v>8</v>
      </c>
      <c r="O13" s="6"/>
      <c r="P13" s="6"/>
      <c r="Q13" s="6"/>
      <c r="R13" s="6"/>
      <c r="S13" s="6"/>
      <c r="T13" s="6"/>
    </row>
    <row r="14" customFormat="false" ht="12.8" hidden="false" customHeight="false" outlineLevel="0" collapsed="false">
      <c r="A14" s="6" t="s">
        <v>20</v>
      </c>
      <c r="B14" s="6" t="n">
        <f aca="false">B11/B13</f>
        <v>0.4</v>
      </c>
      <c r="C14" s="1"/>
      <c r="D14" s="1"/>
      <c r="E14" s="1"/>
      <c r="F14" s="6" t="n">
        <f aca="false">F11/F13</f>
        <v>0.5</v>
      </c>
      <c r="G14" s="1"/>
      <c r="H14" s="1"/>
      <c r="I14" s="1"/>
      <c r="J14" s="6" t="n">
        <f aca="false">J11/J13</f>
        <v>0.5</v>
      </c>
      <c r="K14" s="1"/>
      <c r="L14" s="6"/>
      <c r="N14" s="6" t="n">
        <f aca="false">N11/N13</f>
        <v>0.325</v>
      </c>
      <c r="O14" s="1"/>
      <c r="P14" s="1"/>
      <c r="Q14" s="6"/>
      <c r="R14" s="6"/>
      <c r="S14" s="6"/>
      <c r="T14" s="6"/>
    </row>
    <row r="15" customFormat="false" ht="12.8" hidden="false" customHeight="false" outlineLevel="0" collapsed="false">
      <c r="A15" s="6" t="s">
        <v>21</v>
      </c>
      <c r="B15" s="6" t="n">
        <f aca="false">B5*B14</f>
        <v>40</v>
      </c>
      <c r="C15" s="6" t="n">
        <v>40</v>
      </c>
      <c r="D15" s="6"/>
      <c r="E15" s="6"/>
      <c r="F15" s="6" t="n">
        <f aca="false">F5*F14</f>
        <v>100</v>
      </c>
      <c r="G15" s="6" t="n">
        <v>40</v>
      </c>
      <c r="H15" s="6"/>
      <c r="I15" s="6"/>
      <c r="J15" s="6" t="n">
        <f aca="false">J5*J14</f>
        <v>50</v>
      </c>
      <c r="K15" s="6" t="n">
        <v>40</v>
      </c>
      <c r="L15" s="6"/>
      <c r="N15" s="6" t="n">
        <f aca="false">N5*N14</f>
        <v>58.5</v>
      </c>
      <c r="O15" s="6" t="n">
        <v>40</v>
      </c>
      <c r="P15" s="6"/>
      <c r="Q15" s="6"/>
      <c r="R15" s="6"/>
      <c r="T15" s="6"/>
    </row>
    <row r="16" customFormat="false" ht="12.8" hidden="false" customHeight="false" outlineLevel="0" collapsed="false">
      <c r="A16" s="23" t="s">
        <v>64</v>
      </c>
      <c r="B16" s="23"/>
      <c r="C16" s="24" t="n">
        <f aca="false">C9*(1+C$4/C$6)</f>
        <v>13.5</v>
      </c>
      <c r="D16" s="23"/>
      <c r="E16" s="23"/>
      <c r="F16" s="23"/>
      <c r="G16" s="24" t="n">
        <f aca="false">G9*(1+G$4/G$6)</f>
        <v>12</v>
      </c>
      <c r="H16" s="23"/>
      <c r="I16" s="23"/>
      <c r="J16" s="23"/>
      <c r="K16" s="24" t="n">
        <f aca="false">K9*(1+K$4/K$6)</f>
        <v>12</v>
      </c>
      <c r="L16" s="23"/>
      <c r="M16" s="25"/>
      <c r="N16" s="24" t="n">
        <f aca="false">N9*(1+N4/N5)</f>
        <v>14.52</v>
      </c>
      <c r="O16" s="24" t="n">
        <f aca="false">O9*(1+O$4/O$6)</f>
        <v>13.5</v>
      </c>
      <c r="P16" s="23"/>
      <c r="Q16" s="26" t="n">
        <v>22.5</v>
      </c>
      <c r="R16" s="26" t="n">
        <v>12</v>
      </c>
      <c r="S16" s="26" t="n">
        <f aca="false">(Q16-N16)/Q16</f>
        <v>0.354666666666667</v>
      </c>
      <c r="T16" s="26" t="n">
        <f aca="false">(R16-O16)/R16</f>
        <v>-0.125</v>
      </c>
    </row>
    <row r="17" customFormat="false" ht="12.8" hidden="false" customHeight="false" outlineLevel="0" collapsed="false">
      <c r="A17" s="23" t="s">
        <v>65</v>
      </c>
      <c r="B17" s="24" t="n">
        <f aca="false">B10*(1+B4/B5)</f>
        <v>8.4</v>
      </c>
      <c r="C17" s="24" t="n">
        <f aca="false">C10*(1+C$4/C$6)</f>
        <v>23.6964791689616</v>
      </c>
      <c r="D17" s="24" t="n">
        <f aca="false">C17/B17</f>
        <v>2.82100942487638</v>
      </c>
      <c r="E17" s="24"/>
      <c r="F17" s="24" t="n">
        <f aca="false">F10*(1+F4/F5)</f>
        <v>4</v>
      </c>
      <c r="G17" s="24" t="n">
        <f aca="false">G10*(1+G$4/G$6)</f>
        <v>21.063537039077</v>
      </c>
      <c r="H17" s="24" t="n">
        <f aca="false">G17/F17</f>
        <v>5.26588425976925</v>
      </c>
      <c r="I17" s="24"/>
      <c r="J17" s="24" t="n">
        <f aca="false">J10*(1+J4/J5)</f>
        <v>5.6</v>
      </c>
      <c r="K17" s="24" t="n">
        <f aca="false">K10*(1+K$4/K$6)</f>
        <v>21.063537039077</v>
      </c>
      <c r="L17" s="24" t="n">
        <f aca="false">K17/J17</f>
        <v>3.76134589983518</v>
      </c>
      <c r="M17" s="27"/>
      <c r="O17" s="24" t="n">
        <f aca="false">O10*(1+O$4/O$6)</f>
        <v>23.6964791689616</v>
      </c>
      <c r="P17" s="24" t="n">
        <f aca="false">O17/N16</f>
        <v>1.63198892348221</v>
      </c>
      <c r="R17" s="26" t="n">
        <v>19.3</v>
      </c>
      <c r="S17" s="6"/>
      <c r="T17" s="26" t="n">
        <f aca="false">(R17-O17)/R17</f>
        <v>-0.227796848132727</v>
      </c>
    </row>
    <row r="18" customFormat="false" ht="12.8" hidden="false" customHeight="false" outlineLevel="0" collapsed="false">
      <c r="A18" s="6" t="s">
        <v>66</v>
      </c>
      <c r="B18" s="8"/>
      <c r="C18" s="8"/>
      <c r="D18" s="28"/>
      <c r="E18" s="8"/>
      <c r="F18" s="8"/>
      <c r="G18" s="8"/>
      <c r="H18" s="28"/>
      <c r="I18" s="8"/>
      <c r="J18" s="8" t="n">
        <v>6.3</v>
      </c>
      <c r="K18" s="8" t="n">
        <v>20.6</v>
      </c>
      <c r="L18" s="28" t="n">
        <f aca="false">K18/J18</f>
        <v>3.26984126984127</v>
      </c>
      <c r="Q18" s="1"/>
      <c r="R18" s="1"/>
      <c r="S18" s="1"/>
      <c r="T18" s="1"/>
    </row>
    <row r="19" customFormat="false" ht="12.8" hidden="false" customHeight="false" outlineLevel="0" collapsed="false">
      <c r="A19" s="29" t="s">
        <v>67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1" t="n">
        <f aca="false">N$8*N9/(4*PI()*N$7*N$5)*(1-N$14)</f>
        <v>0.000665885867274975</v>
      </c>
      <c r="O19" s="31" t="n">
        <f aca="false">O$8*O9/(4*PI()*O$7*O$6)</f>
        <v>0.00106103295394597</v>
      </c>
      <c r="P19" s="32" t="n">
        <f aca="false">O19/N19</f>
        <v>1.59341563786008</v>
      </c>
      <c r="Q19" s="31" t="n">
        <f aca="false">6.49*10^(-4)</f>
        <v>0.000649</v>
      </c>
      <c r="R19" s="31" t="n">
        <f aca="false">9.74*10^(-4)</f>
        <v>0.000974</v>
      </c>
      <c r="S19" s="30" t="n">
        <f aca="false">(Q19-N19)/Q19</f>
        <v>-0.02601828547762</v>
      </c>
      <c r="T19" s="30" t="n">
        <f aca="false">(R19-O19)/R19</f>
        <v>-0.089356215550276</v>
      </c>
    </row>
    <row r="20" customFormat="false" ht="12.8" hidden="false" customHeight="false" outlineLevel="0" collapsed="false">
      <c r="A20" s="29" t="s">
        <v>68</v>
      </c>
      <c r="B20" s="31" t="n">
        <f aca="false">B8*B10/(4*PI()*B7*B5)*(1-B14)</f>
        <v>0.00032740445436047</v>
      </c>
      <c r="C20" s="31" t="n">
        <f aca="false">C8*C10/(4*PI()*C7*C6)</f>
        <v>0.00120249585297877</v>
      </c>
      <c r="D20" s="32" t="n">
        <f aca="false">C20/B20</f>
        <v>3.67281457831</v>
      </c>
      <c r="E20" s="31"/>
      <c r="F20" s="31" t="n">
        <f aca="false">F8*F10/(4*PI()*F7*F5)*(1-F14)</f>
        <v>6.6314559621623E-005</v>
      </c>
      <c r="G20" s="31" t="n">
        <f aca="false">G8*G10/(4*PI()*G7*G6)</f>
        <v>0.000465606394273379</v>
      </c>
      <c r="H20" s="32" t="n">
        <f aca="false">G20/F20</f>
        <v>7.02117901302567</v>
      </c>
      <c r="I20" s="31"/>
      <c r="J20" s="31" t="n">
        <f aca="false">J8*J10/(4*PI()*J7*J5)*(1-J14)</f>
        <v>0.000568410511042483</v>
      </c>
      <c r="K20" s="31" t="n">
        <f aca="false">K8*K10/(4*PI()*K7*K6)</f>
        <v>0.00209522877423021</v>
      </c>
      <c r="L20" s="32" t="n">
        <f aca="false">K20/J20</f>
        <v>3.68611898183847</v>
      </c>
      <c r="M20" s="30"/>
      <c r="N20" s="31" t="n">
        <f aca="false">N19*KEStransparency!B38</f>
        <v>0.000376127521434265</v>
      </c>
      <c r="O20" s="31" t="n">
        <f aca="false">O19*KEStransparency!B22</f>
        <v>0.000603097521282521</v>
      </c>
      <c r="P20" s="32" t="n">
        <f aca="false">O20/N20</f>
        <v>1.603438958635</v>
      </c>
      <c r="Q20" s="31" t="n">
        <f aca="false">6.61*10^(-4)</f>
        <v>0.000661</v>
      </c>
      <c r="R20" s="31" t="n">
        <f aca="false">1.03*10^(-3)</f>
        <v>0.00103</v>
      </c>
      <c r="S20" s="30" t="n">
        <f aca="false">(Q20-N20)/Q20</f>
        <v>0.430971979675848</v>
      </c>
      <c r="T20" s="30" t="n">
        <f aca="false">(R20-O20)/R20</f>
        <v>0.4144684259393</v>
      </c>
    </row>
    <row r="21" customFormat="false" ht="12.8" hidden="false" customHeight="false" outlineLevel="0" collapsed="false">
      <c r="A21" s="1" t="s">
        <v>69</v>
      </c>
      <c r="B21" s="9"/>
      <c r="C21" s="9" t="n">
        <f aca="false">4*10^(-4)</f>
        <v>0.0004</v>
      </c>
      <c r="D21" s="9"/>
      <c r="E21" s="9"/>
      <c r="F21" s="9"/>
      <c r="G21" s="9"/>
      <c r="H21" s="9"/>
      <c r="I21" s="9"/>
      <c r="J21" s="9" t="n">
        <f aca="false">3*10^(-4)</f>
        <v>0.0003</v>
      </c>
      <c r="K21" s="9" t="n">
        <f aca="false">7.2*10^(-4)</f>
        <v>0.00072</v>
      </c>
      <c r="L21" s="33" t="n">
        <f aca="false">K21/J21</f>
        <v>2.4</v>
      </c>
      <c r="N21" s="9"/>
      <c r="O21" s="9" t="n">
        <f aca="false">4*10^(-4)</f>
        <v>0.0004</v>
      </c>
      <c r="P21" s="9"/>
      <c r="Q21" s="6"/>
      <c r="R21" s="6"/>
      <c r="S21" s="6"/>
      <c r="T21" s="6"/>
    </row>
    <row r="22" customFormat="false" ht="12.8" hidden="false" customHeight="false" outlineLevel="0" collapsed="false">
      <c r="A22" s="0" t="s">
        <v>70</v>
      </c>
      <c r="C22" s="19" t="s">
        <v>1</v>
      </c>
      <c r="K22" s="0" t="s">
        <v>59</v>
      </c>
    </row>
    <row r="23" customFormat="false" ht="12.8" hidden="false" customHeight="false" outlineLevel="0" collapsed="false">
      <c r="A23" s="0" t="s">
        <v>71</v>
      </c>
      <c r="J23" s="0" t="n">
        <f aca="false">J20/J21</f>
        <v>1.89470170347494</v>
      </c>
      <c r="K23" s="0" t="n">
        <f aca="false">K20/K21</f>
        <v>2.91003996420862</v>
      </c>
    </row>
    <row r="24" customFormat="false" ht="12.8" hidden="false" customHeight="false" outlineLevel="0" collapsed="false">
      <c r="A24" s="0" t="s">
        <v>72</v>
      </c>
      <c r="J24" s="0" t="n">
        <f aca="false">1/KEStransparency!B30</f>
        <v>2.58790553719257</v>
      </c>
      <c r="K24" s="0" t="n">
        <f aca="false">1/KEStransparency!B22</f>
        <v>1.75930577809311</v>
      </c>
    </row>
    <row r="25" customFormat="false" ht="12.8" hidden="false" customHeight="false" outlineLevel="0" collapsed="false">
      <c r="A25" s="0" t="s">
        <v>73</v>
      </c>
      <c r="J25" s="0" t="n">
        <f aca="false">J17/J13</f>
        <v>1.4</v>
      </c>
      <c r="K25" s="0" t="n">
        <f aca="false">K17/K13</f>
        <v>5.26588425976925</v>
      </c>
    </row>
    <row r="27" customFormat="false" ht="12.8" hidden="false" customHeight="false" outlineLevel="0" collapsed="false">
      <c r="A27" s="17" t="s">
        <v>74</v>
      </c>
    </row>
    <row r="28" customFormat="false" ht="12.8" hidden="false" customHeight="false" outlineLevel="0" collapsed="false">
      <c r="B28" s="0" t="s">
        <v>5</v>
      </c>
      <c r="C28" s="0" t="s">
        <v>6</v>
      </c>
    </row>
    <row r="29" customFormat="false" ht="12.8" hidden="false" customHeight="false" outlineLevel="0" collapsed="false">
      <c r="A29" s="0" t="s">
        <v>75</v>
      </c>
      <c r="B29" s="34" t="n">
        <f aca="false">B17</f>
        <v>8.4</v>
      </c>
      <c r="C29" s="34" t="n">
        <f aca="false">C17</f>
        <v>23.6964791689616</v>
      </c>
    </row>
    <row r="30" customFormat="false" ht="12.8" hidden="false" customHeight="false" outlineLevel="0" collapsed="false">
      <c r="A30" s="0" t="s">
        <v>76</v>
      </c>
      <c r="B30" s="34" t="n">
        <f aca="false">F17</f>
        <v>4</v>
      </c>
      <c r="C30" s="34" t="n">
        <f aca="false">G17</f>
        <v>21.063537039077</v>
      </c>
    </row>
    <row r="31" customFormat="false" ht="12.8" hidden="false" customHeight="false" outlineLevel="0" collapsed="false">
      <c r="A31" s="0" t="s">
        <v>77</v>
      </c>
      <c r="B31" s="34" t="n">
        <f aca="false">J17</f>
        <v>5.6</v>
      </c>
      <c r="C31" s="34" t="n">
        <f aca="false">K17</f>
        <v>21.063537039077</v>
      </c>
    </row>
    <row r="32" customFormat="false" ht="12.8" hidden="false" customHeight="false" outlineLevel="0" collapsed="false">
      <c r="A32" s="0" t="s">
        <v>78</v>
      </c>
      <c r="B32" s="34" t="n">
        <f aca="false">J18</f>
        <v>6.3</v>
      </c>
      <c r="C32" s="34" t="n">
        <f aca="false">K18</f>
        <v>20.6</v>
      </c>
    </row>
    <row r="34" customFormat="false" ht="12.8" hidden="false" customHeight="false" outlineLevel="0" collapsed="false">
      <c r="A34" s="0" t="s">
        <v>79</v>
      </c>
    </row>
    <row r="35" customFormat="false" ht="12.8" hidden="false" customHeight="false" outlineLevel="0" collapsed="false">
      <c r="B35" s="0" t="s">
        <v>5</v>
      </c>
      <c r="C35" s="0" t="s">
        <v>6</v>
      </c>
    </row>
    <row r="36" customFormat="false" ht="12.8" hidden="false" customHeight="false" outlineLevel="0" collapsed="false">
      <c r="A36" s="0" t="s">
        <v>75</v>
      </c>
      <c r="B36" s="34" t="n">
        <f aca="false">B20</f>
        <v>0.00032740445436047</v>
      </c>
      <c r="C36" s="34" t="n">
        <f aca="false">C20</f>
        <v>0.00120249585297877</v>
      </c>
    </row>
    <row r="37" customFormat="false" ht="12.8" hidden="false" customHeight="false" outlineLevel="0" collapsed="false">
      <c r="A37" s="0" t="s">
        <v>76</v>
      </c>
      <c r="B37" s="34" t="n">
        <f aca="false">F20</f>
        <v>6.6314559621623E-005</v>
      </c>
      <c r="C37" s="34" t="n">
        <f aca="false">G20</f>
        <v>0.000465606394273379</v>
      </c>
    </row>
    <row r="38" customFormat="false" ht="12.8" hidden="false" customHeight="false" outlineLevel="0" collapsed="false">
      <c r="A38" s="0" t="s">
        <v>77</v>
      </c>
      <c r="B38" s="34" t="n">
        <f aca="false">J20</f>
        <v>0.000568410511042483</v>
      </c>
      <c r="C38" s="34" t="n">
        <f aca="false">K20</f>
        <v>0.00209522877423021</v>
      </c>
    </row>
    <row r="39" customFormat="false" ht="12.8" hidden="false" customHeight="false" outlineLevel="0" collapsed="false">
      <c r="A39" s="0" t="s">
        <v>80</v>
      </c>
      <c r="B39" s="34" t="n">
        <f aca="false">B38*KEStransparency!B30</f>
        <v>0.000219641135610811</v>
      </c>
      <c r="C39" s="34" t="n">
        <f aca="false">C38*KEStransparency!B22</f>
        <v>0.0011909406541603</v>
      </c>
    </row>
    <row r="40" customFormat="false" ht="12.8" hidden="false" customHeight="false" outlineLevel="0" collapsed="false">
      <c r="A40" s="0" t="s">
        <v>78</v>
      </c>
      <c r="B40" s="34" t="n">
        <f aca="false">J21</f>
        <v>0.0003</v>
      </c>
      <c r="C40" s="34" t="n">
        <f aca="false">K21</f>
        <v>0.00072</v>
      </c>
    </row>
  </sheetData>
  <mergeCells count="6">
    <mergeCell ref="N1:T1"/>
    <mergeCell ref="B2:D2"/>
    <mergeCell ref="F2:H2"/>
    <mergeCell ref="J2:L2"/>
    <mergeCell ref="N2:P2"/>
    <mergeCell ref="Q2:R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2015-10-15T23:09:21Z</dcterms:created>
  <dc:creator>Etienne TESTA</dc:creator>
  <dc:description/>
  <dc:language>fr-FR</dc:language>
  <cp:lastModifiedBy>Etienne Testa</cp:lastModifiedBy>
  <dcterms:modified xsi:type="dcterms:W3CDTF">2019-09-18T17:32:26Z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