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39.png" ContentType="image/png"/>
  <Override PartName="/xl/media/image141.png" ContentType="image/png"/>
  <Override PartName="/xl/media/image134.png" ContentType="image/png"/>
  <Override PartName="/xl/media/image140.png" ContentType="image/png"/>
  <Override PartName="/xl/media/image133.png" ContentType="image/png"/>
  <Override PartName="/xl/media/image142.png" ContentType="image/png"/>
  <Override PartName="/xl/media/image135.png" ContentType="image/png"/>
  <Override PartName="/xl/media/image143.png" ContentType="image/png"/>
  <Override PartName="/xl/media/image136.png" ContentType="image/png"/>
  <Override PartName="/xl/media/image137.png" ContentType="image/png"/>
  <Override PartName="/xl/media/image13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ent" sheetId="1" state="visible" r:id="rId2"/>
    <sheet name="Lin" sheetId="2" state="visible" r:id="rId3"/>
    <sheet name="AbsoluteEfficiency" sheetId="3" state="visible" r:id="rId4"/>
    <sheet name="KEStransparency" sheetId="4" state="visible" r:id="rId5"/>
    <sheet name="AllTogeth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<sst xmlns="http://schemas.openxmlformats.org/spreadsheetml/2006/main" count="156" uniqueCount="74">
  <si>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</si>
  <si>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</si>
  <si>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</si>
  <si>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</si>
  <si>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</si>
  <si>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</si>
  <si>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</si>
  <si>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</si>
  <si>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</si>
  <si>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</si>
  <si>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</si>
  <si>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</si>
  <si>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</si>
  <si>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</si>
  <si>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s_e (mm)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</si>
  <si>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</si>
  <si>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</si>
  <si>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</si>
  <si>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</si>
  <si>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</si>
  <si>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</si>
  <si>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</si>
  <si>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</si>
  <si>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</si>
  <si>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</si>
  <si>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</si>
  <si>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</si>
  <si>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</si>
  <si>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</si>
  <si>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</si>
  <si>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</si>
  <si>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</si>
  <si>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</si>
  <si>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</si>
  <si>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</si>
  <si>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</si>
  <si>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</si>
  <si>
    <t xml:space="preserve">Lin. Coll. Eff (relative)</t>
  </si>
  <si>
    <t xml:space="preserve">Detection efficiency</t>
  </si>
  <si>
    <t xml:space="preserve">Efficaicté KES publiée</t>
  </si>
  <si>
    <t xml:space="preserve">https://physics.nist.gov/cgi-bin/Xcom/xcom2</t>
  </si>
  <si>
    <t xml:space="preserve">Tungsten</t>
  </si>
  <si>
    <t xml:space="preserve">Density</t>
  </si>
  <si>
    <t xml:space="preserve">Energy (MeV)</t>
  </si>
  <si>
    <t xml:space="preserve">mu/rho (cm2/g)</t>
  </si>
  <si>
    <t xml:space="preserve">mu (cm-1)</t>
  </si>
  <si>
    <t xml:space="preserve">With of the knife-edge</t>
  </si>
  <si>
    <t xml:space="preserve">Collimator thickness (mm)</t>
  </si>
  <si>
    <t xml:space="preserve">Knife-edge angle (degree)</t>
  </si>
  <si>
    <t xml:space="preserve">With of the knife-edge (mm)</t>
  </si>
  <si>
    <t xml:space="preserve">ln(2)/(mu*tan(alpha)) (mm)</t>
  </si>
  <si>
    <t xml:space="preserve">Lu2SiO5 (LSO)</t>
  </si>
  <si>
    <t xml:space="preserve">Thickness (cm)</t>
  </si>
  <si>
    <t xml:space="preserve">Detection efficiency (interaction prob.)</t>
  </si>
  <si>
    <t xml:space="preserve">CsI</t>
  </si>
  <si>
    <t xml:space="preserve">Smeets 2016</t>
  </si>
  <si>
    <t xml:space="preserve">Lin 2017</t>
  </si>
  <si>
    <t xml:space="preserve">Park 2017</t>
  </si>
  <si>
    <t xml:space="preserve">Brent</t>
  </si>
  <si>
    <t xml:space="preserve">Ratio</t>
  </si>
  <si>
    <t xml:space="preserve">Res (mm)</t>
  </si>
  <si>
    <t xml:space="preserve">Published Res (mm)</t>
  </si>
  <si>
    <t xml:space="preserve">Eff</t>
  </si>
  <si>
    <t xml:space="preserve">Published eff</t>
  </si>
  <si>
    <t xml:space="preserve">Reference for eff</t>
  </si>
  <si>
    <t xml:space="preserve">AM eff / published eff</t>
  </si>
  <si>
    <t xml:space="preserve">1/(Estimated intrinsic absorber eff.)</t>
  </si>
  <si>
    <t xml:space="preserve">FOV factor</t>
  </si>
  <si>
    <r>
      <rPr>
        <sz val="10"/>
        <rFont val="Arial"/>
        <family val="2"/>
        <charset val="1"/>
      </rPr>
      <t xml:space="preserve">Smeets 2016</t>
    </r>
    <r>
      <rPr>
        <sz val="10"/>
        <rFont val="Arial"/>
        <family val="2"/>
      </rPr>
      <t xml:space="preserve"> – AM</t>
    </r>
  </si>
  <si>
    <r>
      <rPr>
        <sz val="10"/>
        <rFont val="Arial"/>
        <family val="2"/>
        <charset val="1"/>
      </rPr>
      <t xml:space="preserve">Lin 2017</t>
    </r>
    <r>
      <rPr>
        <sz val="10"/>
        <rFont val="Arial"/>
        <family val="2"/>
      </rPr>
      <t xml:space="preserve"> – AM</t>
    </r>
  </si>
  <si>
    <t xml:space="preserve">Park 2017 - AM</t>
  </si>
  <si>
    <t xml:space="preserve">Park 2017 – Published</t>
  </si>
  <si>
    <t xml:space="preserve">Eff </t>
  </si>
  <si>
    <t xml:space="preserve">Park 2017 – AM corrected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</si>
</sst>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E+000"/>
    <numFmt numFmtId="167" formatCode="#,##0.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Spatial resolution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40168740169"/>
          <c:y val="0.110895329150483"/>
          <c:w val="0.715572715572716"/>
          <c:h val="0.685489493078379"/>
        </c:manualLayout>
      </c:layout>
      <c:lineChart>
        <c:grouping val="standard"/>
        <c:varyColors val="0"/>
        <c:ser>
          <c:idx val="0"/>
          <c:order val="0"/>
          <c:tx>
            <c:strRef>
              <c:f>AllTogether!$B$26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AllTogether!$A$27:$A$29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AllTogether!$B$27:$B$29</c:f>
              <c:numCache>
                <c:formatCode>General</c:formatCode>
                <c:ptCount val="3"/>
                <c:pt idx="0">
                  <c:v>8.4</c:v>
                </c:pt>
                <c:pt idx="1">
                  <c:v>4</c:v>
                </c:pt>
                <c:pt idx="2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AllTogether!$C$26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AllTogether!$A$27:$A$29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AllTogether!$C$27:$C$29</c:f>
              <c:numCache>
                <c:formatCode>General</c:formatCode>
                <c:ptCount val="3"/>
                <c:pt idx="0">
                  <c:v>23.6964791689616</c:v>
                </c:pt>
                <c:pt idx="1">
                  <c:v>21.063537039077</c:v>
                </c:pt>
                <c:pt idx="2">
                  <c:v>21.063537039077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521968"/>
        <c:axId val="37081438"/>
      </c:lineChart>
      <c:catAx>
        <c:axId val="8652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81438"/>
        <c:crosses val="autoZero"/>
        <c:auto val="1"/>
        <c:lblAlgn val="ctr"/>
        <c:lblOffset val="100"/>
      </c:catAx>
      <c:valAx>
        <c:axId val="37081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2196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2705562705563"/>
          <c:y val="0.297480330644358"/>
          <c:w val="0.170599170599171"/>
          <c:h val="0.17737277163629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AllTogether!$B$33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AllTogether!$A$34:$A$36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AllTogether!$B$34:$B$36</c:f>
              <c:numCache>
                <c:formatCode>General</c:formatCode>
                <c:ptCount val="3"/>
                <c:pt idx="0">
                  <c:v>0.00032740445436047</c:v>
                </c:pt>
                <c:pt idx="1">
                  <c:v>6.6314559621623E-005</c:v>
                </c:pt>
                <c:pt idx="2">
                  <c:v>0.000568410511042483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AllTogether!$C$33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AllTogether!$A$34:$A$36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AllTogether!$C$34:$C$36</c:f>
              <c:numCache>
                <c:formatCode>General</c:formatCode>
                <c:ptCount val="3"/>
                <c:pt idx="0">
                  <c:v>0.00120249585297877</c:v>
                </c:pt>
                <c:pt idx="1">
                  <c:v>0.000465606394273379</c:v>
                </c:pt>
                <c:pt idx="2">
                  <c:v>0.00209522877423021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609025"/>
        <c:axId val="97489750"/>
      </c:lineChart>
      <c:catAx>
        <c:axId val="74609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89750"/>
        <c:crosses val="autoZero"/>
        <c:auto val="1"/>
        <c:lblAlgn val="ctr"/>
        <c:lblOffset val="100"/>
      </c:catAx>
      <c:valAx>
        <c:axId val="97489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09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89430894308943"/>
          <c:y val="0.242114615726344"/>
          <c:w val="0.118824265165729"/>
          <c:h val="0.12161261661483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3.png"/><Relationship Id="rId2" Type="http://schemas.openxmlformats.org/officeDocument/2006/relationships/image" Target="../media/image134.png"/><Relationship Id="rId3" Type="http://schemas.openxmlformats.org/officeDocument/2006/relationships/image" Target="../media/image135.png"/><Relationship Id="rId4" Type="http://schemas.openxmlformats.org/officeDocument/2006/relationships/image" Target="../media/image136.png"/><Relationship Id="rId5" Type="http://schemas.openxmlformats.org/officeDocument/2006/relationships/image" Target="../media/image137.png"/><Relationship Id="rId6" Type="http://schemas.openxmlformats.org/officeDocument/2006/relationships/image" Target="../media/image1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9.png"/><Relationship Id="rId2" Type="http://schemas.openxmlformats.org/officeDocument/2006/relationships/image" Target="../media/image140.png"/><Relationship Id="rId3" Type="http://schemas.openxmlformats.org/officeDocument/2006/relationships/image" Target="../media/image14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2.png"/><Relationship Id="rId2" Type="http://schemas.openxmlformats.org/officeDocument/2006/relationships/image" Target="../media/image14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463320</xdr:colOff>
      <xdr:row>18</xdr:row>
      <xdr:rowOff>50760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81560" y="0"/>
          <a:ext cx="2031480" cy="297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352080</xdr:colOff>
      <xdr:row>18</xdr:row>
      <xdr:rowOff>18720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1520" y="56160"/>
          <a:ext cx="2326320" cy="288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281880</xdr:colOff>
      <xdr:row>58</xdr:row>
      <xdr:rowOff>60840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3999600" cy="499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573480</xdr:colOff>
      <xdr:row>14</xdr:row>
      <xdr:rowOff>86400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4960" y="474480"/>
          <a:ext cx="4167720" cy="188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362160</xdr:colOff>
      <xdr:row>52</xdr:row>
      <xdr:rowOff>136440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308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75600</xdr:colOff>
      <xdr:row>53</xdr:row>
      <xdr:rowOff>60120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2840" y="4930920"/>
          <a:ext cx="4489200" cy="374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520200</xdr:colOff>
      <xdr:row>18</xdr:row>
      <xdr:rowOff>50760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6760" y="0"/>
          <a:ext cx="2051640" cy="297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232560</xdr:colOff>
      <xdr:row>17</xdr:row>
      <xdr:rowOff>125280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1760" y="0"/>
          <a:ext cx="2316240" cy="288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117360</xdr:colOff>
      <xdr:row>14</xdr:row>
      <xdr:rowOff>28800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8520" y="416880"/>
          <a:ext cx="4167720" cy="188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34560</xdr:colOff>
      <xdr:row>22</xdr:row>
      <xdr:rowOff>81360</xdr:rowOff>
    </xdr:from>
    <xdr:to>
      <xdr:col>13</xdr:col>
      <xdr:colOff>132120</xdr:colOff>
      <xdr:row>34</xdr:row>
      <xdr:rowOff>16560</xdr:rowOff>
    </xdr:to>
    <xdr:pic>
      <xdr:nvPicPr>
        <xdr:cNvPr id="9" name="Image 5" descr=""/>
        <xdr:cNvPicPr/>
      </xdr:nvPicPr>
      <xdr:blipFill>
        <a:blip r:embed="rId1"/>
        <a:stretch/>
      </xdr:blipFill>
      <xdr:spPr>
        <a:xfrm>
          <a:off x="8138880" y="3657600"/>
          <a:ext cx="4161600" cy="188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416520</xdr:colOff>
      <xdr:row>0</xdr:row>
      <xdr:rowOff>30960</xdr:rowOff>
    </xdr:from>
    <xdr:to>
      <xdr:col>18</xdr:col>
      <xdr:colOff>299880</xdr:colOff>
      <xdr:row>17</xdr:row>
      <xdr:rowOff>154440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4210280" y="30960"/>
          <a:ext cx="2322000" cy="288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553680</xdr:colOff>
      <xdr:row>26</xdr:row>
      <xdr:rowOff>2160</xdr:rowOff>
    </xdr:from>
    <xdr:to>
      <xdr:col>12</xdr:col>
      <xdr:colOff>200520</xdr:colOff>
      <xdr:row>48</xdr:row>
      <xdr:rowOff>40680</xdr:rowOff>
    </xdr:to>
    <xdr:graphicFrame>
      <xdr:nvGraphicFramePr>
        <xdr:cNvPr id="11" name=""/>
        <xdr:cNvGraphicFramePr/>
      </xdr:nvGraphicFramePr>
      <xdr:xfrm>
        <a:off x="4835160" y="4228560"/>
        <a:ext cx="5034960" cy="36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4320</xdr:colOff>
      <xdr:row>26</xdr:row>
      <xdr:rowOff>87120</xdr:rowOff>
    </xdr:from>
    <xdr:to>
      <xdr:col>21</xdr:col>
      <xdr:colOff>71280</xdr:colOff>
      <xdr:row>46</xdr:row>
      <xdr:rowOff>77400</xdr:rowOff>
    </xdr:to>
    <xdr:graphicFrame>
      <xdr:nvGraphicFramePr>
        <xdr:cNvPr id="12" name=""/>
        <xdr:cNvGraphicFramePr/>
      </xdr:nvGraphicFramePr>
      <xdr:xfrm>
        <a:off x="10707120" y="4313520"/>
        <a:ext cx="575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1" sqref="O4:O12 C5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5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 t="n">
        <f aca="false">B10</f>
        <v>5.4</v>
      </c>
      <c r="C11" s="6" t="n">
        <f aca="false">C10+KEStransparency!B13</f>
        <v>10.5317685195385</v>
      </c>
      <c r="D11" s="6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/>
      <c r="D12" s="1"/>
      <c r="E12" s="1"/>
      <c r="F12" s="1"/>
      <c r="G12" s="6"/>
      <c r="H12" s="6"/>
    </row>
    <row r="13" customFormat="false" ht="12.8" hidden="false" customHeight="false" outlineLevel="0" collapsed="false">
      <c r="A13" s="6" t="s">
        <v>16</v>
      </c>
      <c r="B13" s="6"/>
      <c r="C13" s="1" t="n">
        <v>4</v>
      </c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f aca="false">B10+B12</f>
        <v>5.4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v>25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7" t="s">
        <v>19</v>
      </c>
      <c r="B16" s="7" t="n">
        <f aca="false">B15/B14</f>
        <v>4.62962962962963</v>
      </c>
      <c r="C16" s="7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2.6/8</f>
        <v>0.325</v>
      </c>
      <c r="C17" s="1"/>
      <c r="D17" s="1"/>
      <c r="E17" s="1"/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B6*B17</f>
        <v>58.5</v>
      </c>
      <c r="C18" s="6" t="n">
        <v>40</v>
      </c>
      <c r="D18" s="1"/>
      <c r="E18" s="1" t="n">
        <f aca="false">180*0.4</f>
        <v>72</v>
      </c>
      <c r="F18" s="1"/>
      <c r="G18" s="6"/>
      <c r="H18" s="6"/>
    </row>
    <row r="19" customFormat="false" ht="12.8" hidden="false" customHeight="false" outlineLevel="0" collapsed="false">
      <c r="A19" s="6" t="s">
        <v>22</v>
      </c>
      <c r="B19" s="6" t="n">
        <f aca="false">B10*(1+B5/B6)</f>
        <v>14.52</v>
      </c>
      <c r="C19" s="6" t="n">
        <f aca="false">C10*(1+C5/C7)</f>
        <v>13.5</v>
      </c>
      <c r="D19" s="1"/>
      <c r="E19" s="1"/>
      <c r="F19" s="1"/>
      <c r="G19" s="6"/>
      <c r="H19" s="6"/>
      <c r="I19" s="0" t="n">
        <v>17.5</v>
      </c>
      <c r="J19" s="0" t="n">
        <v>15.6</v>
      </c>
    </row>
    <row r="20" customFormat="false" ht="12.8" hidden="false" customHeight="false" outlineLevel="0" collapsed="false">
      <c r="A20" s="6" t="s">
        <v>23</v>
      </c>
      <c r="B20" s="8" t="n">
        <f aca="false">B9*B10/(4*PI()*B8^2)</f>
        <v>0.00036687926571624</v>
      </c>
      <c r="C20" s="8" t="n">
        <f aca="false">C10*C9/(4*PI()*C5^2)</f>
        <v>0.0015278874536822</v>
      </c>
      <c r="D20" s="1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 t="n">
        <f aca="false">B10*B9/(4*PI()*B8*B6)*(1-B17)</f>
        <v>0.000665885867274975</v>
      </c>
      <c r="C21" s="9" t="n">
        <f aca="false">C10*C9/(4*PI()*C8*C7)</f>
        <v>0.00106103295394597</v>
      </c>
      <c r="D21" s="6"/>
      <c r="E21" s="1"/>
      <c r="F21" s="1"/>
      <c r="G21" s="6"/>
      <c r="H21" s="6"/>
    </row>
    <row r="22" customFormat="false" ht="12.8" hidden="false" customHeight="false" outlineLevel="0" collapsed="false">
      <c r="A22" s="1" t="s">
        <v>25</v>
      </c>
      <c r="B22" s="9"/>
      <c r="C22" s="10" t="n">
        <f aca="false">4*10^(-4)</f>
        <v>0.0004</v>
      </c>
      <c r="D22" s="6"/>
      <c r="E22" s="1"/>
      <c r="F22" s="1"/>
      <c r="G22" s="6"/>
      <c r="H22" s="6"/>
      <c r="O22" s="0" t="n">
        <f aca="false">SQRT(2)/B24</f>
        <v>0.887535887543033</v>
      </c>
    </row>
    <row r="23" customFormat="false" ht="12.8" hidden="false" customHeight="false" outlineLevel="0" collapsed="false">
      <c r="A23" s="11" t="s">
        <v>26</v>
      </c>
      <c r="B23" s="6"/>
      <c r="C23" s="1"/>
      <c r="D23" s="1"/>
      <c r="E23" s="0" t="n">
        <v>200</v>
      </c>
      <c r="F23" s="0" t="n">
        <v>350</v>
      </c>
      <c r="G23" s="12" t="n">
        <v>400</v>
      </c>
      <c r="H23" s="1" t="n">
        <v>650</v>
      </c>
      <c r="I23" s="0" t="n">
        <v>400</v>
      </c>
      <c r="J23" s="0" t="n">
        <v>350</v>
      </c>
    </row>
    <row r="24" customFormat="false" ht="12.8" hidden="false" customHeight="false" outlineLevel="0" collapsed="false">
      <c r="A24" s="6" t="s">
        <v>27</v>
      </c>
      <c r="B24" s="13" t="n">
        <f aca="false">C21/B21</f>
        <v>1.59341563786008</v>
      </c>
      <c r="C24" s="1"/>
      <c r="D24" s="1"/>
      <c r="E24" s="6" t="n">
        <f aca="false">F23/E23</f>
        <v>1.75</v>
      </c>
      <c r="F24" s="6"/>
      <c r="G24" s="6" t="n">
        <f aca="false">H23/G23</f>
        <v>1.625</v>
      </c>
      <c r="H24" s="6"/>
      <c r="I24" s="6" t="n">
        <f aca="false">J23/I23</f>
        <v>0.875</v>
      </c>
    </row>
    <row r="25" customFormat="false" ht="12.8" hidden="false" customHeight="false" outlineLevel="0" collapsed="false">
      <c r="A25" s="0" t="s">
        <v>28</v>
      </c>
      <c r="B25" s="0" t="n">
        <f aca="false">C19/B19</f>
        <v>0.929752066115702</v>
      </c>
      <c r="I25" s="0" t="n">
        <f aca="false">J19/I19</f>
        <v>0.891428571428571</v>
      </c>
    </row>
    <row r="26" customFormat="false" ht="12.8" hidden="false" customHeight="false" outlineLevel="0" collapsed="false">
      <c r="A26" s="14" t="s">
        <v>29</v>
      </c>
      <c r="B26" s="14"/>
      <c r="C26" s="14"/>
      <c r="D26" s="14"/>
      <c r="E26" s="14"/>
      <c r="U26" s="0" t="s">
        <v>30</v>
      </c>
      <c r="V26" s="0" t="n">
        <f aca="false">4.4*10^(-2)*18/10</f>
        <v>0.0792</v>
      </c>
      <c r="X26" s="0" t="n">
        <f aca="false">EXP(-V26*5)</f>
        <v>0.673006695937386</v>
      </c>
    </row>
    <row r="27" customFormat="false" ht="12.8" hidden="false" customHeight="false" outlineLevel="0" collapsed="false">
      <c r="A27" s="14" t="s">
        <v>31</v>
      </c>
      <c r="B27" s="14"/>
      <c r="C27" s="14"/>
      <c r="D27" s="14"/>
      <c r="E27" s="14"/>
      <c r="U27" s="0" t="s">
        <v>32</v>
      </c>
      <c r="V27" s="0" t="n">
        <f aca="false">LN(2)/(V26*TAN(60*3.14159/180))</f>
        <v>5.05289809045416</v>
      </c>
    </row>
    <row r="29" customFormat="false" ht="12.8" hidden="false" customHeight="false" outlineLevel="0" collapsed="false">
      <c r="I29" s="15" t="s">
        <v>33</v>
      </c>
      <c r="Q29" s="15" t="s">
        <v>34</v>
      </c>
    </row>
  </sheetData>
  <mergeCells count="6">
    <mergeCell ref="E2:H2"/>
    <mergeCell ref="E3:F3"/>
    <mergeCell ref="G3:H3"/>
    <mergeCell ref="I3:J3"/>
    <mergeCell ref="A26:E26"/>
    <mergeCell ref="A27:E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1" sqref="O4:O12 C13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5"/>
    <col collapsed="false" customWidth="true" hidden="false" outlineLevel="0" max="4" min="4" style="0" width="3.11"/>
    <col collapsed="false" customWidth="true" hidden="false" outlineLevel="0" max="1025" min="5" style="0" width="8.5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35</v>
      </c>
      <c r="C2" s="2"/>
      <c r="D2" s="1"/>
    </row>
    <row r="3" customFormat="false" ht="12.8" hidden="false" customHeight="false" outlineLevel="0" collapsed="false">
      <c r="A3" s="1"/>
      <c r="B3" s="6" t="s">
        <v>36</v>
      </c>
      <c r="C3" s="6" t="s">
        <v>6</v>
      </c>
      <c r="D3" s="1"/>
    </row>
    <row r="4" customFormat="false" ht="12.8" hidden="false" customHeight="false" outlineLevel="0" collapsed="false">
      <c r="A4" s="6" t="s">
        <v>7</v>
      </c>
      <c r="B4" s="6" t="n">
        <v>300</v>
      </c>
      <c r="C4" s="6" t="n">
        <v>300</v>
      </c>
      <c r="D4" s="1"/>
    </row>
    <row r="5" customFormat="false" ht="12.8" hidden="false" customHeight="false" outlineLevel="0" collapsed="false">
      <c r="A5" s="6" t="s">
        <v>8</v>
      </c>
      <c r="B5" s="6" t="n">
        <v>200</v>
      </c>
      <c r="C5" s="1"/>
      <c r="D5" s="1"/>
    </row>
    <row r="6" customFormat="false" ht="12.8" hidden="false" customHeight="false" outlineLevel="0" collapsed="false">
      <c r="A6" s="6" t="s">
        <v>9</v>
      </c>
      <c r="B6" s="6" t="n">
        <v>300</v>
      </c>
      <c r="C6" s="6" t="n">
        <v>300</v>
      </c>
      <c r="D6" s="1"/>
    </row>
    <row r="7" customFormat="false" ht="12.8" hidden="false" customHeight="false" outlineLevel="0" collapsed="false">
      <c r="A7" s="6" t="s">
        <v>10</v>
      </c>
      <c r="B7" s="6" t="n">
        <f aca="false">B4+B5+B6</f>
        <v>800</v>
      </c>
      <c r="C7" s="6" t="n">
        <f aca="false">SUM(C4:C6)</f>
        <v>600</v>
      </c>
      <c r="D7" s="1"/>
    </row>
    <row r="8" customFormat="false" ht="12.8" hidden="false" customHeight="false" outlineLevel="0" collapsed="false">
      <c r="A8" s="6" t="s">
        <v>12</v>
      </c>
      <c r="B8" s="6" t="n">
        <v>2</v>
      </c>
      <c r="C8" s="6" t="n">
        <v>6</v>
      </c>
      <c r="D8" s="6"/>
    </row>
    <row r="9" customFormat="false" ht="12.8" hidden="false" customHeight="false" outlineLevel="0" collapsed="false">
      <c r="A9" s="6" t="s">
        <v>15</v>
      </c>
      <c r="B9" s="6" t="n">
        <v>2</v>
      </c>
      <c r="C9" s="1"/>
      <c r="D9" s="1"/>
    </row>
    <row r="10" customFormat="false" ht="12.8" hidden="false" customHeight="false" outlineLevel="0" collapsed="false">
      <c r="A10" s="6" t="s">
        <v>20</v>
      </c>
      <c r="B10" s="6" t="n">
        <f aca="false">B9/(B8+B9)</f>
        <v>0.5</v>
      </c>
      <c r="C10" s="1"/>
      <c r="D10" s="1"/>
    </row>
    <row r="11" customFormat="false" ht="12.8" hidden="false" customHeight="false" outlineLevel="0" collapsed="false">
      <c r="A11" s="6" t="s">
        <v>21</v>
      </c>
      <c r="B11" s="6" t="n">
        <f aca="false">B5*B10</f>
        <v>100</v>
      </c>
      <c r="C11" s="6" t="n">
        <v>40</v>
      </c>
      <c r="D11" s="1"/>
    </row>
    <row r="12" customFormat="false" ht="12.8" hidden="false" customHeight="false" outlineLevel="0" collapsed="false">
      <c r="A12" s="6" t="s">
        <v>22</v>
      </c>
      <c r="B12" s="6" t="n">
        <f aca="false">B8*(1+B4/B5)</f>
        <v>5</v>
      </c>
      <c r="C12" s="6" t="n">
        <f aca="false">C8*(1+C4/C6)</f>
        <v>12</v>
      </c>
      <c r="D12" s="1"/>
    </row>
    <row r="13" customFormat="false" ht="12.8" hidden="false" customHeight="false" outlineLevel="0" collapsed="false">
      <c r="A13" s="6" t="s">
        <v>37</v>
      </c>
      <c r="B13" s="9" t="n">
        <f aca="false">B8*(1-B10)/(B7*B5)</f>
        <v>6.25E-006</v>
      </c>
      <c r="C13" s="9" t="e">
        <f aca="false">C3*C2/(4*PI()*C1*#REF!)</f>
        <v>#VALUE!</v>
      </c>
      <c r="D13" s="6"/>
    </row>
    <row r="14" customFormat="false" ht="12.8" hidden="false" customHeight="false" outlineLevel="0" collapsed="false">
      <c r="A14" s="6" t="s">
        <v>26</v>
      </c>
      <c r="B14" s="1"/>
      <c r="C14" s="1"/>
      <c r="D14" s="1"/>
    </row>
    <row r="15" customFormat="false" ht="12.8" hidden="false" customHeight="false" outlineLevel="0" collapsed="false">
      <c r="A15" s="6" t="s">
        <v>27</v>
      </c>
      <c r="B15" s="6" t="e">
        <f aca="false">C13/B13</f>
        <v>#VALUE!</v>
      </c>
      <c r="C15" s="1"/>
      <c r="D15" s="1"/>
    </row>
    <row r="17" customFormat="false" ht="12.8" hidden="false" customHeight="false" outlineLevel="0" collapsed="false">
      <c r="A17" s="14" t="s">
        <v>29</v>
      </c>
      <c r="B17" s="14"/>
      <c r="C17" s="14"/>
      <c r="D17" s="14"/>
    </row>
    <row r="18" customFormat="false" ht="12.8" hidden="false" customHeight="false" outlineLevel="0" collapsed="false">
      <c r="A18" s="14" t="s">
        <v>31</v>
      </c>
      <c r="B18" s="14"/>
      <c r="C18" s="14"/>
      <c r="D18" s="14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1" sqref="O4:O12 A16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5" min="2" style="0" width="11.52"/>
    <col collapsed="false" customWidth="true" hidden="false" outlineLevel="0" max="6" min="6" style="0" width="20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  <c r="B1" s="1"/>
      <c r="C1" s="2"/>
    </row>
    <row r="2" customFormat="false" ht="12.8" hidden="false" customHeight="false" outlineLevel="0" collapsed="false">
      <c r="A2" s="1"/>
      <c r="B2" s="1" t="s">
        <v>5</v>
      </c>
      <c r="C2" s="6" t="s">
        <v>6</v>
      </c>
    </row>
    <row r="3" customFormat="false" ht="12.8" hidden="false" customHeight="false" outlineLevel="0" collapsed="false">
      <c r="A3" s="6" t="s">
        <v>7</v>
      </c>
      <c r="B3" s="6" t="n">
        <v>320</v>
      </c>
      <c r="C3" s="6" t="n">
        <v>250</v>
      </c>
    </row>
    <row r="4" customFormat="false" ht="12.8" hidden="false" customHeight="false" outlineLevel="0" collapsed="false">
      <c r="A4" s="6" t="s">
        <v>8</v>
      </c>
      <c r="B4" s="6" t="n">
        <v>190</v>
      </c>
      <c r="C4" s="1"/>
    </row>
    <row r="5" customFormat="false" ht="12.8" hidden="false" customHeight="false" outlineLevel="0" collapsed="false">
      <c r="A5" s="6" t="s">
        <v>9</v>
      </c>
      <c r="B5" s="6" t="n">
        <v>0</v>
      </c>
      <c r="C5" s="6" t="n">
        <v>200</v>
      </c>
    </row>
    <row r="6" customFormat="false" ht="12.8" hidden="false" customHeight="false" outlineLevel="0" collapsed="false">
      <c r="A6" s="6" t="s">
        <v>10</v>
      </c>
      <c r="B6" s="6" t="n">
        <f aca="false">B3+B4+B5</f>
        <v>510</v>
      </c>
      <c r="C6" s="6" t="n">
        <f aca="false">SUM(C3:C5)</f>
        <v>450</v>
      </c>
    </row>
    <row r="7" customFormat="false" ht="12.8" hidden="false" customHeight="false" outlineLevel="0" collapsed="false">
      <c r="A7" s="0" t="s">
        <v>11</v>
      </c>
      <c r="B7" s="0" t="n">
        <v>100</v>
      </c>
      <c r="C7" s="0" t="n">
        <v>200</v>
      </c>
    </row>
    <row r="8" customFormat="false" ht="12.8" hidden="false" customHeight="false" outlineLevel="0" collapsed="false">
      <c r="A8" s="6" t="s">
        <v>12</v>
      </c>
      <c r="B8" s="6" t="n">
        <v>3</v>
      </c>
      <c r="C8" s="6" t="n">
        <v>6</v>
      </c>
    </row>
    <row r="9" customFormat="false" ht="12.8" hidden="false" customHeight="false" outlineLevel="0" collapsed="false">
      <c r="A9" s="6" t="s">
        <v>15</v>
      </c>
      <c r="B9" s="6" t="n">
        <v>2</v>
      </c>
      <c r="C9" s="1"/>
    </row>
    <row r="10" customFormat="false" ht="12.8" hidden="false" customHeight="false" outlineLevel="0" collapsed="false">
      <c r="A10" s="0" t="s">
        <v>17</v>
      </c>
      <c r="B10" s="0" t="n">
        <f aca="false">B8+B9</f>
        <v>5</v>
      </c>
    </row>
    <row r="11" customFormat="false" ht="12.8" hidden="false" customHeight="false" outlineLevel="0" collapsed="false">
      <c r="A11" s="0" t="s">
        <v>18</v>
      </c>
      <c r="B11" s="0" t="n">
        <v>25</v>
      </c>
    </row>
    <row r="12" customFormat="false" ht="12.8" hidden="false" customHeight="false" outlineLevel="0" collapsed="false">
      <c r="A12" s="0" t="s">
        <v>19</v>
      </c>
      <c r="B12" s="0" t="n">
        <f aca="false">B11/B10</f>
        <v>5</v>
      </c>
    </row>
    <row r="13" customFormat="false" ht="12.8" hidden="false" customHeight="false" outlineLevel="0" collapsed="false">
      <c r="A13" s="6" t="s">
        <v>20</v>
      </c>
      <c r="B13" s="6" t="n">
        <f aca="false">B9/(B8+B9)</f>
        <v>0.4</v>
      </c>
      <c r="C13" s="1"/>
    </row>
    <row r="14" customFormat="false" ht="12.8" hidden="false" customHeight="false" outlineLevel="0" collapsed="false">
      <c r="A14" s="6" t="s">
        <v>21</v>
      </c>
      <c r="B14" s="6" t="n">
        <f aca="false">B4*B13</f>
        <v>76</v>
      </c>
      <c r="C14" s="6" t="n">
        <v>40</v>
      </c>
    </row>
    <row r="15" customFormat="false" ht="12.8" hidden="false" customHeight="false" outlineLevel="0" collapsed="false">
      <c r="A15" s="6" t="s">
        <v>22</v>
      </c>
      <c r="B15" s="6" t="n">
        <f aca="false">B8*(1+B3/B4)</f>
        <v>8.05263157894737</v>
      </c>
      <c r="C15" s="6" t="n">
        <f aca="false">C8*(1+C3/C5)</f>
        <v>13.5</v>
      </c>
    </row>
    <row r="16" customFormat="false" ht="12.8" hidden="false" customHeight="false" outlineLevel="0" collapsed="false">
      <c r="A16" s="0" t="s">
        <v>24</v>
      </c>
      <c r="B16" s="9" t="n">
        <f aca="false">B8*B7/(4*PI()*B6*B4)*(1-B13)</f>
        <v>0.000147821928568324</v>
      </c>
      <c r="C16" s="9" t="n">
        <f aca="false">C8*C7/(4*PI()*C6*C5)</f>
        <v>0.00106103295394597</v>
      </c>
    </row>
    <row r="17" customFormat="false" ht="12.8" hidden="false" customHeight="false" outlineLevel="0" collapsed="false">
      <c r="A17" s="6" t="s">
        <v>38</v>
      </c>
      <c r="B17" s="9" t="n">
        <f aca="false">B12*B16</f>
        <v>0.000739109642841619</v>
      </c>
    </row>
    <row r="18" customFormat="false" ht="12.8" hidden="false" customHeight="false" outlineLevel="0" collapsed="false">
      <c r="A18" s="6" t="s">
        <v>26</v>
      </c>
      <c r="B18" s="6"/>
      <c r="C18" s="1"/>
    </row>
    <row r="19" customFormat="false" ht="12.8" hidden="false" customHeight="false" outlineLevel="0" collapsed="false">
      <c r="A19" s="6" t="s">
        <v>27</v>
      </c>
      <c r="B19" s="6" t="n">
        <f aca="false">C16/B17</f>
        <v>1.43555555555556</v>
      </c>
      <c r="C19" s="1"/>
    </row>
    <row r="26" customFormat="false" ht="12.8" hidden="false" customHeight="false" outlineLevel="0" collapsed="false">
      <c r="F26" s="0" t="s">
        <v>39</v>
      </c>
      <c r="G26" s="0" t="n">
        <f aca="false">4*10^(-4)</f>
        <v>0.0004</v>
      </c>
    </row>
    <row r="27" customFormat="false" ht="12.8" hidden="false" customHeight="false" outlineLevel="0" collapsed="false">
      <c r="C27" s="0" t="n">
        <f aca="false">100*3/(4*PI()*B6^2)</f>
        <v>9.17848576077828E-005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0" activeCellId="1" sqref="O4:O12 B30"/>
    </sheetView>
  </sheetViews>
  <sheetFormatPr defaultRowHeight="12.8" zeroHeight="false" outlineLevelRow="0" outlineLevelCol="0"/>
  <cols>
    <col collapsed="false" customWidth="true" hidden="false" outlineLevel="0" max="1" min="1" style="0" width="33.47"/>
    <col collapsed="false" customWidth="true" hidden="false" outlineLevel="0" max="2" min="2" style="0" width="18.28"/>
    <col collapsed="false" customWidth="false" hidden="false" outlineLevel="0" max="5" min="3" style="0" width="11.52"/>
    <col collapsed="false" customWidth="true" hidden="false" outlineLevel="0" max="6" min="6" style="0" width="38.6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F1" s="16" t="s">
        <v>40</v>
      </c>
    </row>
    <row r="2" customFormat="false" ht="12.8" hidden="false" customHeight="false" outlineLevel="0" collapsed="false">
      <c r="A2" s="16" t="s">
        <v>41</v>
      </c>
    </row>
    <row r="3" customFormat="false" ht="12.8" hidden="false" customHeight="false" outlineLevel="0" collapsed="false">
      <c r="A3" s="0" t="s">
        <v>42</v>
      </c>
      <c r="B3" s="17" t="n">
        <f aca="false">1.93*10</f>
        <v>19.3</v>
      </c>
      <c r="C3" s="18"/>
      <c r="D3" s="18"/>
      <c r="E3" s="18"/>
      <c r="F3" s="18"/>
    </row>
    <row r="4" customFormat="false" ht="12.8" hidden="false" customHeight="false" outlineLevel="0" collapsed="false">
      <c r="A4" s="18" t="s">
        <v>43</v>
      </c>
      <c r="B4" s="18" t="s">
        <v>44</v>
      </c>
      <c r="C4" s="18" t="s">
        <v>45</v>
      </c>
      <c r="D4" s="18"/>
      <c r="E4" s="18"/>
      <c r="F4" s="18"/>
    </row>
    <row r="5" customFormat="false" ht="12.8" hidden="false" customHeight="false" outlineLevel="0" collapsed="false">
      <c r="A5" s="18" t="n">
        <v>4</v>
      </c>
      <c r="B5" s="18" t="n">
        <v>0.04038</v>
      </c>
      <c r="C5" s="18" t="n">
        <f aca="false">B5*B3</f>
        <v>0.779334</v>
      </c>
      <c r="D5" s="18"/>
      <c r="E5" s="18"/>
      <c r="F5" s="18"/>
    </row>
    <row r="7" customFormat="false" ht="12.8" hidden="false" customHeight="false" outlineLevel="0" collapsed="false">
      <c r="A7" s="0" t="s">
        <v>46</v>
      </c>
    </row>
    <row r="8" customFormat="false" ht="12.8" hidden="false" customHeight="false" outlineLevel="0" collapsed="false">
      <c r="A8" s="0" t="s">
        <v>47</v>
      </c>
      <c r="B8" s="0" t="n">
        <v>40</v>
      </c>
    </row>
    <row r="9" customFormat="false" ht="12.8" hidden="false" customHeight="false" outlineLevel="0" collapsed="false">
      <c r="A9" s="0" t="s">
        <v>48</v>
      </c>
      <c r="B9" s="0" t="n">
        <v>63</v>
      </c>
    </row>
    <row r="10" customFormat="false" ht="12.8" hidden="false" customHeight="false" outlineLevel="0" collapsed="false">
      <c r="A10" s="18" t="s">
        <v>49</v>
      </c>
      <c r="B10" s="0" t="n">
        <f aca="false">B8/2/TAN(B9*PI()/180)</f>
        <v>10.1905089898886</v>
      </c>
    </row>
    <row r="13" customFormat="false" ht="12.8" hidden="false" customHeight="false" outlineLevel="0" collapsed="false">
      <c r="A13" s="0" t="s">
        <v>50</v>
      </c>
      <c r="B13" s="0" t="n">
        <f aca="false">LN(2)/(C5*TAN(B9*PI()/180))*10</f>
        <v>4.5317685195385</v>
      </c>
    </row>
    <row r="16" customFormat="false" ht="12.8" hidden="false" customHeight="false" outlineLevel="0" collapsed="false">
      <c r="A16" s="19" t="s">
        <v>51</v>
      </c>
    </row>
    <row r="17" customFormat="false" ht="12.8" hidden="false" customHeight="false" outlineLevel="0" collapsed="false">
      <c r="A17" s="0" t="s">
        <v>42</v>
      </c>
      <c r="B17" s="0" t="n">
        <v>7.4</v>
      </c>
    </row>
    <row r="18" customFormat="false" ht="12.8" hidden="false" customHeight="false" outlineLevel="0" collapsed="false">
      <c r="A18" s="18" t="s">
        <v>43</v>
      </c>
      <c r="B18" s="18" t="s">
        <v>44</v>
      </c>
      <c r="C18" s="18" t="s">
        <v>45</v>
      </c>
    </row>
    <row r="19" customFormat="false" ht="12.8" hidden="false" customHeight="false" outlineLevel="0" collapsed="false">
      <c r="A19" s="18" t="n">
        <v>4</v>
      </c>
      <c r="B19" s="18" t="n">
        <v>0.03785</v>
      </c>
      <c r="C19" s="18" t="n">
        <f aca="false">B19*B17</f>
        <v>0.28009</v>
      </c>
    </row>
    <row r="21" customFormat="false" ht="12.8" hidden="false" customHeight="false" outlineLevel="0" collapsed="false">
      <c r="A21" s="0" t="s">
        <v>52</v>
      </c>
      <c r="B21" s="0" t="n">
        <v>3</v>
      </c>
    </row>
    <row r="22" customFormat="false" ht="12.8" hidden="false" customHeight="false" outlineLevel="0" collapsed="false">
      <c r="A22" s="0" t="s">
        <v>53</v>
      </c>
      <c r="B22" s="0" t="n">
        <f aca="false">1-EXP(-C19*B21)</f>
        <v>0.568406022677814</v>
      </c>
    </row>
    <row r="24" customFormat="false" ht="12.8" hidden="false" customHeight="false" outlineLevel="0" collapsed="false">
      <c r="A24" s="19" t="s">
        <v>54</v>
      </c>
    </row>
    <row r="25" customFormat="false" ht="12.8" hidden="false" customHeight="false" outlineLevel="0" collapsed="false">
      <c r="A25" s="0" t="s">
        <v>42</v>
      </c>
      <c r="B25" s="0" t="n">
        <v>4.51</v>
      </c>
    </row>
    <row r="26" customFormat="false" ht="12.8" hidden="false" customHeight="false" outlineLevel="0" collapsed="false">
      <c r="A26" s="18" t="s">
        <v>43</v>
      </c>
      <c r="B26" s="18" t="s">
        <v>44</v>
      </c>
      <c r="C26" s="18" t="s">
        <v>45</v>
      </c>
    </row>
    <row r="27" customFormat="false" ht="12.8" hidden="false" customHeight="false" outlineLevel="0" collapsed="false">
      <c r="A27" s="18" t="n">
        <v>4</v>
      </c>
      <c r="B27" s="18" t="n">
        <v>0.0361</v>
      </c>
      <c r="C27" s="18" t="n">
        <f aca="false">B27*B25</f>
        <v>0.162811</v>
      </c>
    </row>
    <row r="29" customFormat="false" ht="12.8" hidden="false" customHeight="false" outlineLevel="0" collapsed="false">
      <c r="A29" s="0" t="s">
        <v>52</v>
      </c>
      <c r="B29" s="0" t="n">
        <v>3</v>
      </c>
    </row>
    <row r="30" customFormat="false" ht="12.8" hidden="false" customHeight="false" outlineLevel="0" collapsed="false">
      <c r="A30" s="0" t="s">
        <v>53</v>
      </c>
      <c r="B30" s="0" t="n">
        <f aca="false">1-EXP(-C27*B29)</f>
        <v>0.386412867714185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4" activeCellId="0" sqref="O4:O12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false" hidden="false" outlineLevel="0" max="2" min="2" style="0" width="11.52"/>
    <col collapsed="false" customWidth="true" hidden="false" outlineLevel="0" max="3" min="3" style="0" width="18.28"/>
    <col collapsed="false" customWidth="true" hidden="false" outlineLevel="0" max="4" min="4" style="0" width="10.31"/>
    <col collapsed="false" customWidth="true" hidden="false" outlineLevel="0" max="5" min="5" style="0" width="1.29"/>
    <col collapsed="false" customWidth="false" hidden="false" outlineLevel="0" max="7" min="6" style="0" width="11.52"/>
    <col collapsed="false" customWidth="true" hidden="false" outlineLevel="0" max="8" min="8" style="0" width="5.88"/>
    <col collapsed="false" customWidth="true" hidden="false" outlineLevel="0" max="9" min="9" style="0" width="1.29"/>
    <col collapsed="false" customWidth="false" hidden="false" outlineLevel="0" max="12" min="10" style="0" width="11.52"/>
    <col collapsed="false" customWidth="true" hidden="false" outlineLevel="0" max="13" min="13" style="0" width="3.1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0"/>
      <c r="B1" s="20"/>
      <c r="C1" s="20"/>
      <c r="D1" s="20"/>
      <c r="E1" s="20"/>
    </row>
    <row r="2" customFormat="false" ht="12.8" hidden="false" customHeight="false" outlineLevel="0" collapsed="false">
      <c r="A2" s="1"/>
      <c r="B2" s="21" t="s">
        <v>55</v>
      </c>
      <c r="C2" s="21"/>
      <c r="D2" s="21"/>
      <c r="E2" s="2"/>
      <c r="F2" s="21" t="s">
        <v>56</v>
      </c>
      <c r="G2" s="21"/>
      <c r="H2" s="21"/>
      <c r="I2" s="2"/>
      <c r="J2" s="21" t="s">
        <v>57</v>
      </c>
      <c r="K2" s="21"/>
      <c r="L2" s="21"/>
      <c r="N2" s="21" t="s">
        <v>58</v>
      </c>
      <c r="O2" s="21"/>
      <c r="P2" s="21"/>
    </row>
    <row r="3" customFormat="false" ht="12.8" hidden="false" customHeight="false" outlineLevel="0" collapsed="false">
      <c r="A3" s="1"/>
      <c r="B3" s="1" t="s">
        <v>5</v>
      </c>
      <c r="C3" s="6" t="s">
        <v>6</v>
      </c>
      <c r="D3" s="6" t="s">
        <v>59</v>
      </c>
      <c r="E3" s="6"/>
      <c r="F3" s="1" t="s">
        <v>5</v>
      </c>
      <c r="G3" s="6" t="s">
        <v>6</v>
      </c>
      <c r="H3" s="6" t="s">
        <v>59</v>
      </c>
      <c r="I3" s="6"/>
      <c r="J3" s="1" t="s">
        <v>5</v>
      </c>
      <c r="K3" s="6" t="s">
        <v>6</v>
      </c>
      <c r="L3" s="6" t="s">
        <v>59</v>
      </c>
      <c r="N3" s="1" t="s">
        <v>5</v>
      </c>
      <c r="O3" s="6" t="s">
        <v>6</v>
      </c>
      <c r="P3" s="6" t="s">
        <v>59</v>
      </c>
    </row>
    <row r="4" customFormat="false" ht="12.8" hidden="false" customHeight="false" outlineLevel="0" collapsed="false">
      <c r="A4" s="6" t="s">
        <v>7</v>
      </c>
      <c r="B4" s="6" t="n">
        <v>250</v>
      </c>
      <c r="C4" s="6" t="n">
        <v>220</v>
      </c>
      <c r="D4" s="6"/>
      <c r="E4" s="6"/>
      <c r="F4" s="6" t="n">
        <f aca="false">300-F5/2</f>
        <v>200</v>
      </c>
      <c r="G4" s="6" t="n">
        <v>300</v>
      </c>
      <c r="H4" s="6"/>
      <c r="I4" s="6"/>
      <c r="J4" s="6" t="n">
        <v>180</v>
      </c>
      <c r="K4" s="6" t="n">
        <f aca="false">180+20</f>
        <v>200</v>
      </c>
      <c r="L4" s="6"/>
      <c r="N4" s="6" t="n">
        <v>304</v>
      </c>
      <c r="O4" s="6" t="n">
        <v>250</v>
      </c>
      <c r="P4" s="6"/>
    </row>
    <row r="5" customFormat="false" ht="12.8" hidden="false" customHeight="false" outlineLevel="0" collapsed="false">
      <c r="A5" s="6" t="s">
        <v>8</v>
      </c>
      <c r="B5" s="6" t="n">
        <v>100</v>
      </c>
      <c r="C5" s="1"/>
      <c r="D5" s="1"/>
      <c r="E5" s="1"/>
      <c r="F5" s="6" t="n">
        <v>200</v>
      </c>
      <c r="G5" s="1"/>
      <c r="H5" s="1"/>
      <c r="I5" s="1"/>
      <c r="J5" s="6" t="n">
        <v>100</v>
      </c>
      <c r="K5" s="1"/>
      <c r="L5" s="6"/>
      <c r="N5" s="6" t="n">
        <v>180</v>
      </c>
      <c r="O5" s="1"/>
      <c r="P5" s="1"/>
    </row>
    <row r="6" customFormat="false" ht="12.8" hidden="false" customHeight="false" outlineLevel="0" collapsed="false">
      <c r="A6" s="6" t="s">
        <v>9</v>
      </c>
      <c r="B6" s="6" t="n">
        <v>0</v>
      </c>
      <c r="C6" s="6" t="n">
        <v>176</v>
      </c>
      <c r="D6" s="6"/>
      <c r="E6" s="6"/>
      <c r="F6" s="6" t="n">
        <f aca="false">300-F5/2</f>
        <v>200</v>
      </c>
      <c r="G6" s="6" t="n">
        <v>300</v>
      </c>
      <c r="H6" s="6"/>
      <c r="I6" s="6"/>
      <c r="J6" s="6" t="n">
        <v>0</v>
      </c>
      <c r="K6" s="6" t="n">
        <v>200</v>
      </c>
      <c r="L6" s="6"/>
      <c r="N6" s="6" t="n">
        <v>0</v>
      </c>
      <c r="O6" s="6" t="n">
        <v>200</v>
      </c>
      <c r="P6" s="6"/>
    </row>
    <row r="7" customFormat="false" ht="12.8" hidden="false" customHeight="false" outlineLevel="0" collapsed="false">
      <c r="A7" s="6" t="s">
        <v>10</v>
      </c>
      <c r="B7" s="6" t="n">
        <f aca="false">B4+B5+B6</f>
        <v>350</v>
      </c>
      <c r="C7" s="6" t="n">
        <f aca="false">SUM(C4:C6)</f>
        <v>396</v>
      </c>
      <c r="D7" s="6"/>
      <c r="E7" s="6"/>
      <c r="F7" s="6" t="n">
        <f aca="false">F4+F5+F6</f>
        <v>600</v>
      </c>
      <c r="G7" s="6" t="n">
        <f aca="false">SUM(G4:G6)</f>
        <v>600</v>
      </c>
      <c r="H7" s="6"/>
      <c r="I7" s="6"/>
      <c r="J7" s="6" t="n">
        <f aca="false">J4+J5+J6</f>
        <v>280</v>
      </c>
      <c r="K7" s="6" t="n">
        <f aca="false">SUM(K4:K6)</f>
        <v>400</v>
      </c>
      <c r="L7" s="6"/>
      <c r="N7" s="6" t="n">
        <f aca="false">N4+N5+N6</f>
        <v>484</v>
      </c>
      <c r="O7" s="6" t="n">
        <f aca="false">SUM(O4:O6)</f>
        <v>450</v>
      </c>
      <c r="P7" s="6"/>
    </row>
    <row r="8" customFormat="false" ht="12.8" hidden="false" customHeight="false" outlineLevel="0" collapsed="false">
      <c r="A8" s="6" t="s">
        <v>11</v>
      </c>
      <c r="B8" s="1" t="n">
        <v>100</v>
      </c>
      <c r="C8" s="1" t="n">
        <v>100</v>
      </c>
      <c r="D8" s="1"/>
      <c r="E8" s="1"/>
      <c r="F8" s="1" t="n">
        <v>100</v>
      </c>
      <c r="G8" s="1" t="n">
        <v>100</v>
      </c>
      <c r="H8" s="1"/>
      <c r="I8" s="1"/>
      <c r="J8" s="1" t="n">
        <v>200</v>
      </c>
      <c r="K8" s="1" t="n">
        <v>200</v>
      </c>
      <c r="L8" s="6"/>
      <c r="N8" s="1" t="n">
        <v>200</v>
      </c>
      <c r="O8" s="1" t="n">
        <v>200</v>
      </c>
      <c r="P8" s="1"/>
    </row>
    <row r="9" customFormat="false" ht="12.8" hidden="false" customHeight="false" outlineLevel="0" collapsed="false">
      <c r="A9" s="6" t="s">
        <v>12</v>
      </c>
      <c r="B9" s="6" t="n">
        <v>2.4</v>
      </c>
      <c r="C9" s="6" t="n">
        <v>6</v>
      </c>
      <c r="D9" s="6"/>
      <c r="E9" s="6"/>
      <c r="F9" s="6" t="n">
        <v>2</v>
      </c>
      <c r="G9" s="6" t="n">
        <v>6</v>
      </c>
      <c r="H9" s="6"/>
      <c r="I9" s="6"/>
      <c r="J9" s="6" t="n">
        <v>2</v>
      </c>
      <c r="K9" s="6" t="n">
        <v>6</v>
      </c>
      <c r="L9" s="6"/>
      <c r="N9" s="6" t="n">
        <v>5.4</v>
      </c>
      <c r="O9" s="6" t="n">
        <v>6</v>
      </c>
      <c r="P9" s="6"/>
    </row>
    <row r="10" customFormat="false" ht="12.8" hidden="false" customHeight="false" outlineLevel="0" collapsed="false">
      <c r="A10" s="6" t="s">
        <v>14</v>
      </c>
      <c r="B10" s="6" t="n">
        <f aca="false">B9</f>
        <v>2.4</v>
      </c>
      <c r="C10" s="6" t="n">
        <f aca="false">C9+KEStransparency!$B13</f>
        <v>10.5317685195385</v>
      </c>
      <c r="D10" s="6"/>
      <c r="E10" s="6"/>
      <c r="F10" s="6" t="n">
        <f aca="false">F9</f>
        <v>2</v>
      </c>
      <c r="G10" s="6" t="n">
        <f aca="false">G9+KEStransparency!$B13</f>
        <v>10.5317685195385</v>
      </c>
      <c r="H10" s="6"/>
      <c r="I10" s="6"/>
      <c r="J10" s="6" t="n">
        <f aca="false">J9</f>
        <v>2</v>
      </c>
      <c r="K10" s="6" t="n">
        <f aca="false">K9+KEStransparency!$B13</f>
        <v>10.5317685195385</v>
      </c>
      <c r="L10" s="6"/>
      <c r="N10" s="6" t="n">
        <f aca="false">N9</f>
        <v>5.4</v>
      </c>
      <c r="O10" s="6" t="n">
        <f aca="false">O9+KEStransparency!N12</f>
        <v>6</v>
      </c>
      <c r="P10" s="6"/>
    </row>
    <row r="11" customFormat="false" ht="12.8" hidden="false" customHeight="false" outlineLevel="0" collapsed="false">
      <c r="A11" s="6" t="s">
        <v>15</v>
      </c>
      <c r="B11" s="6" t="n">
        <v>1.6</v>
      </c>
      <c r="C11" s="1"/>
      <c r="D11" s="1"/>
      <c r="E11" s="1"/>
      <c r="F11" s="6" t="n">
        <v>2</v>
      </c>
      <c r="G11" s="1"/>
      <c r="H11" s="1"/>
      <c r="I11" s="1"/>
      <c r="J11" s="6" t="n">
        <v>2</v>
      </c>
      <c r="K11" s="1"/>
      <c r="L11" s="6"/>
      <c r="N11" s="6" t="n">
        <v>2.6</v>
      </c>
      <c r="O11" s="1"/>
      <c r="P11" s="1"/>
    </row>
    <row r="12" customFormat="false" ht="12.8" hidden="false" customHeight="false" outlineLevel="0" collapsed="false">
      <c r="A12" s="6" t="s">
        <v>16</v>
      </c>
      <c r="B12" s="6"/>
      <c r="C12" s="1" t="n">
        <v>4</v>
      </c>
      <c r="D12" s="1"/>
      <c r="E12" s="1"/>
      <c r="F12" s="6"/>
      <c r="G12" s="1" t="n">
        <v>4</v>
      </c>
      <c r="H12" s="1"/>
      <c r="I12" s="1"/>
      <c r="J12" s="6"/>
      <c r="K12" s="1" t="n">
        <v>4</v>
      </c>
      <c r="L12" s="6"/>
      <c r="N12" s="6"/>
      <c r="O12" s="1" t="n">
        <v>4</v>
      </c>
      <c r="P12" s="1"/>
    </row>
    <row r="13" s="24" customFormat="true" ht="12.8" hidden="false" customHeight="false" outlineLevel="0" collapsed="false">
      <c r="A13" s="22" t="s">
        <v>17</v>
      </c>
      <c r="B13" s="22" t="n">
        <f aca="false">B9+B11</f>
        <v>4</v>
      </c>
      <c r="C13" s="22"/>
      <c r="D13" s="22"/>
      <c r="E13" s="22"/>
      <c r="F13" s="22" t="n">
        <f aca="false">F9+F11</f>
        <v>4</v>
      </c>
      <c r="G13" s="22"/>
      <c r="H13" s="22"/>
      <c r="I13" s="22"/>
      <c r="J13" s="22" t="n">
        <f aca="false">J9+J11</f>
        <v>4</v>
      </c>
      <c r="K13" s="22" t="n">
        <v>4</v>
      </c>
      <c r="L13" s="23"/>
      <c r="N13" s="22" t="n">
        <f aca="false">N9+N11</f>
        <v>8</v>
      </c>
      <c r="O13" s="22"/>
      <c r="P13" s="22"/>
    </row>
    <row r="14" customFormat="false" ht="12.8" hidden="false" customHeight="false" outlineLevel="0" collapsed="false">
      <c r="A14" s="6" t="s">
        <v>20</v>
      </c>
      <c r="B14" s="6" t="n">
        <f aca="false">B11/B13</f>
        <v>0.4</v>
      </c>
      <c r="C14" s="1"/>
      <c r="D14" s="1"/>
      <c r="E14" s="1"/>
      <c r="F14" s="6" t="n">
        <f aca="false">F11/F13</f>
        <v>0.5</v>
      </c>
      <c r="G14" s="1"/>
      <c r="H14" s="1"/>
      <c r="I14" s="1"/>
      <c r="J14" s="6" t="n">
        <f aca="false">J11/J13</f>
        <v>0.5</v>
      </c>
      <c r="K14" s="1"/>
      <c r="L14" s="6"/>
      <c r="N14" s="6" t="n">
        <f aca="false">N11/N13</f>
        <v>0.325</v>
      </c>
      <c r="O14" s="1"/>
      <c r="P14" s="1"/>
    </row>
    <row r="15" customFormat="false" ht="12.8" hidden="false" customHeight="false" outlineLevel="0" collapsed="false">
      <c r="A15" s="6" t="s">
        <v>21</v>
      </c>
      <c r="B15" s="6" t="n">
        <f aca="false">B5*B14</f>
        <v>40</v>
      </c>
      <c r="C15" s="6" t="n">
        <v>40</v>
      </c>
      <c r="D15" s="6"/>
      <c r="E15" s="6"/>
      <c r="F15" s="6" t="n">
        <f aca="false">F5*F14</f>
        <v>100</v>
      </c>
      <c r="G15" s="6" t="n">
        <v>40</v>
      </c>
      <c r="H15" s="6"/>
      <c r="I15" s="6"/>
      <c r="J15" s="6" t="n">
        <f aca="false">J5*J14</f>
        <v>50</v>
      </c>
      <c r="K15" s="6" t="n">
        <v>40</v>
      </c>
      <c r="L15" s="6"/>
      <c r="N15" s="6" t="n">
        <f aca="false">N5*N14</f>
        <v>58.5</v>
      </c>
      <c r="O15" s="6" t="n">
        <v>40</v>
      </c>
      <c r="P15" s="6"/>
    </row>
    <row r="16" customFormat="false" ht="12.8" hidden="false" customHeight="false" outlineLevel="0" collapsed="false">
      <c r="A16" s="25" t="s">
        <v>60</v>
      </c>
      <c r="B16" s="26" t="n">
        <f aca="false">B10*(1+B4/B5)</f>
        <v>8.4</v>
      </c>
      <c r="C16" s="26" t="n">
        <f aca="false">C10*(1+C4/C6)</f>
        <v>23.6964791689616</v>
      </c>
      <c r="D16" s="27" t="n">
        <f aca="false">C16/B16</f>
        <v>2.82100942487638</v>
      </c>
      <c r="E16" s="26"/>
      <c r="F16" s="26" t="n">
        <f aca="false">F10*(1+F4/F5)</f>
        <v>4</v>
      </c>
      <c r="G16" s="26" t="n">
        <f aca="false">G10*(1+G4/G6)</f>
        <v>21.063537039077</v>
      </c>
      <c r="H16" s="27" t="n">
        <f aca="false">G16/F16</f>
        <v>5.26588425976925</v>
      </c>
      <c r="I16" s="26"/>
      <c r="J16" s="26" t="n">
        <f aca="false">J10*(1+J4/J5)</f>
        <v>5.6</v>
      </c>
      <c r="K16" s="26" t="n">
        <f aca="false">K10*(1+K4/K6)</f>
        <v>21.063537039077</v>
      </c>
      <c r="L16" s="27" t="n">
        <f aca="false">K16/J16</f>
        <v>3.76134589983518</v>
      </c>
      <c r="N16" s="26" t="n">
        <f aca="false">N10*(1+N4/N5)</f>
        <v>14.52</v>
      </c>
      <c r="O16" s="26" t="n">
        <f aca="false">O10*(1+O4/O6)</f>
        <v>13.5</v>
      </c>
      <c r="P16" s="27" t="n">
        <f aca="false">O16/N16</f>
        <v>0.929752066115702</v>
      </c>
    </row>
    <row r="17" customFormat="false" ht="12.8" hidden="false" customHeight="false" outlineLevel="0" collapsed="false">
      <c r="A17" s="25" t="s">
        <v>61</v>
      </c>
      <c r="B17" s="26"/>
      <c r="C17" s="26"/>
      <c r="D17" s="27"/>
      <c r="E17" s="26"/>
      <c r="F17" s="26"/>
      <c r="G17" s="26"/>
      <c r="H17" s="27"/>
      <c r="I17" s="26"/>
      <c r="J17" s="26" t="n">
        <v>6.3</v>
      </c>
      <c r="K17" s="26" t="n">
        <v>20.6</v>
      </c>
      <c r="L17" s="27" t="n">
        <f aca="false">K17/J17</f>
        <v>3.26984126984127</v>
      </c>
      <c r="N17" s="26"/>
      <c r="O17" s="26"/>
      <c r="P17" s="27"/>
    </row>
    <row r="18" customFormat="false" ht="12.8" hidden="false" customHeight="false" outlineLevel="0" collapsed="false">
      <c r="A18" s="25" t="s">
        <v>62</v>
      </c>
      <c r="B18" s="28" t="n">
        <f aca="false">B8*B10/(4*PI()*B7*B5)*(1-B14)</f>
        <v>0.00032740445436047</v>
      </c>
      <c r="C18" s="28" t="n">
        <f aca="false">C8*C10/(4*PI()*C7*C6)</f>
        <v>0.00120249585297877</v>
      </c>
      <c r="D18" s="27" t="n">
        <f aca="false">C18/B18</f>
        <v>3.67281457831001</v>
      </c>
      <c r="E18" s="28"/>
      <c r="F18" s="28" t="n">
        <f aca="false">F8*F10/(4*PI()*F7*F5)*(1-F14)</f>
        <v>6.6314559621623E-005</v>
      </c>
      <c r="G18" s="28" t="n">
        <f aca="false">G8*G10/(4*PI()*G7*G6)</f>
        <v>0.000465606394273379</v>
      </c>
      <c r="H18" s="27" t="n">
        <f aca="false">G18/F18</f>
        <v>7.02117901302567</v>
      </c>
      <c r="I18" s="28"/>
      <c r="J18" s="28" t="n">
        <f aca="false">J8*J10/(4*PI()*J7*J5)*(1-J14)</f>
        <v>0.000568410511042483</v>
      </c>
      <c r="K18" s="28" t="n">
        <f aca="false">K8*K10/(4*PI()*K7*K6)</f>
        <v>0.00209522877423021</v>
      </c>
      <c r="L18" s="27" t="n">
        <f aca="false">K18/J18</f>
        <v>3.68611898183848</v>
      </c>
      <c r="N18" s="28" t="n">
        <f aca="false">N8*N10/(4*PI()*N7*N5)*(1-N14)</f>
        <v>0.000665885867274975</v>
      </c>
      <c r="O18" s="28" t="n">
        <f aca="false">O8*O10/(4*PI()*O7*O6)</f>
        <v>0.00106103295394597</v>
      </c>
      <c r="P18" s="27" t="n">
        <f aca="false">O18/N18</f>
        <v>1.59341563786008</v>
      </c>
    </row>
    <row r="19" customFormat="false" ht="12.8" hidden="false" customHeight="false" outlineLevel="0" collapsed="false">
      <c r="A19" s="1" t="s">
        <v>63</v>
      </c>
      <c r="B19" s="9"/>
      <c r="C19" s="29" t="n">
        <f aca="false">4*10^(-4)</f>
        <v>0.0004</v>
      </c>
      <c r="D19" s="29"/>
      <c r="E19" s="29"/>
      <c r="F19" s="9"/>
      <c r="G19" s="29"/>
      <c r="H19" s="29"/>
      <c r="I19" s="29"/>
      <c r="J19" s="9" t="n">
        <f aca="false">3*10^(-4)</f>
        <v>0.0003</v>
      </c>
      <c r="K19" s="29" t="n">
        <f aca="false">7.2*10^(-4)</f>
        <v>0.00072</v>
      </c>
      <c r="L19" s="27" t="n">
        <f aca="false">K19/J19</f>
        <v>2.4</v>
      </c>
      <c r="N19" s="9"/>
      <c r="O19" s="29" t="n">
        <f aca="false">4*10^(-4)</f>
        <v>0.0004</v>
      </c>
      <c r="P19" s="29"/>
    </row>
    <row r="20" customFormat="false" ht="12.8" hidden="false" customHeight="false" outlineLevel="0" collapsed="false">
      <c r="A20" s="0" t="s">
        <v>64</v>
      </c>
      <c r="C20" s="30" t="s">
        <v>1</v>
      </c>
      <c r="K20" s="0" t="s">
        <v>57</v>
      </c>
    </row>
    <row r="21" customFormat="false" ht="12.8" hidden="false" customHeight="false" outlineLevel="0" collapsed="false">
      <c r="A21" s="0" t="s">
        <v>65</v>
      </c>
      <c r="J21" s="0" t="n">
        <f aca="false">J18/J19</f>
        <v>1.89470170347494</v>
      </c>
      <c r="K21" s="0" t="n">
        <f aca="false">K18/K19</f>
        <v>2.91003996420862</v>
      </c>
    </row>
    <row r="22" customFormat="false" ht="12.8" hidden="false" customHeight="false" outlineLevel="0" collapsed="false">
      <c r="A22" s="0" t="s">
        <v>66</v>
      </c>
      <c r="J22" s="0" t="n">
        <f aca="false">1/KEStransparency!B30</f>
        <v>2.58790553719257</v>
      </c>
      <c r="K22" s="0" t="n">
        <f aca="false">1/KEStransparency!B22</f>
        <v>1.75930577809311</v>
      </c>
    </row>
    <row r="23" customFormat="false" ht="12.8" hidden="false" customHeight="false" outlineLevel="0" collapsed="false">
      <c r="A23" s="0" t="s">
        <v>67</v>
      </c>
      <c r="J23" s="0" t="n">
        <f aca="false">J16/J13</f>
        <v>1.4</v>
      </c>
      <c r="K23" s="0" t="n">
        <f aca="false">K16/K13</f>
        <v>5.26588425976925</v>
      </c>
    </row>
    <row r="25" customFormat="false" ht="12.8" hidden="false" customHeight="false" outlineLevel="0" collapsed="false">
      <c r="A25" s="16" t="s">
        <v>60</v>
      </c>
    </row>
    <row r="26" customFormat="false" ht="12.8" hidden="false" customHeight="false" outlineLevel="0" collapsed="false">
      <c r="B26" s="0" t="s">
        <v>5</v>
      </c>
      <c r="C26" s="0" t="s">
        <v>6</v>
      </c>
    </row>
    <row r="27" customFormat="false" ht="12.8" hidden="false" customHeight="false" outlineLevel="0" collapsed="false">
      <c r="A27" s="0" t="s">
        <v>68</v>
      </c>
      <c r="B27" s="31" t="n">
        <f aca="false">B16</f>
        <v>8.4</v>
      </c>
      <c r="C27" s="31" t="n">
        <f aca="false">C16</f>
        <v>23.6964791689616</v>
      </c>
    </row>
    <row r="28" customFormat="false" ht="12.8" hidden="false" customHeight="false" outlineLevel="0" collapsed="false">
      <c r="A28" s="0" t="s">
        <v>69</v>
      </c>
      <c r="B28" s="31" t="n">
        <f aca="false">F16</f>
        <v>4</v>
      </c>
      <c r="C28" s="31" t="n">
        <f aca="false">G16</f>
        <v>21.063537039077</v>
      </c>
    </row>
    <row r="29" customFormat="false" ht="12.8" hidden="false" customHeight="false" outlineLevel="0" collapsed="false">
      <c r="A29" s="0" t="s">
        <v>70</v>
      </c>
      <c r="B29" s="31" t="n">
        <f aca="false">J16</f>
        <v>5.6</v>
      </c>
      <c r="C29" s="31" t="n">
        <f aca="false">K16</f>
        <v>21.063537039077</v>
      </c>
    </row>
    <row r="30" customFormat="false" ht="12.8" hidden="false" customHeight="false" outlineLevel="0" collapsed="false">
      <c r="A30" s="0" t="s">
        <v>71</v>
      </c>
      <c r="B30" s="31" t="n">
        <f aca="false">J17</f>
        <v>6.3</v>
      </c>
      <c r="C30" s="31" t="n">
        <f aca="false">K17</f>
        <v>20.6</v>
      </c>
    </row>
    <row r="32" customFormat="false" ht="12.8" hidden="false" customHeight="false" outlineLevel="0" collapsed="false">
      <c r="A32" s="0" t="s">
        <v>72</v>
      </c>
    </row>
    <row r="33" customFormat="false" ht="12.8" hidden="false" customHeight="false" outlineLevel="0" collapsed="false">
      <c r="B33" s="0" t="s">
        <v>5</v>
      </c>
      <c r="C33" s="0" t="s">
        <v>6</v>
      </c>
    </row>
    <row r="34" customFormat="false" ht="12.8" hidden="false" customHeight="false" outlineLevel="0" collapsed="false">
      <c r="A34" s="0" t="s">
        <v>68</v>
      </c>
      <c r="B34" s="31" t="n">
        <f aca="false">B18</f>
        <v>0.00032740445436047</v>
      </c>
      <c r="C34" s="31" t="n">
        <f aca="false">C18</f>
        <v>0.00120249585297877</v>
      </c>
    </row>
    <row r="35" customFormat="false" ht="12.8" hidden="false" customHeight="false" outlineLevel="0" collapsed="false">
      <c r="A35" s="0" t="s">
        <v>69</v>
      </c>
      <c r="B35" s="31" t="n">
        <f aca="false">F18</f>
        <v>6.6314559621623E-005</v>
      </c>
      <c r="C35" s="31" t="n">
        <f aca="false">G18</f>
        <v>0.000465606394273379</v>
      </c>
    </row>
    <row r="36" customFormat="false" ht="12.8" hidden="false" customHeight="false" outlineLevel="0" collapsed="false">
      <c r="A36" s="0" t="s">
        <v>70</v>
      </c>
      <c r="B36" s="31" t="n">
        <f aca="false">J18</f>
        <v>0.000568410511042483</v>
      </c>
      <c r="C36" s="31" t="n">
        <f aca="false">K18</f>
        <v>0.00209522877423021</v>
      </c>
    </row>
    <row r="37" customFormat="false" ht="12.8" hidden="false" customHeight="false" outlineLevel="0" collapsed="false">
      <c r="A37" s="0" t="s">
        <v>73</v>
      </c>
      <c r="B37" s="31" t="n">
        <f aca="false">B36*KEStransparency!B30</f>
        <v>0.000219641135610811</v>
      </c>
      <c r="C37" s="31" t="n">
        <f aca="false">C36*KEStransparency!B22</f>
        <v>0.0011909406541603</v>
      </c>
    </row>
    <row r="38" customFormat="false" ht="12.8" hidden="false" customHeight="false" outlineLevel="0" collapsed="false">
      <c r="A38" s="0" t="s">
        <v>71</v>
      </c>
      <c r="B38" s="31" t="n">
        <f aca="false">J19</f>
        <v>0.0003</v>
      </c>
      <c r="C38" s="31" t="n">
        <f aca="false">K19</f>
        <v>0.00072</v>
      </c>
    </row>
  </sheetData>
  <mergeCells count="4">
    <mergeCell ref="B2:D2"/>
    <mergeCell ref="F2:H2"/>
    <mergeCell ref="J2:L2"/>
    <mergeCell ref="N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2019-08-21T18:55:15Z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