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ppe\Documents\NEFF\Forests paper\Supplementary Materials\"/>
    </mc:Choice>
  </mc:AlternateContent>
  <xr:revisionPtr revIDLastSave="0" documentId="13_ncr:1_{4933044C-CA35-4D34-A995-7A0343F0F88B}" xr6:coauthVersionLast="47" xr6:coauthVersionMax="47" xr10:uidLastSave="{00000000-0000-0000-0000-000000000000}"/>
  <bookViews>
    <workbookView xWindow="216" yWindow="-228" windowWidth="21420" windowHeight="12180" activeTab="1" xr2:uid="{3AC08C9B-6D82-4E6F-8E3C-E8104B56D90B}"/>
  </bookViews>
  <sheets>
    <sheet name="Basic Acquisition Model-metric" sheetId="3" r:id="rId1"/>
    <sheet name="Basic Acquisition Model" sheetId="1" r:id="rId2"/>
    <sheet name="Sheet1" sheetId="2" r:id="rId3"/>
  </sheets>
  <externalReferences>
    <externalReference r:id="rId4"/>
  </externalReferences>
  <definedNames>
    <definedName name="_xlnm.Print_Area" localSheetId="1">'Basic Acquisition Model'!$A$10:$Y$104</definedName>
    <definedName name="_xlnm.Print_Area" localSheetId="0">'Basic Acquisition Model-metric'!$A$10:$Y$104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4" i="3" l="1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K154" i="3"/>
  <c r="C48" i="3"/>
  <c r="C47" i="3"/>
  <c r="C46" i="3"/>
  <c r="C45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K169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K168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K167" i="3"/>
  <c r="X87" i="2" l="1"/>
  <c r="X91" i="2"/>
  <c r="U91" i="2"/>
  <c r="U88" i="2"/>
  <c r="T91" i="2"/>
  <c r="C59" i="3"/>
  <c r="C57" i="3"/>
  <c r="C55" i="3"/>
  <c r="D12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T6" i="3" s="1"/>
  <c r="K178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AO176" i="3"/>
  <c r="AN176" i="3"/>
  <c r="AN181" i="3" s="1"/>
  <c r="AM176" i="3"/>
  <c r="AL176" i="3"/>
  <c r="AK176" i="3"/>
  <c r="AJ176" i="3"/>
  <c r="AI176" i="3"/>
  <c r="AH176" i="3"/>
  <c r="AG176" i="3"/>
  <c r="AF176" i="3"/>
  <c r="AF181" i="3" s="1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AK166" i="3"/>
  <c r="AL166" i="3" s="1"/>
  <c r="AM166" i="3" s="1"/>
  <c r="AN166" i="3" s="1"/>
  <c r="AO166" i="3" s="1"/>
  <c r="AF166" i="3"/>
  <c r="AG166" i="3" s="1"/>
  <c r="AH166" i="3" s="1"/>
  <c r="AI166" i="3" s="1"/>
  <c r="AJ166" i="3" s="1"/>
  <c r="AE166" i="3"/>
  <c r="X164" i="3"/>
  <c r="Y164" i="3" s="1"/>
  <c r="Z164" i="3" s="1"/>
  <c r="AA164" i="3" s="1"/>
  <c r="AB164" i="3" s="1"/>
  <c r="AC164" i="3" s="1"/>
  <c r="AD164" i="3" s="1"/>
  <c r="AE164" i="3" s="1"/>
  <c r="AF164" i="3" s="1"/>
  <c r="AG164" i="3" s="1"/>
  <c r="AH164" i="3" s="1"/>
  <c r="AI164" i="3" s="1"/>
  <c r="AJ164" i="3" s="1"/>
  <c r="AK164" i="3" s="1"/>
  <c r="AL164" i="3" s="1"/>
  <c r="AM164" i="3" s="1"/>
  <c r="AN164" i="3" s="1"/>
  <c r="AO164" i="3" s="1"/>
  <c r="P164" i="3"/>
  <c r="Q164" i="3" s="1"/>
  <c r="R164" i="3" s="1"/>
  <c r="S164" i="3" s="1"/>
  <c r="T164" i="3" s="1"/>
  <c r="U164" i="3" s="1"/>
  <c r="V164" i="3" s="1"/>
  <c r="W164" i="3" s="1"/>
  <c r="L164" i="3"/>
  <c r="M164" i="3" s="1"/>
  <c r="N164" i="3" s="1"/>
  <c r="O164" i="3" s="1"/>
  <c r="L163" i="3"/>
  <c r="M163" i="3" s="1"/>
  <c r="N163" i="3" s="1"/>
  <c r="O163" i="3" s="1"/>
  <c r="P163" i="3" s="1"/>
  <c r="Q163" i="3" s="1"/>
  <c r="R163" i="3" s="1"/>
  <c r="S163" i="3" s="1"/>
  <c r="T163" i="3" s="1"/>
  <c r="U163" i="3" s="1"/>
  <c r="V163" i="3" s="1"/>
  <c r="W163" i="3" s="1"/>
  <c r="X163" i="3" s="1"/>
  <c r="Y163" i="3" s="1"/>
  <c r="Z163" i="3" s="1"/>
  <c r="AA163" i="3" s="1"/>
  <c r="AB163" i="3" s="1"/>
  <c r="AC163" i="3" s="1"/>
  <c r="AD163" i="3" s="1"/>
  <c r="AE163" i="3" s="1"/>
  <c r="AF163" i="3" s="1"/>
  <c r="AG163" i="3" s="1"/>
  <c r="AH163" i="3" s="1"/>
  <c r="AI163" i="3" s="1"/>
  <c r="AJ163" i="3" s="1"/>
  <c r="AK163" i="3" s="1"/>
  <c r="AL163" i="3" s="1"/>
  <c r="AM163" i="3" s="1"/>
  <c r="AN163" i="3" s="1"/>
  <c r="AO163" i="3" s="1"/>
  <c r="K163" i="3"/>
  <c r="AD162" i="3"/>
  <c r="M160" i="3"/>
  <c r="N160" i="3" s="1"/>
  <c r="O160" i="3" s="1"/>
  <c r="P160" i="3" s="1"/>
  <c r="Q160" i="3" s="1"/>
  <c r="R160" i="3" s="1"/>
  <c r="S160" i="3" s="1"/>
  <c r="T160" i="3" s="1"/>
  <c r="U160" i="3" s="1"/>
  <c r="V160" i="3" s="1"/>
  <c r="W160" i="3" s="1"/>
  <c r="X160" i="3" s="1"/>
  <c r="Y160" i="3" s="1"/>
  <c r="Z160" i="3" s="1"/>
  <c r="AA160" i="3" s="1"/>
  <c r="AB160" i="3" s="1"/>
  <c r="AC160" i="3" s="1"/>
  <c r="AD160" i="3" s="1"/>
  <c r="AE160" i="3" s="1"/>
  <c r="AF160" i="3" s="1"/>
  <c r="AG160" i="3" s="1"/>
  <c r="AH160" i="3" s="1"/>
  <c r="AI160" i="3" s="1"/>
  <c r="AJ160" i="3" s="1"/>
  <c r="AK160" i="3" s="1"/>
  <c r="AL160" i="3" s="1"/>
  <c r="AM160" i="3" s="1"/>
  <c r="AN160" i="3" s="1"/>
  <c r="AO160" i="3" s="1"/>
  <c r="L160" i="3"/>
  <c r="L159" i="3"/>
  <c r="AO158" i="3"/>
  <c r="AN158" i="3"/>
  <c r="AM158" i="3"/>
  <c r="AM162" i="3" s="1"/>
  <c r="AL158" i="3"/>
  <c r="AL162" i="3" s="1"/>
  <c r="AK158" i="3"/>
  <c r="AK162" i="3" s="1"/>
  <c r="AJ158" i="3"/>
  <c r="AJ162" i="3" s="1"/>
  <c r="AI158" i="3"/>
  <c r="AI162" i="3" s="1"/>
  <c r="AH158" i="3"/>
  <c r="AH162" i="3" s="1"/>
  <c r="AG158" i="3"/>
  <c r="AF158" i="3"/>
  <c r="AE158" i="3"/>
  <c r="AE162" i="3" s="1"/>
  <c r="AD158" i="3"/>
  <c r="AC158" i="3"/>
  <c r="AC162" i="3" s="1"/>
  <c r="AB158" i="3"/>
  <c r="AB162" i="3" s="1"/>
  <c r="AA158" i="3"/>
  <c r="AA162" i="3" s="1"/>
  <c r="Z158" i="3"/>
  <c r="Z162" i="3" s="1"/>
  <c r="Y158" i="3"/>
  <c r="X158" i="3"/>
  <c r="W158" i="3"/>
  <c r="W162" i="3" s="1"/>
  <c r="V158" i="3"/>
  <c r="V162" i="3" s="1"/>
  <c r="U158" i="3"/>
  <c r="U162" i="3" s="1"/>
  <c r="T158" i="3"/>
  <c r="T162" i="3" s="1"/>
  <c r="S158" i="3"/>
  <c r="S162" i="3" s="1"/>
  <c r="R158" i="3"/>
  <c r="R162" i="3" s="1"/>
  <c r="Q158" i="3"/>
  <c r="P158" i="3"/>
  <c r="O158" i="3"/>
  <c r="O162" i="3" s="1"/>
  <c r="N158" i="3"/>
  <c r="N162" i="3" s="1"/>
  <c r="M158" i="3"/>
  <c r="M162" i="3" s="1"/>
  <c r="L158" i="3"/>
  <c r="L162" i="3" s="1"/>
  <c r="K158" i="3"/>
  <c r="K162" i="3" s="1"/>
  <c r="M156" i="3"/>
  <c r="N156" i="3" s="1"/>
  <c r="O156" i="3" s="1"/>
  <c r="P156" i="3" s="1"/>
  <c r="Q156" i="3" s="1"/>
  <c r="R156" i="3" s="1"/>
  <c r="S156" i="3" s="1"/>
  <c r="T156" i="3" s="1"/>
  <c r="U156" i="3" s="1"/>
  <c r="V156" i="3" s="1"/>
  <c r="W156" i="3" s="1"/>
  <c r="X156" i="3" s="1"/>
  <c r="Y156" i="3" s="1"/>
  <c r="Z156" i="3" s="1"/>
  <c r="AA156" i="3" s="1"/>
  <c r="AB156" i="3" s="1"/>
  <c r="AC156" i="3" s="1"/>
  <c r="AD156" i="3" s="1"/>
  <c r="AE156" i="3" s="1"/>
  <c r="AF156" i="3" s="1"/>
  <c r="AG156" i="3" s="1"/>
  <c r="AH156" i="3" s="1"/>
  <c r="AI156" i="3" s="1"/>
  <c r="AJ156" i="3" s="1"/>
  <c r="AK156" i="3" s="1"/>
  <c r="AL156" i="3" s="1"/>
  <c r="AM156" i="3" s="1"/>
  <c r="AN156" i="3" s="1"/>
  <c r="AO156" i="3" s="1"/>
  <c r="L156" i="3"/>
  <c r="N153" i="3"/>
  <c r="O153" i="3" s="1"/>
  <c r="P153" i="3" s="1"/>
  <c r="Q153" i="3" s="1"/>
  <c r="R153" i="3" s="1"/>
  <c r="S153" i="3" s="1"/>
  <c r="T153" i="3" s="1"/>
  <c r="U153" i="3" s="1"/>
  <c r="V153" i="3" s="1"/>
  <c r="W153" i="3" s="1"/>
  <c r="X153" i="3" s="1"/>
  <c r="Y153" i="3" s="1"/>
  <c r="Z153" i="3" s="1"/>
  <c r="AA153" i="3" s="1"/>
  <c r="AB153" i="3" s="1"/>
  <c r="AC153" i="3" s="1"/>
  <c r="AD153" i="3" s="1"/>
  <c r="AE153" i="3" s="1"/>
  <c r="AF153" i="3" s="1"/>
  <c r="AG153" i="3" s="1"/>
  <c r="AH153" i="3" s="1"/>
  <c r="AI153" i="3" s="1"/>
  <c r="AJ153" i="3" s="1"/>
  <c r="AK153" i="3" s="1"/>
  <c r="AL153" i="3" s="1"/>
  <c r="AM153" i="3" s="1"/>
  <c r="AN153" i="3" s="1"/>
  <c r="AO153" i="3" s="1"/>
  <c r="M153" i="3"/>
  <c r="M159" i="3" s="1"/>
  <c r="AF152" i="3"/>
  <c r="AG152" i="3" s="1"/>
  <c r="AH152" i="3" s="1"/>
  <c r="AI152" i="3" s="1"/>
  <c r="AJ152" i="3" s="1"/>
  <c r="AK152" i="3" s="1"/>
  <c r="AL152" i="3" s="1"/>
  <c r="AM152" i="3" s="1"/>
  <c r="AN152" i="3" s="1"/>
  <c r="AO152" i="3" s="1"/>
  <c r="AE152" i="3"/>
  <c r="M112" i="3"/>
  <c r="AA111" i="3"/>
  <c r="AA112" i="3" s="1"/>
  <c r="Y111" i="3"/>
  <c r="Y112" i="3" s="1"/>
  <c r="Q111" i="3"/>
  <c r="M111" i="3"/>
  <c r="K111" i="3"/>
  <c r="J111" i="3"/>
  <c r="AC111" i="3" s="1"/>
  <c r="AC112" i="3" s="1"/>
  <c r="AD106" i="3"/>
  <c r="AC106" i="3"/>
  <c r="AB106" i="3"/>
  <c r="AA106" i="3"/>
  <c r="Z106" i="3"/>
  <c r="AD105" i="3"/>
  <c r="AC105" i="3"/>
  <c r="AB105" i="3"/>
  <c r="AA105" i="3"/>
  <c r="Z105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M98" i="3"/>
  <c r="L98" i="3"/>
  <c r="K98" i="3"/>
  <c r="J98" i="3"/>
  <c r="J92" i="3"/>
  <c r="C87" i="3"/>
  <c r="D81" i="3"/>
  <c r="AD76" i="3"/>
  <c r="AC76" i="3"/>
  <c r="AB76" i="3"/>
  <c r="AA76" i="3"/>
  <c r="Z76" i="3"/>
  <c r="AD69" i="3"/>
  <c r="AD150" i="3" s="1"/>
  <c r="AC69" i="3"/>
  <c r="AC150" i="3" s="1"/>
  <c r="AB69" i="3"/>
  <c r="AB150" i="3" s="1"/>
  <c r="AA69" i="3"/>
  <c r="AA150" i="3" s="1"/>
  <c r="Z69" i="3"/>
  <c r="Z150" i="3" s="1"/>
  <c r="AD63" i="3"/>
  <c r="AC63" i="3"/>
  <c r="AB63" i="3"/>
  <c r="AA63" i="3"/>
  <c r="Z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J61" i="3"/>
  <c r="K59" i="3"/>
  <c r="L59" i="3" s="1"/>
  <c r="M59" i="3" s="1"/>
  <c r="N59" i="3" s="1"/>
  <c r="O59" i="3" s="1"/>
  <c r="P59" i="3" s="1"/>
  <c r="Q59" i="3" s="1"/>
  <c r="R59" i="3" s="1"/>
  <c r="S59" i="3" s="1"/>
  <c r="T59" i="3" s="1"/>
  <c r="U59" i="3" s="1"/>
  <c r="V59" i="3" s="1"/>
  <c r="W59" i="3" s="1"/>
  <c r="X59" i="3" s="1"/>
  <c r="Y59" i="3" s="1"/>
  <c r="Z59" i="3" s="1"/>
  <c r="AA59" i="3" s="1"/>
  <c r="AB59" i="3" s="1"/>
  <c r="AC59" i="3" s="1"/>
  <c r="AD59" i="3" s="1"/>
  <c r="AE59" i="3" s="1"/>
  <c r="AF59" i="3" s="1"/>
  <c r="AG59" i="3" s="1"/>
  <c r="AH59" i="3" s="1"/>
  <c r="AI59" i="3" s="1"/>
  <c r="AJ59" i="3" s="1"/>
  <c r="AK59" i="3" s="1"/>
  <c r="AL59" i="3" s="1"/>
  <c r="AM59" i="3" s="1"/>
  <c r="AN59" i="3" s="1"/>
  <c r="AO59" i="3" s="1"/>
  <c r="AD46" i="3"/>
  <c r="AD134" i="3" s="1"/>
  <c r="AC46" i="3"/>
  <c r="AC134" i="3" s="1"/>
  <c r="AB46" i="3"/>
  <c r="AB134" i="3" s="1"/>
  <c r="AA46" i="3"/>
  <c r="AA134" i="3" s="1"/>
  <c r="Z46" i="3"/>
  <c r="Z134" i="3" s="1"/>
  <c r="X46" i="3"/>
  <c r="X134" i="3" s="1"/>
  <c r="W46" i="3"/>
  <c r="W134" i="3" s="1"/>
  <c r="V46" i="3"/>
  <c r="V134" i="3" s="1"/>
  <c r="U46" i="3"/>
  <c r="U134" i="3" s="1"/>
  <c r="T46" i="3"/>
  <c r="T134" i="3" s="1"/>
  <c r="S46" i="3"/>
  <c r="S134" i="3" s="1"/>
  <c r="R46" i="3"/>
  <c r="R134" i="3" s="1"/>
  <c r="Q46" i="3"/>
  <c r="Q134" i="3" s="1"/>
  <c r="P46" i="3"/>
  <c r="P134" i="3" s="1"/>
  <c r="O46" i="3"/>
  <c r="O134" i="3" s="1"/>
  <c r="N46" i="3"/>
  <c r="N134" i="3" s="1"/>
  <c r="M46" i="3"/>
  <c r="M134" i="3" s="1"/>
  <c r="L46" i="3"/>
  <c r="L134" i="3" s="1"/>
  <c r="K46" i="3"/>
  <c r="K134" i="3" s="1"/>
  <c r="J46" i="3"/>
  <c r="J42" i="3"/>
  <c r="C42" i="3"/>
  <c r="C41" i="3"/>
  <c r="H40" i="3"/>
  <c r="C40" i="3"/>
  <c r="H39" i="3"/>
  <c r="C39" i="3"/>
  <c r="H38" i="3"/>
  <c r="H37" i="3"/>
  <c r="H36" i="3"/>
  <c r="E36" i="3"/>
  <c r="D36" i="3" s="1"/>
  <c r="H35" i="3"/>
  <c r="H31" i="3"/>
  <c r="H30" i="3"/>
  <c r="H29" i="3"/>
  <c r="K28" i="3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AG28" i="3" s="1"/>
  <c r="AH28" i="3" s="1"/>
  <c r="AI28" i="3" s="1"/>
  <c r="AJ28" i="3" s="1"/>
  <c r="AK28" i="3" s="1"/>
  <c r="AL28" i="3" s="1"/>
  <c r="AM28" i="3" s="1"/>
  <c r="AN28" i="3" s="1"/>
  <c r="AO28" i="3" s="1"/>
  <c r="H28" i="3"/>
  <c r="K27" i="3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AG27" i="3" s="1"/>
  <c r="AH27" i="3" s="1"/>
  <c r="AI27" i="3" s="1"/>
  <c r="AJ27" i="3" s="1"/>
  <c r="AK27" i="3" s="1"/>
  <c r="AL27" i="3" s="1"/>
  <c r="AM27" i="3" s="1"/>
  <c r="AN27" i="3" s="1"/>
  <c r="AO27" i="3" s="1"/>
  <c r="H27" i="3"/>
  <c r="K26" i="3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AO26" i="3" s="1"/>
  <c r="H26" i="3"/>
  <c r="K25" i="3"/>
  <c r="H25" i="3"/>
  <c r="AD20" i="3"/>
  <c r="AA20" i="3"/>
  <c r="Z20" i="3"/>
  <c r="Y20" i="3"/>
  <c r="V20" i="3"/>
  <c r="S20" i="3"/>
  <c r="R20" i="3"/>
  <c r="Q20" i="3"/>
  <c r="N20" i="3"/>
  <c r="K20" i="3"/>
  <c r="AD18" i="3"/>
  <c r="AD92" i="3" s="1"/>
  <c r="AD49" i="3" s="1"/>
  <c r="AD140" i="3" s="1"/>
  <c r="AB18" i="3"/>
  <c r="AB92" i="3" s="1"/>
  <c r="AB49" i="3" s="1"/>
  <c r="AB140" i="3" s="1"/>
  <c r="AA18" i="3"/>
  <c r="AA92" i="3" s="1"/>
  <c r="AA49" i="3" s="1"/>
  <c r="AA140" i="3" s="1"/>
  <c r="Z18" i="3"/>
  <c r="W18" i="3"/>
  <c r="W92" i="3" s="1"/>
  <c r="W49" i="3" s="1"/>
  <c r="W140" i="3" s="1"/>
  <c r="V18" i="3"/>
  <c r="V92" i="3" s="1"/>
  <c r="V49" i="3" s="1"/>
  <c r="V140" i="3" s="1"/>
  <c r="T18" i="3"/>
  <c r="T92" i="3" s="1"/>
  <c r="T49" i="3" s="1"/>
  <c r="T140" i="3" s="1"/>
  <c r="S18" i="3"/>
  <c r="S92" i="3" s="1"/>
  <c r="S49" i="3" s="1"/>
  <c r="S140" i="3" s="1"/>
  <c r="R18" i="3"/>
  <c r="R92" i="3" s="1"/>
  <c r="R49" i="3" s="1"/>
  <c r="R140" i="3" s="1"/>
  <c r="O18" i="3"/>
  <c r="O92" i="3" s="1"/>
  <c r="O49" i="3" s="1"/>
  <c r="O140" i="3" s="1"/>
  <c r="N18" i="3"/>
  <c r="N92" i="3" s="1"/>
  <c r="N49" i="3" s="1"/>
  <c r="N140" i="3" s="1"/>
  <c r="L18" i="3"/>
  <c r="L92" i="3" s="1"/>
  <c r="L49" i="3" s="1"/>
  <c r="L140" i="3" s="1"/>
  <c r="K18" i="3"/>
  <c r="D18" i="3"/>
  <c r="J107" i="3" s="1"/>
  <c r="D17" i="3"/>
  <c r="J16" i="3"/>
  <c r="D16" i="3"/>
  <c r="AE15" i="3"/>
  <c r="AD15" i="3"/>
  <c r="AC15" i="3"/>
  <c r="AB15" i="3"/>
  <c r="AA15" i="3"/>
  <c r="Z15" i="3"/>
  <c r="Y15" i="3"/>
  <c r="X15" i="3"/>
  <c r="X100" i="3" s="1"/>
  <c r="W15" i="3"/>
  <c r="V15" i="3"/>
  <c r="V53" i="3" s="1"/>
  <c r="U15" i="3"/>
  <c r="T15" i="3"/>
  <c r="S15" i="3"/>
  <c r="R15" i="3"/>
  <c r="Q15" i="3"/>
  <c r="P15" i="3"/>
  <c r="P100" i="3" s="1"/>
  <c r="O15" i="3"/>
  <c r="N15" i="3"/>
  <c r="M15" i="3"/>
  <c r="L15" i="3"/>
  <c r="K15" i="3"/>
  <c r="J15" i="3"/>
  <c r="O4" i="3" s="1"/>
  <c r="AE11" i="3"/>
  <c r="Y7" i="3"/>
  <c r="V4" i="3"/>
  <c r="O3" i="3"/>
  <c r="J3" i="3"/>
  <c r="X88" i="2"/>
  <c r="X78" i="2"/>
  <c r="U87" i="2"/>
  <c r="A88" i="2"/>
  <c r="T88" i="2"/>
  <c r="T87" i="2"/>
  <c r="X86" i="2"/>
  <c r="U86" i="2"/>
  <c r="T86" i="2"/>
  <c r="U78" i="2"/>
  <c r="V78" i="2"/>
  <c r="T78" i="2"/>
  <c r="V64" i="2"/>
  <c r="U64" i="2"/>
  <c r="T64" i="2"/>
  <c r="F7" i="2"/>
  <c r="D2" i="2"/>
  <c r="F6" i="2"/>
  <c r="E6" i="2"/>
  <c r="C2" i="2"/>
  <c r="D12" i="1"/>
  <c r="AE181" i="1"/>
  <c r="AO180" i="1"/>
  <c r="AN180" i="1"/>
  <c r="AM180" i="1"/>
  <c r="AM181" i="1" s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AO178" i="1"/>
  <c r="AN178" i="1"/>
  <c r="AM178" i="1"/>
  <c r="AL178" i="1"/>
  <c r="AK178" i="1"/>
  <c r="AK181" i="1" s="1"/>
  <c r="AJ178" i="1"/>
  <c r="AI178" i="1"/>
  <c r="AH178" i="1"/>
  <c r="AG178" i="1"/>
  <c r="AF178" i="1"/>
  <c r="AE178" i="1"/>
  <c r="AD178" i="1"/>
  <c r="AC178" i="1"/>
  <c r="AC181" i="1" s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AO176" i="1"/>
  <c r="AN176" i="1"/>
  <c r="AN181" i="1" s="1"/>
  <c r="AM176" i="1"/>
  <c r="AL176" i="1"/>
  <c r="AK176" i="1"/>
  <c r="AJ176" i="1"/>
  <c r="AI176" i="1"/>
  <c r="AI181" i="1" s="1"/>
  <c r="AH176" i="1"/>
  <c r="AG176" i="1"/>
  <c r="AF176" i="1"/>
  <c r="AF181" i="1" s="1"/>
  <c r="AE176" i="1"/>
  <c r="AD176" i="1"/>
  <c r="AC176" i="1"/>
  <c r="AB176" i="1"/>
  <c r="AA176" i="1"/>
  <c r="AA181" i="1" s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AK166" i="1"/>
  <c r="AL166" i="1" s="1"/>
  <c r="AM166" i="1" s="1"/>
  <c r="AN166" i="1" s="1"/>
  <c r="AO166" i="1" s="1"/>
  <c r="AE166" i="1"/>
  <c r="AF166" i="1" s="1"/>
  <c r="AG166" i="1" s="1"/>
  <c r="AH166" i="1" s="1"/>
  <c r="AI166" i="1" s="1"/>
  <c r="AJ166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P164" i="1"/>
  <c r="Q164" i="1" s="1"/>
  <c r="R164" i="1" s="1"/>
  <c r="S164" i="1" s="1"/>
  <c r="T164" i="1" s="1"/>
  <c r="U164" i="1" s="1"/>
  <c r="V164" i="1" s="1"/>
  <c r="W164" i="1" s="1"/>
  <c r="N164" i="1"/>
  <c r="O164" i="1" s="1"/>
  <c r="M164" i="1"/>
  <c r="L164" i="1"/>
  <c r="P163" i="1"/>
  <c r="Q163" i="1" s="1"/>
  <c r="R163" i="1" s="1"/>
  <c r="S163" i="1" s="1"/>
  <c r="T163" i="1" s="1"/>
  <c r="L163" i="1"/>
  <c r="M163" i="1" s="1"/>
  <c r="N163" i="1" s="1"/>
  <c r="O163" i="1" s="1"/>
  <c r="K163" i="1"/>
  <c r="AM162" i="1"/>
  <c r="AK162" i="1"/>
  <c r="AJ162" i="1"/>
  <c r="AI162" i="1"/>
  <c r="AE162" i="1"/>
  <c r="AC162" i="1"/>
  <c r="AB162" i="1"/>
  <c r="AA162" i="1"/>
  <c r="W162" i="1"/>
  <c r="U162" i="1"/>
  <c r="T162" i="1"/>
  <c r="S162" i="1"/>
  <c r="O162" i="1"/>
  <c r="M162" i="1"/>
  <c r="L162" i="1"/>
  <c r="K162" i="1"/>
  <c r="V160" i="1"/>
  <c r="W160" i="1" s="1"/>
  <c r="X160" i="1" s="1"/>
  <c r="Y160" i="1" s="1"/>
  <c r="Z160" i="1" s="1"/>
  <c r="AA160" i="1" s="1"/>
  <c r="AB160" i="1" s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N160" i="1"/>
  <c r="O160" i="1" s="1"/>
  <c r="P160" i="1" s="1"/>
  <c r="Q160" i="1" s="1"/>
  <c r="R160" i="1" s="1"/>
  <c r="S160" i="1" s="1"/>
  <c r="T160" i="1" s="1"/>
  <c r="U160" i="1" s="1"/>
  <c r="L160" i="1"/>
  <c r="M160" i="1" s="1"/>
  <c r="L159" i="1"/>
  <c r="AO158" i="1"/>
  <c r="AO162" i="1" s="1"/>
  <c r="AN158" i="1"/>
  <c r="AM158" i="1"/>
  <c r="AL158" i="1"/>
  <c r="AL162" i="1" s="1"/>
  <c r="AK158" i="1"/>
  <c r="AJ158" i="1"/>
  <c r="AI158" i="1"/>
  <c r="AH158" i="1"/>
  <c r="AG158" i="1"/>
  <c r="AG162" i="1" s="1"/>
  <c r="AF158" i="1"/>
  <c r="AE158" i="1"/>
  <c r="AD158" i="1"/>
  <c r="AD162" i="1" s="1"/>
  <c r="AC158" i="1"/>
  <c r="AB158" i="1"/>
  <c r="AA158" i="1"/>
  <c r="Z158" i="1"/>
  <c r="Y158" i="1"/>
  <c r="Y162" i="1" s="1"/>
  <c r="X158" i="1"/>
  <c r="X162" i="1" s="1"/>
  <c r="W158" i="1"/>
  <c r="V158" i="1"/>
  <c r="V162" i="1" s="1"/>
  <c r="U158" i="1"/>
  <c r="T158" i="1"/>
  <c r="S158" i="1"/>
  <c r="R158" i="1"/>
  <c r="Q158" i="1"/>
  <c r="Q162" i="1" s="1"/>
  <c r="P158" i="1"/>
  <c r="O158" i="1"/>
  <c r="N158" i="1"/>
  <c r="N162" i="1" s="1"/>
  <c r="M158" i="1"/>
  <c r="L158" i="1"/>
  <c r="K158" i="1"/>
  <c r="K168" i="1" s="1"/>
  <c r="O156" i="1"/>
  <c r="P156" i="1" s="1"/>
  <c r="Q156" i="1" s="1"/>
  <c r="R156" i="1" s="1"/>
  <c r="S156" i="1" s="1"/>
  <c r="T156" i="1" s="1"/>
  <c r="U156" i="1" s="1"/>
  <c r="V156" i="1" s="1"/>
  <c r="W156" i="1" s="1"/>
  <c r="X156" i="1" s="1"/>
  <c r="Y156" i="1" s="1"/>
  <c r="Z156" i="1" s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M156" i="1"/>
  <c r="N156" i="1" s="1"/>
  <c r="L156" i="1"/>
  <c r="U153" i="1"/>
  <c r="V153" i="1" s="1"/>
  <c r="W153" i="1" s="1"/>
  <c r="X153" i="1" s="1"/>
  <c r="Y153" i="1" s="1"/>
  <c r="Z153" i="1" s="1"/>
  <c r="AA153" i="1" s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O153" i="1"/>
  <c r="P153" i="1" s="1"/>
  <c r="Q153" i="1" s="1"/>
  <c r="R153" i="1" s="1"/>
  <c r="S153" i="1" s="1"/>
  <c r="T153" i="1" s="1"/>
  <c r="M153" i="1"/>
  <c r="N153" i="1" s="1"/>
  <c r="AF152" i="1"/>
  <c r="AG152" i="1" s="1"/>
  <c r="AH152" i="1" s="1"/>
  <c r="AI152" i="1" s="1"/>
  <c r="AJ152" i="1" s="1"/>
  <c r="AK152" i="1" s="1"/>
  <c r="AL152" i="1" s="1"/>
  <c r="AM152" i="1" s="1"/>
  <c r="AN152" i="1" s="1"/>
  <c r="AO152" i="1" s="1"/>
  <c r="AE152" i="1"/>
  <c r="J121" i="1"/>
  <c r="AA113" i="1"/>
  <c r="AA114" i="1" s="1"/>
  <c r="X112" i="1"/>
  <c r="X113" i="1" s="1"/>
  <c r="S112" i="1"/>
  <c r="N112" i="1"/>
  <c r="N113" i="1" s="1"/>
  <c r="AD111" i="1"/>
  <c r="AD112" i="1" s="1"/>
  <c r="AB111" i="1"/>
  <c r="AA111" i="1"/>
  <c r="AA112" i="1" s="1"/>
  <c r="Z111" i="1"/>
  <c r="X111" i="1"/>
  <c r="T111" i="1"/>
  <c r="S111" i="1"/>
  <c r="R111" i="1"/>
  <c r="R112" i="1" s="1"/>
  <c r="R113" i="1" s="1"/>
  <c r="P111" i="1"/>
  <c r="P112" i="1" s="1"/>
  <c r="N111" i="1"/>
  <c r="L111" i="1"/>
  <c r="L112" i="1" s="1"/>
  <c r="K111" i="1"/>
  <c r="J111" i="1"/>
  <c r="AD106" i="1"/>
  <c r="AC106" i="1"/>
  <c r="AB106" i="1"/>
  <c r="AA106" i="1"/>
  <c r="Z106" i="1"/>
  <c r="AD105" i="1"/>
  <c r="AC105" i="1"/>
  <c r="AB105" i="1"/>
  <c r="AB52" i="1" s="1"/>
  <c r="AA105" i="1"/>
  <c r="Z105" i="1"/>
  <c r="Z52" i="1" s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M98" i="1"/>
  <c r="L98" i="1"/>
  <c r="K98" i="1"/>
  <c r="J98" i="1"/>
  <c r="J92" i="1"/>
  <c r="C87" i="1"/>
  <c r="J112" i="1" s="1"/>
  <c r="D81" i="1"/>
  <c r="AD76" i="1"/>
  <c r="AC76" i="1"/>
  <c r="AB76" i="1"/>
  <c r="AA76" i="1"/>
  <c r="Z76" i="1"/>
  <c r="AD69" i="1"/>
  <c r="AD150" i="1" s="1"/>
  <c r="AC69" i="1"/>
  <c r="AC150" i="1" s="1"/>
  <c r="AB69" i="1"/>
  <c r="AB150" i="1" s="1"/>
  <c r="AA69" i="1"/>
  <c r="Z69" i="1"/>
  <c r="Z150" i="1" s="1"/>
  <c r="AD63" i="1"/>
  <c r="AC63" i="1"/>
  <c r="AB63" i="1"/>
  <c r="AA63" i="1"/>
  <c r="Z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P59" i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O59" i="1"/>
  <c r="M59" i="1"/>
  <c r="N59" i="1" s="1"/>
  <c r="K59" i="1"/>
  <c r="L59" i="1" s="1"/>
  <c r="AD46" i="1"/>
  <c r="AD134" i="1" s="1"/>
  <c r="AC46" i="1"/>
  <c r="AC134" i="1" s="1"/>
  <c r="AB46" i="1"/>
  <c r="AB134" i="1" s="1"/>
  <c r="AA46" i="1"/>
  <c r="AA134" i="1" s="1"/>
  <c r="Z46" i="1"/>
  <c r="Z134" i="1" s="1"/>
  <c r="X46" i="1"/>
  <c r="X134" i="1" s="1"/>
  <c r="W46" i="1"/>
  <c r="W134" i="1" s="1"/>
  <c r="V46" i="1"/>
  <c r="V134" i="1" s="1"/>
  <c r="U46" i="1"/>
  <c r="U134" i="1" s="1"/>
  <c r="T46" i="1"/>
  <c r="T134" i="1" s="1"/>
  <c r="S46" i="1"/>
  <c r="S134" i="1" s="1"/>
  <c r="R46" i="1"/>
  <c r="R134" i="1" s="1"/>
  <c r="Q46" i="1"/>
  <c r="Q134" i="1" s="1"/>
  <c r="P46" i="1"/>
  <c r="P134" i="1" s="1"/>
  <c r="O46" i="1"/>
  <c r="O134" i="1" s="1"/>
  <c r="N46" i="1"/>
  <c r="N134" i="1" s="1"/>
  <c r="M46" i="1"/>
  <c r="M134" i="1" s="1"/>
  <c r="L46" i="1"/>
  <c r="L134" i="1" s="1"/>
  <c r="K46" i="1"/>
  <c r="K134" i="1" s="1"/>
  <c r="J46" i="1"/>
  <c r="J42" i="1"/>
  <c r="J61" i="1" s="1"/>
  <c r="C42" i="1"/>
  <c r="C41" i="1"/>
  <c r="H40" i="1"/>
  <c r="C40" i="1"/>
  <c r="H39" i="1"/>
  <c r="C39" i="1"/>
  <c r="H38" i="1"/>
  <c r="H37" i="1"/>
  <c r="H36" i="1"/>
  <c r="E36" i="1"/>
  <c r="D36" i="1"/>
  <c r="H35" i="1"/>
  <c r="K32" i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L31" i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K31" i="1"/>
  <c r="H31" i="1"/>
  <c r="K30" i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H30" i="1"/>
  <c r="K29" i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H29" i="1"/>
  <c r="K28" i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H28" i="1"/>
  <c r="K27" i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H27" i="1"/>
  <c r="L26" i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K26" i="1"/>
  <c r="H26" i="1"/>
  <c r="K25" i="1"/>
  <c r="H25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K19" i="1"/>
  <c r="AD18" i="1"/>
  <c r="AD92" i="1" s="1"/>
  <c r="AD49" i="1" s="1"/>
  <c r="AD140" i="1" s="1"/>
  <c r="AC18" i="1"/>
  <c r="AC92" i="1" s="1"/>
  <c r="AC49" i="1" s="1"/>
  <c r="AC140" i="1" s="1"/>
  <c r="AB18" i="1"/>
  <c r="AB92" i="1" s="1"/>
  <c r="AB49" i="1" s="1"/>
  <c r="AB140" i="1" s="1"/>
  <c r="AA18" i="1"/>
  <c r="AA92" i="1" s="1"/>
  <c r="AA49" i="1" s="1"/>
  <c r="AA140" i="1" s="1"/>
  <c r="Z18" i="1"/>
  <c r="Y18" i="1"/>
  <c r="X18" i="1"/>
  <c r="X92" i="1" s="1"/>
  <c r="X49" i="1" s="1"/>
  <c r="X140" i="1" s="1"/>
  <c r="W18" i="1"/>
  <c r="V18" i="1"/>
  <c r="V92" i="1" s="1"/>
  <c r="V49" i="1" s="1"/>
  <c r="V140" i="1" s="1"/>
  <c r="U18" i="1"/>
  <c r="T18" i="1"/>
  <c r="T92" i="1" s="1"/>
  <c r="T49" i="1" s="1"/>
  <c r="T140" i="1" s="1"/>
  <c r="S18" i="1"/>
  <c r="S92" i="1" s="1"/>
  <c r="S49" i="1" s="1"/>
  <c r="S140" i="1" s="1"/>
  <c r="R18" i="1"/>
  <c r="R92" i="1" s="1"/>
  <c r="R49" i="1" s="1"/>
  <c r="R140" i="1" s="1"/>
  <c r="Q18" i="1"/>
  <c r="Q92" i="1" s="1"/>
  <c r="Q49" i="1" s="1"/>
  <c r="Q140" i="1" s="1"/>
  <c r="P18" i="1"/>
  <c r="P92" i="1" s="1"/>
  <c r="P49" i="1" s="1"/>
  <c r="P140" i="1" s="1"/>
  <c r="O18" i="1"/>
  <c r="N18" i="1"/>
  <c r="N92" i="1" s="1"/>
  <c r="N49" i="1" s="1"/>
  <c r="N140" i="1" s="1"/>
  <c r="M18" i="1"/>
  <c r="M92" i="1" s="1"/>
  <c r="M49" i="1" s="1"/>
  <c r="M140" i="1" s="1"/>
  <c r="L18" i="1"/>
  <c r="L92" i="1" s="1"/>
  <c r="L49" i="1" s="1"/>
  <c r="L140" i="1" s="1"/>
  <c r="K18" i="1"/>
  <c r="D18" i="1"/>
  <c r="J107" i="1" s="1"/>
  <c r="D17" i="1"/>
  <c r="J16" i="1"/>
  <c r="D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O4" i="1" s="1"/>
  <c r="AE11" i="1"/>
  <c r="Y7" i="1"/>
  <c r="T6" i="1"/>
  <c r="T5" i="1"/>
  <c r="V4" i="1"/>
  <c r="O3" i="1"/>
  <c r="J3" i="1"/>
  <c r="Y3" i="1" s="1"/>
  <c r="AG181" i="3" l="1"/>
  <c r="AO181" i="3"/>
  <c r="AD181" i="3"/>
  <c r="T5" i="3"/>
  <c r="AC181" i="3"/>
  <c r="AK181" i="3"/>
  <c r="AL181" i="3"/>
  <c r="AB52" i="3"/>
  <c r="Z52" i="3"/>
  <c r="AB181" i="3"/>
  <c r="AJ181" i="3"/>
  <c r="AD52" i="3"/>
  <c r="V100" i="1"/>
  <c r="O100" i="1"/>
  <c r="AC52" i="1"/>
  <c r="S53" i="3"/>
  <c r="S100" i="1"/>
  <c r="AA100" i="1"/>
  <c r="AA52" i="1"/>
  <c r="AD53" i="3"/>
  <c r="Y53" i="3"/>
  <c r="Q53" i="3"/>
  <c r="AA53" i="3"/>
  <c r="AB100" i="3"/>
  <c r="AC52" i="3"/>
  <c r="AE181" i="3"/>
  <c r="AM181" i="3"/>
  <c r="AA52" i="3"/>
  <c r="S111" i="3"/>
  <c r="S112" i="3" s="1"/>
  <c r="S113" i="3" s="1"/>
  <c r="S114" i="3" s="1"/>
  <c r="O6" i="3"/>
  <c r="U111" i="3"/>
  <c r="U112" i="3" s="1"/>
  <c r="M113" i="3"/>
  <c r="M114" i="3" s="1"/>
  <c r="D42" i="3"/>
  <c r="AC100" i="3"/>
  <c r="O100" i="3"/>
  <c r="W100" i="3"/>
  <c r="AE100" i="3"/>
  <c r="M100" i="3"/>
  <c r="D19" i="3"/>
  <c r="L25" i="3"/>
  <c r="U100" i="3"/>
  <c r="J130" i="3"/>
  <c r="J100" i="3"/>
  <c r="D31" i="3"/>
  <c r="E19" i="3"/>
  <c r="R100" i="3"/>
  <c r="Z100" i="3"/>
  <c r="AE105" i="3"/>
  <c r="AE106" i="3"/>
  <c r="AE98" i="3"/>
  <c r="AE76" i="3"/>
  <c r="AE69" i="3"/>
  <c r="AE63" i="3"/>
  <c r="AE46" i="3"/>
  <c r="AE134" i="3" s="1"/>
  <c r="AF11" i="3"/>
  <c r="AE18" i="3"/>
  <c r="N100" i="3"/>
  <c r="V100" i="3"/>
  <c r="AD100" i="3"/>
  <c r="M115" i="3"/>
  <c r="M116" i="3" s="1"/>
  <c r="M117" i="3" s="1"/>
  <c r="J121" i="3"/>
  <c r="J122" i="3" s="1"/>
  <c r="K32" i="3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AG32" i="3" s="1"/>
  <c r="AH32" i="3" s="1"/>
  <c r="AI32" i="3" s="1"/>
  <c r="AJ32" i="3" s="1"/>
  <c r="AK32" i="3" s="1"/>
  <c r="AL32" i="3" s="1"/>
  <c r="AM32" i="3" s="1"/>
  <c r="AN32" i="3" s="1"/>
  <c r="AO32" i="3" s="1"/>
  <c r="K31" i="3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M18" i="3"/>
  <c r="M92" i="3" s="1"/>
  <c r="M49" i="3" s="1"/>
  <c r="M140" i="3" s="1"/>
  <c r="U18" i="3"/>
  <c r="AC18" i="3"/>
  <c r="AC92" i="3" s="1"/>
  <c r="AC49" i="3" s="1"/>
  <c r="AC140" i="3" s="1"/>
  <c r="L20" i="3"/>
  <c r="T20" i="3"/>
  <c r="AB20" i="3"/>
  <c r="Q100" i="3"/>
  <c r="Y100" i="3"/>
  <c r="M20" i="3"/>
  <c r="U20" i="3"/>
  <c r="AC20" i="3"/>
  <c r="Y113" i="3"/>
  <c r="K100" i="3"/>
  <c r="S100" i="3"/>
  <c r="AA100" i="3"/>
  <c r="P18" i="3"/>
  <c r="P92" i="3" s="1"/>
  <c r="P49" i="3" s="1"/>
  <c r="P140" i="3" s="1"/>
  <c r="X18" i="3"/>
  <c r="X92" i="3" s="1"/>
  <c r="X49" i="3" s="1"/>
  <c r="X140" i="3" s="1"/>
  <c r="AF18" i="3"/>
  <c r="O20" i="3"/>
  <c r="W20" i="3"/>
  <c r="AE20" i="3"/>
  <c r="K29" i="3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AG29" i="3" s="1"/>
  <c r="AH29" i="3" s="1"/>
  <c r="AI29" i="3" s="1"/>
  <c r="AJ29" i="3" s="1"/>
  <c r="AK29" i="3" s="1"/>
  <c r="AL29" i="3" s="1"/>
  <c r="AM29" i="3" s="1"/>
  <c r="AN29" i="3" s="1"/>
  <c r="AO29" i="3" s="1"/>
  <c r="K53" i="3"/>
  <c r="L100" i="3"/>
  <c r="T100" i="3"/>
  <c r="J66" i="3"/>
  <c r="J56" i="3"/>
  <c r="Q18" i="3"/>
  <c r="Y18" i="3"/>
  <c r="P20" i="3"/>
  <c r="X20" i="3"/>
  <c r="AF20" i="3"/>
  <c r="K30" i="3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AG30" i="3" s="1"/>
  <c r="AH30" i="3" s="1"/>
  <c r="AI30" i="3" s="1"/>
  <c r="AJ30" i="3" s="1"/>
  <c r="AK30" i="3" s="1"/>
  <c r="AL30" i="3" s="1"/>
  <c r="AM30" i="3" s="1"/>
  <c r="AN30" i="3" s="1"/>
  <c r="AO30" i="3" s="1"/>
  <c r="N53" i="3"/>
  <c r="J53" i="3"/>
  <c r="R53" i="3"/>
  <c r="Z53" i="3"/>
  <c r="L53" i="3"/>
  <c r="T53" i="3"/>
  <c r="AB53" i="3"/>
  <c r="M53" i="3"/>
  <c r="U53" i="3"/>
  <c r="AC53" i="3"/>
  <c r="D67" i="3"/>
  <c r="O53" i="3"/>
  <c r="W53" i="3"/>
  <c r="AE53" i="3"/>
  <c r="P53" i="3"/>
  <c r="X53" i="3"/>
  <c r="K112" i="3"/>
  <c r="K113" i="3" s="1"/>
  <c r="Q112" i="3"/>
  <c r="Q113" i="3" s="1"/>
  <c r="AA113" i="3"/>
  <c r="AA114" i="3" s="1"/>
  <c r="AC113" i="3"/>
  <c r="AC114" i="3" s="1"/>
  <c r="L111" i="3"/>
  <c r="T111" i="3"/>
  <c r="AB111" i="3"/>
  <c r="N111" i="3"/>
  <c r="V111" i="3"/>
  <c r="AD111" i="3"/>
  <c r="Z181" i="3"/>
  <c r="AH181" i="3"/>
  <c r="O111" i="3"/>
  <c r="W111" i="3"/>
  <c r="AE111" i="3"/>
  <c r="P162" i="3"/>
  <c r="X162" i="3"/>
  <c r="AF162" i="3"/>
  <c r="AN162" i="3"/>
  <c r="AA181" i="3"/>
  <c r="AI181" i="3"/>
  <c r="P111" i="3"/>
  <c r="X111" i="3"/>
  <c r="AF111" i="3"/>
  <c r="N159" i="3"/>
  <c r="Q162" i="3"/>
  <c r="Y162" i="3"/>
  <c r="AG162" i="3"/>
  <c r="AO162" i="3"/>
  <c r="R111" i="3"/>
  <c r="Z111" i="3"/>
  <c r="J112" i="3"/>
  <c r="J113" i="3" s="1"/>
  <c r="J114" i="3" s="1"/>
  <c r="AD52" i="1"/>
  <c r="AD181" i="1"/>
  <c r="AL181" i="1"/>
  <c r="K22" i="1"/>
  <c r="K60" i="1" s="1"/>
  <c r="AG181" i="1"/>
  <c r="AO181" i="1"/>
  <c r="Z181" i="1"/>
  <c r="AH181" i="1"/>
  <c r="J122" i="1"/>
  <c r="AB181" i="1"/>
  <c r="AJ181" i="1"/>
  <c r="L100" i="1"/>
  <c r="T100" i="1"/>
  <c r="AB100" i="1"/>
  <c r="D67" i="1"/>
  <c r="K137" i="1"/>
  <c r="K44" i="1"/>
  <c r="K48" i="1" s="1"/>
  <c r="AE105" i="1"/>
  <c r="AE98" i="1"/>
  <c r="AE106" i="1"/>
  <c r="AE46" i="1"/>
  <c r="AE134" i="1" s="1"/>
  <c r="AE76" i="1"/>
  <c r="AE20" i="1"/>
  <c r="AE18" i="1"/>
  <c r="AF11" i="1"/>
  <c r="AE15" i="1"/>
  <c r="AE63" i="1"/>
  <c r="AE69" i="1"/>
  <c r="N100" i="1"/>
  <c r="J56" i="1"/>
  <c r="J66" i="1"/>
  <c r="O6" i="1"/>
  <c r="D19" i="1"/>
  <c r="O92" i="1"/>
  <c r="O49" i="1" s="1"/>
  <c r="O140" i="1" s="1"/>
  <c r="W92" i="1"/>
  <c r="W49" i="1" s="1"/>
  <c r="W140" i="1" s="1"/>
  <c r="X114" i="1"/>
  <c r="X115" i="1"/>
  <c r="J130" i="1"/>
  <c r="J100" i="1"/>
  <c r="D31" i="1"/>
  <c r="C31" i="1"/>
  <c r="R100" i="1"/>
  <c r="R53" i="1"/>
  <c r="Z100" i="1"/>
  <c r="R115" i="1"/>
  <c r="R114" i="1"/>
  <c r="N114" i="1"/>
  <c r="N115" i="1" s="1"/>
  <c r="M100" i="1"/>
  <c r="U100" i="1"/>
  <c r="AC100" i="1"/>
  <c r="T53" i="1"/>
  <c r="AD100" i="1"/>
  <c r="AC53" i="1"/>
  <c r="U53" i="1"/>
  <c r="M53" i="1"/>
  <c r="AA53" i="1"/>
  <c r="S53" i="1"/>
  <c r="K53" i="1"/>
  <c r="Y53" i="1"/>
  <c r="Q53" i="1"/>
  <c r="AD53" i="1"/>
  <c r="P53" i="1"/>
  <c r="AB53" i="1"/>
  <c r="O53" i="1"/>
  <c r="W53" i="1"/>
  <c r="J53" i="1"/>
  <c r="V53" i="1"/>
  <c r="T112" i="1"/>
  <c r="T113" i="1" s="1"/>
  <c r="Y187" i="1"/>
  <c r="I147" i="1"/>
  <c r="J147" i="1" s="1"/>
  <c r="U6" i="1" s="1"/>
  <c r="K138" i="1"/>
  <c r="K42" i="1"/>
  <c r="K61" i="1" s="1"/>
  <c r="X53" i="1"/>
  <c r="Y185" i="1"/>
  <c r="I145" i="1"/>
  <c r="J145" i="1" s="1"/>
  <c r="U5" i="1" s="1"/>
  <c r="W100" i="1"/>
  <c r="P100" i="1"/>
  <c r="X100" i="1"/>
  <c r="L25" i="1"/>
  <c r="Z53" i="1"/>
  <c r="K113" i="1"/>
  <c r="Q100" i="1"/>
  <c r="Y100" i="1"/>
  <c r="AE53" i="1"/>
  <c r="AA150" i="1"/>
  <c r="L53" i="1"/>
  <c r="K100" i="1"/>
  <c r="N53" i="1"/>
  <c r="AD113" i="1"/>
  <c r="L113" i="1"/>
  <c r="D42" i="1"/>
  <c r="S113" i="1"/>
  <c r="AA115" i="1"/>
  <c r="Z112" i="1"/>
  <c r="Y4" i="1" s="1"/>
  <c r="Y5" i="1" s="1"/>
  <c r="K112" i="1"/>
  <c r="P162" i="1"/>
  <c r="AF162" i="1"/>
  <c r="AN162" i="1"/>
  <c r="AB112" i="1"/>
  <c r="AB113" i="1" s="1"/>
  <c r="R162" i="1"/>
  <c r="Z162" i="1"/>
  <c r="AH162" i="1"/>
  <c r="L168" i="1"/>
  <c r="M159" i="1"/>
  <c r="U163" i="1"/>
  <c r="V163" i="1" s="1"/>
  <c r="W163" i="1" s="1"/>
  <c r="X163" i="1" s="1"/>
  <c r="Y163" i="1" s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P113" i="1"/>
  <c r="Y111" i="1"/>
  <c r="Q111" i="1"/>
  <c r="AE111" i="1"/>
  <c r="W111" i="1"/>
  <c r="O111" i="1"/>
  <c r="AC111" i="1"/>
  <c r="U111" i="1"/>
  <c r="M111" i="1"/>
  <c r="V111" i="1"/>
  <c r="J113" i="1"/>
  <c r="K177" i="1"/>
  <c r="I147" i="3" l="1"/>
  <c r="J147" i="3" s="1"/>
  <c r="U6" i="3" s="1"/>
  <c r="K42" i="3"/>
  <c r="K61" i="3" s="1"/>
  <c r="U113" i="3"/>
  <c r="U114" i="3" s="1"/>
  <c r="Q114" i="3"/>
  <c r="Q115" i="3"/>
  <c r="K114" i="3"/>
  <c r="K115" i="3"/>
  <c r="N112" i="3"/>
  <c r="N113" i="3" s="1"/>
  <c r="L177" i="3"/>
  <c r="L19" i="3"/>
  <c r="L22" i="3" s="1"/>
  <c r="O159" i="3"/>
  <c r="AC115" i="3"/>
  <c r="AE150" i="3"/>
  <c r="L138" i="3"/>
  <c r="L42" i="3"/>
  <c r="L61" i="3" s="1"/>
  <c r="M25" i="3"/>
  <c r="AD112" i="3"/>
  <c r="AD113" i="3" s="1"/>
  <c r="I145" i="3"/>
  <c r="J145" i="3" s="1"/>
  <c r="U5" i="3" s="1"/>
  <c r="AF112" i="3"/>
  <c r="AF113" i="3" s="1"/>
  <c r="AE112" i="3"/>
  <c r="AE113" i="3" s="1"/>
  <c r="V112" i="3"/>
  <c r="V113" i="3" s="1"/>
  <c r="K138" i="3"/>
  <c r="S115" i="3"/>
  <c r="C32" i="3"/>
  <c r="D29" i="3"/>
  <c r="D75" i="3" s="1"/>
  <c r="J90" i="3" s="1"/>
  <c r="J12" i="3"/>
  <c r="D20" i="3"/>
  <c r="D66" i="3"/>
  <c r="Z112" i="3"/>
  <c r="Y4" i="3" s="1"/>
  <c r="Y3" i="3"/>
  <c r="O112" i="3"/>
  <c r="O113" i="3" s="1"/>
  <c r="T112" i="3"/>
  <c r="T113" i="3" s="1"/>
  <c r="Y185" i="3"/>
  <c r="AF105" i="3"/>
  <c r="AF106" i="3"/>
  <c r="AF63" i="3"/>
  <c r="AF76" i="3"/>
  <c r="AF98" i="3"/>
  <c r="AF69" i="3"/>
  <c r="AF46" i="3"/>
  <c r="AF92" i="3"/>
  <c r="AF49" i="3" s="1"/>
  <c r="AF15" i="3"/>
  <c r="AG11" i="3"/>
  <c r="M177" i="3"/>
  <c r="M19" i="3"/>
  <c r="M22" i="3" s="1"/>
  <c r="W112" i="3"/>
  <c r="W113" i="3" s="1"/>
  <c r="K177" i="3"/>
  <c r="K19" i="3"/>
  <c r="P112" i="3"/>
  <c r="P113" i="3" s="1"/>
  <c r="R112" i="3"/>
  <c r="R113" i="3" s="1"/>
  <c r="L112" i="3"/>
  <c r="L113" i="3" s="1"/>
  <c r="Q92" i="3"/>
  <c r="Q49" i="3" s="1"/>
  <c r="Q140" i="3" s="1"/>
  <c r="U115" i="3"/>
  <c r="AE52" i="3"/>
  <c r="AB112" i="3"/>
  <c r="AB113" i="3" s="1"/>
  <c r="J144" i="3"/>
  <c r="AA115" i="3"/>
  <c r="J115" i="3"/>
  <c r="Y187" i="3"/>
  <c r="X112" i="3"/>
  <c r="X113" i="3" s="1"/>
  <c r="Y114" i="3"/>
  <c r="Y115" i="3" s="1"/>
  <c r="C31" i="3"/>
  <c r="AE52" i="1"/>
  <c r="T114" i="1"/>
  <c r="T115" i="1"/>
  <c r="AB114" i="1"/>
  <c r="AB115" i="1"/>
  <c r="N116" i="1"/>
  <c r="N117" i="1" s="1"/>
  <c r="W113" i="1"/>
  <c r="W112" i="1"/>
  <c r="P114" i="1"/>
  <c r="P115" i="1" s="1"/>
  <c r="D66" i="1"/>
  <c r="C32" i="1"/>
  <c r="J12" i="1"/>
  <c r="D20" i="1"/>
  <c r="D29" i="1"/>
  <c r="D75" i="1" s="1"/>
  <c r="J90" i="1" s="1"/>
  <c r="AF106" i="1"/>
  <c r="AF111" i="1"/>
  <c r="AF105" i="1"/>
  <c r="AF76" i="1"/>
  <c r="AF69" i="1"/>
  <c r="AF98" i="1"/>
  <c r="AF18" i="1"/>
  <c r="AF92" i="1" s="1"/>
  <c r="AF49" i="1" s="1"/>
  <c r="AF15" i="1"/>
  <c r="AG11" i="1"/>
  <c r="AF63" i="1"/>
  <c r="AF46" i="1"/>
  <c r="AF20" i="1"/>
  <c r="AE112" i="1"/>
  <c r="AE113" i="1" s="1"/>
  <c r="S115" i="1"/>
  <c r="S114" i="1"/>
  <c r="J144" i="1"/>
  <c r="Z113" i="1"/>
  <c r="J115" i="1"/>
  <c r="J114" i="1"/>
  <c r="M112" i="1"/>
  <c r="M113" i="1" s="1"/>
  <c r="Q113" i="1"/>
  <c r="Q112" i="1"/>
  <c r="L177" i="1"/>
  <c r="L19" i="1"/>
  <c r="AD114" i="1"/>
  <c r="AD115" i="1" s="1"/>
  <c r="K171" i="1"/>
  <c r="K62" i="1"/>
  <c r="K64" i="1" s="1"/>
  <c r="V113" i="1"/>
  <c r="V112" i="1"/>
  <c r="M168" i="1"/>
  <c r="N159" i="1"/>
  <c r="X116" i="1"/>
  <c r="X117" i="1" s="1"/>
  <c r="U112" i="1"/>
  <c r="U113" i="1" s="1"/>
  <c r="Y112" i="1"/>
  <c r="Y113" i="1" s="1"/>
  <c r="R116" i="1"/>
  <c r="R117" i="1" s="1"/>
  <c r="K114" i="1"/>
  <c r="K115" i="1" s="1"/>
  <c r="AC112" i="1"/>
  <c r="AC113" i="1" s="1"/>
  <c r="L138" i="1"/>
  <c r="L42" i="1"/>
  <c r="L61" i="1" s="1"/>
  <c r="M25" i="1"/>
  <c r="E19" i="1"/>
  <c r="AE150" i="1"/>
  <c r="O113" i="1"/>
  <c r="O112" i="1"/>
  <c r="AA116" i="1"/>
  <c r="AA117" i="1" s="1"/>
  <c r="L114" i="1"/>
  <c r="L115" i="1"/>
  <c r="AE100" i="1"/>
  <c r="L171" i="3" l="1"/>
  <c r="L180" i="3" s="1"/>
  <c r="L181" i="3" s="1"/>
  <c r="K171" i="3"/>
  <c r="K180" i="3" s="1"/>
  <c r="K181" i="3" s="1"/>
  <c r="AF52" i="3"/>
  <c r="O114" i="3"/>
  <c r="O115" i="3"/>
  <c r="V114" i="3"/>
  <c r="V115" i="3"/>
  <c r="N114" i="3"/>
  <c r="N115" i="3"/>
  <c r="AE114" i="3"/>
  <c r="AE115" i="3" s="1"/>
  <c r="W114" i="3"/>
  <c r="W115" i="3" s="1"/>
  <c r="X114" i="3"/>
  <c r="X115" i="3"/>
  <c r="R114" i="3"/>
  <c r="R115" i="3"/>
  <c r="AF114" i="3"/>
  <c r="AF115" i="3" s="1"/>
  <c r="Y116" i="3"/>
  <c r="Y117" i="3" s="1"/>
  <c r="L114" i="3"/>
  <c r="L115" i="3"/>
  <c r="P114" i="3"/>
  <c r="P115" i="3"/>
  <c r="AB114" i="3"/>
  <c r="AB115" i="3" s="1"/>
  <c r="AD114" i="3"/>
  <c r="AD115" i="3" s="1"/>
  <c r="K22" i="3"/>
  <c r="T114" i="3"/>
  <c r="T115" i="3" s="1"/>
  <c r="AF100" i="3"/>
  <c r="AF53" i="3"/>
  <c r="Y5" i="3"/>
  <c r="J129" i="3"/>
  <c r="R105" i="3"/>
  <c r="X105" i="3"/>
  <c r="P105" i="3"/>
  <c r="W105" i="3"/>
  <c r="O105" i="3"/>
  <c r="V105" i="3"/>
  <c r="N105" i="3"/>
  <c r="T105" i="3"/>
  <c r="L105" i="3"/>
  <c r="M105" i="3"/>
  <c r="K105" i="3"/>
  <c r="J99" i="3"/>
  <c r="J102" i="3" s="1"/>
  <c r="Y105" i="3"/>
  <c r="U105" i="3"/>
  <c r="Q105" i="3"/>
  <c r="S105" i="3"/>
  <c r="J22" i="3"/>
  <c r="AC116" i="3"/>
  <c r="AC117" i="3" s="1"/>
  <c r="J94" i="3"/>
  <c r="J49" i="3"/>
  <c r="M138" i="3"/>
  <c r="M42" i="3"/>
  <c r="M61" i="3" s="1"/>
  <c r="N25" i="3"/>
  <c r="N177" i="3"/>
  <c r="N19" i="3"/>
  <c r="N22" i="3" s="1"/>
  <c r="K116" i="3"/>
  <c r="K117" i="3" s="1"/>
  <c r="Z113" i="3"/>
  <c r="P159" i="3"/>
  <c r="L137" i="3"/>
  <c r="L60" i="3"/>
  <c r="L62" i="3" s="1"/>
  <c r="L44" i="3"/>
  <c r="L48" i="3" s="1"/>
  <c r="Q116" i="3"/>
  <c r="Q117" i="3" s="1"/>
  <c r="AG106" i="3"/>
  <c r="AG76" i="3"/>
  <c r="AG111" i="3"/>
  <c r="AG69" i="3"/>
  <c r="AG63" i="3"/>
  <c r="AG105" i="3"/>
  <c r="AG98" i="3"/>
  <c r="AG46" i="3"/>
  <c r="AG15" i="3"/>
  <c r="AH11" i="3"/>
  <c r="AG20" i="3"/>
  <c r="AG18" i="3"/>
  <c r="AG92" i="3" s="1"/>
  <c r="AG49" i="3" s="1"/>
  <c r="M137" i="3"/>
  <c r="M44" i="3"/>
  <c r="M48" i="3" s="1"/>
  <c r="M60" i="3"/>
  <c r="M62" i="3" s="1"/>
  <c r="J116" i="3"/>
  <c r="J117" i="3" s="1"/>
  <c r="J125" i="3"/>
  <c r="J126" i="3" s="1"/>
  <c r="AA116" i="3"/>
  <c r="AA117" i="3" s="1"/>
  <c r="U116" i="3"/>
  <c r="U117" i="3" s="1"/>
  <c r="D72" i="3"/>
  <c r="S116" i="3"/>
  <c r="S117" i="3" s="1"/>
  <c r="M114" i="1"/>
  <c r="M115" i="1" s="1"/>
  <c r="Y114" i="1"/>
  <c r="Y115" i="1" s="1"/>
  <c r="AD116" i="1"/>
  <c r="AD117" i="1" s="1"/>
  <c r="P116" i="1"/>
  <c r="P117" i="1" s="1"/>
  <c r="K116" i="1"/>
  <c r="K117" i="1" s="1"/>
  <c r="U114" i="1"/>
  <c r="U115" i="1" s="1"/>
  <c r="AC114" i="1"/>
  <c r="AC115" i="1" s="1"/>
  <c r="AE114" i="1"/>
  <c r="AE115" i="1" s="1"/>
  <c r="K180" i="1"/>
  <c r="K172" i="1"/>
  <c r="J129" i="1"/>
  <c r="Y105" i="1"/>
  <c r="Q105" i="1"/>
  <c r="W105" i="1"/>
  <c r="O105" i="1"/>
  <c r="U105" i="1"/>
  <c r="M105" i="1"/>
  <c r="N105" i="1"/>
  <c r="X105" i="1"/>
  <c r="K105" i="1"/>
  <c r="T105" i="1"/>
  <c r="S105" i="1"/>
  <c r="P105" i="1"/>
  <c r="V105" i="1"/>
  <c r="L105" i="1"/>
  <c r="R105" i="1"/>
  <c r="J99" i="1"/>
  <c r="J102" i="1" s="1"/>
  <c r="J22" i="1"/>
  <c r="L116" i="1"/>
  <c r="L117" i="1" s="1"/>
  <c r="M138" i="1"/>
  <c r="M42" i="1"/>
  <c r="M61" i="1" s="1"/>
  <c r="N25" i="1"/>
  <c r="Q115" i="1"/>
  <c r="Q114" i="1"/>
  <c r="W115" i="1"/>
  <c r="W114" i="1"/>
  <c r="L171" i="1"/>
  <c r="AF52" i="1"/>
  <c r="O115" i="1"/>
  <c r="O114" i="1"/>
  <c r="O159" i="1"/>
  <c r="N168" i="1"/>
  <c r="L22" i="1"/>
  <c r="S116" i="1"/>
  <c r="S117" i="1" s="1"/>
  <c r="AG105" i="1"/>
  <c r="AG46" i="1"/>
  <c r="AG98" i="1"/>
  <c r="AG106" i="1"/>
  <c r="AG63" i="1"/>
  <c r="AG15" i="1"/>
  <c r="AH11" i="1"/>
  <c r="AG69" i="1"/>
  <c r="AG20" i="1"/>
  <c r="AG76" i="1"/>
  <c r="AG18" i="1"/>
  <c r="AG92" i="1" s="1"/>
  <c r="AG49" i="1" s="1"/>
  <c r="AG111" i="1"/>
  <c r="AF112" i="1"/>
  <c r="AF113" i="1" s="1"/>
  <c r="J116" i="1"/>
  <c r="J117" i="1" s="1"/>
  <c r="J125" i="1"/>
  <c r="J126" i="1" s="1"/>
  <c r="AF100" i="1"/>
  <c r="AF53" i="1"/>
  <c r="D72" i="1"/>
  <c r="J97" i="1" s="1"/>
  <c r="AB116" i="1"/>
  <c r="AB117" i="1" s="1"/>
  <c r="M177" i="1"/>
  <c r="M19" i="1"/>
  <c r="M22" i="1" s="1"/>
  <c r="V115" i="1"/>
  <c r="V114" i="1"/>
  <c r="Z114" i="1"/>
  <c r="Z115" i="1"/>
  <c r="J94" i="1"/>
  <c r="J49" i="1"/>
  <c r="T116" i="1"/>
  <c r="T117" i="1" s="1"/>
  <c r="L172" i="3" l="1"/>
  <c r="M171" i="3"/>
  <c r="M172" i="3" s="1"/>
  <c r="K172" i="3"/>
  <c r="AG52" i="3"/>
  <c r="W116" i="3"/>
  <c r="W117" i="3" s="1"/>
  <c r="AE116" i="3"/>
  <c r="AE117" i="3" s="1"/>
  <c r="AB116" i="3"/>
  <c r="AB117" i="3" s="1"/>
  <c r="T116" i="3"/>
  <c r="T117" i="3" s="1"/>
  <c r="AF116" i="3"/>
  <c r="AF117" i="3" s="1"/>
  <c r="J97" i="3"/>
  <c r="K90" i="3"/>
  <c r="K91" i="3"/>
  <c r="AG100" i="3"/>
  <c r="AG53" i="3"/>
  <c r="O177" i="3"/>
  <c r="O19" i="3"/>
  <c r="O22" i="3" s="1"/>
  <c r="P116" i="3"/>
  <c r="P117" i="3" s="1"/>
  <c r="R116" i="3"/>
  <c r="R117" i="3" s="1"/>
  <c r="N116" i="3"/>
  <c r="N117" i="3" s="1"/>
  <c r="M64" i="3"/>
  <c r="Q159" i="3"/>
  <c r="N138" i="3"/>
  <c r="N42" i="3"/>
  <c r="N61" i="3" s="1"/>
  <c r="O25" i="3"/>
  <c r="Z114" i="3"/>
  <c r="Z115" i="3"/>
  <c r="K137" i="3"/>
  <c r="K44" i="3"/>
  <c r="K48" i="3" s="1"/>
  <c r="K60" i="3"/>
  <c r="K62" i="3" s="1"/>
  <c r="K64" i="3" s="1"/>
  <c r="L116" i="3"/>
  <c r="L117" i="3" s="1"/>
  <c r="X116" i="3"/>
  <c r="X117" i="3" s="1"/>
  <c r="V116" i="3"/>
  <c r="V117" i="3" s="1"/>
  <c r="D28" i="3"/>
  <c r="J44" i="3"/>
  <c r="J48" i="3" s="1"/>
  <c r="J60" i="3"/>
  <c r="J62" i="3" s="1"/>
  <c r="J64" i="3" s="1"/>
  <c r="AH105" i="3"/>
  <c r="AH106" i="3"/>
  <c r="AH76" i="3"/>
  <c r="AH69" i="3"/>
  <c r="AH98" i="3"/>
  <c r="AH46" i="3"/>
  <c r="AH63" i="3"/>
  <c r="AI11" i="3"/>
  <c r="AH20" i="3"/>
  <c r="AH15" i="3"/>
  <c r="AH18" i="3"/>
  <c r="AH92" i="3" s="1"/>
  <c r="AH49" i="3" s="1"/>
  <c r="AH111" i="3"/>
  <c r="K130" i="3"/>
  <c r="AD116" i="3"/>
  <c r="AD117" i="3" s="1"/>
  <c r="O116" i="3"/>
  <c r="O117" i="3" s="1"/>
  <c r="AG112" i="3"/>
  <c r="AG113" i="3" s="1"/>
  <c r="L64" i="3"/>
  <c r="N137" i="3"/>
  <c r="N44" i="3"/>
  <c r="N48" i="3" s="1"/>
  <c r="N60" i="3"/>
  <c r="J131" i="3"/>
  <c r="K131" i="3" s="1"/>
  <c r="O5" i="3"/>
  <c r="O7" i="3" s="1"/>
  <c r="D28" i="1"/>
  <c r="C28" i="1" s="1"/>
  <c r="U116" i="1"/>
  <c r="U117" i="1" s="1"/>
  <c r="AC116" i="1"/>
  <c r="AC117" i="1" s="1"/>
  <c r="AE116" i="1"/>
  <c r="AE117" i="1" s="1"/>
  <c r="AF114" i="1"/>
  <c r="AF115" i="1" s="1"/>
  <c r="Y116" i="1"/>
  <c r="Y117" i="1" s="1"/>
  <c r="M116" i="1"/>
  <c r="M117" i="1" s="1"/>
  <c r="J131" i="1"/>
  <c r="K131" i="1" s="1"/>
  <c r="O5" i="1"/>
  <c r="O7" i="1" s="1"/>
  <c r="K90" i="1"/>
  <c r="K91" i="1"/>
  <c r="Z116" i="1"/>
  <c r="Z117" i="1" s="1"/>
  <c r="D30" i="1"/>
  <c r="AG100" i="1"/>
  <c r="AG53" i="1"/>
  <c r="O116" i="1"/>
  <c r="O117" i="1" s="1"/>
  <c r="AG112" i="1"/>
  <c r="AG113" i="1" s="1"/>
  <c r="L180" i="1"/>
  <c r="L181" i="1" s="1"/>
  <c r="L172" i="1"/>
  <c r="M171" i="1"/>
  <c r="L60" i="1"/>
  <c r="L62" i="1" s="1"/>
  <c r="L137" i="1"/>
  <c r="L44" i="1"/>
  <c r="L48" i="1" s="1"/>
  <c r="V116" i="1"/>
  <c r="V117" i="1" s="1"/>
  <c r="M137" i="1"/>
  <c r="M44" i="1"/>
  <c r="M48" i="1" s="1"/>
  <c r="M60" i="1"/>
  <c r="M62" i="1" s="1"/>
  <c r="J101" i="1"/>
  <c r="J50" i="1"/>
  <c r="J132" i="1" s="1"/>
  <c r="K132" i="1" s="1"/>
  <c r="J83" i="1"/>
  <c r="W116" i="1"/>
  <c r="W117" i="1" s="1"/>
  <c r="N177" i="1"/>
  <c r="N19" i="1"/>
  <c r="N22" i="1" s="1"/>
  <c r="P159" i="1"/>
  <c r="O168" i="1"/>
  <c r="Q116" i="1"/>
  <c r="Q117" i="1" s="1"/>
  <c r="J60" i="1"/>
  <c r="J62" i="1" s="1"/>
  <c r="J64" i="1" s="1"/>
  <c r="J65" i="1" s="1"/>
  <c r="J44" i="1"/>
  <c r="J48" i="1" s="1"/>
  <c r="J55" i="1" s="1"/>
  <c r="AH106" i="1"/>
  <c r="AH92" i="1"/>
  <c r="AH49" i="1" s="1"/>
  <c r="AH111" i="1"/>
  <c r="AH69" i="1"/>
  <c r="AH98" i="1"/>
  <c r="AH63" i="1"/>
  <c r="AH76" i="1"/>
  <c r="AH105" i="1"/>
  <c r="AH46" i="1"/>
  <c r="AH20" i="1"/>
  <c r="AH18" i="1"/>
  <c r="AH15" i="1"/>
  <c r="AI11" i="1"/>
  <c r="AG52" i="1"/>
  <c r="N138" i="1"/>
  <c r="O25" i="1"/>
  <c r="N42" i="1"/>
  <c r="N61" i="1" s="1"/>
  <c r="K130" i="1"/>
  <c r="K181" i="1"/>
  <c r="M180" i="3" l="1"/>
  <c r="M181" i="3" s="1"/>
  <c r="N62" i="3"/>
  <c r="N64" i="3" s="1"/>
  <c r="N171" i="3"/>
  <c r="N172" i="3" s="1"/>
  <c r="AG114" i="3"/>
  <c r="AG115" i="3"/>
  <c r="K92" i="3"/>
  <c r="K49" i="3" s="1"/>
  <c r="K140" i="3" s="1"/>
  <c r="AH112" i="3"/>
  <c r="AH113" i="3" s="1"/>
  <c r="Z116" i="3"/>
  <c r="Z117" i="3" s="1"/>
  <c r="O138" i="3"/>
  <c r="O42" i="3"/>
  <c r="O61" i="3" s="1"/>
  <c r="P25" i="3"/>
  <c r="J101" i="3"/>
  <c r="J83" i="3"/>
  <c r="J50" i="3"/>
  <c r="J65" i="3" s="1"/>
  <c r="P177" i="3"/>
  <c r="P19" i="3"/>
  <c r="P22" i="3" s="1"/>
  <c r="O137" i="3"/>
  <c r="O44" i="3"/>
  <c r="O48" i="3" s="1"/>
  <c r="O60" i="3"/>
  <c r="AI106" i="3"/>
  <c r="AI98" i="3"/>
  <c r="AI111" i="3"/>
  <c r="AI69" i="3"/>
  <c r="AI105" i="3"/>
  <c r="AI76" i="3"/>
  <c r="AI63" i="3"/>
  <c r="AI46" i="3"/>
  <c r="AI15" i="3"/>
  <c r="AI18" i="3"/>
  <c r="AI92" i="3" s="1"/>
  <c r="AI49" i="3" s="1"/>
  <c r="AI20" i="3"/>
  <c r="AJ11" i="3"/>
  <c r="C28" i="3"/>
  <c r="D30" i="3"/>
  <c r="D33" i="3" s="1"/>
  <c r="E33" i="3" s="1"/>
  <c r="R159" i="3"/>
  <c r="AH52" i="3"/>
  <c r="AH100" i="3"/>
  <c r="AH53" i="3"/>
  <c r="N171" i="1"/>
  <c r="N180" i="1" s="1"/>
  <c r="AH52" i="1"/>
  <c r="N181" i="1"/>
  <c r="J143" i="1"/>
  <c r="AF116" i="1"/>
  <c r="AF117" i="1" s="1"/>
  <c r="AG114" i="1"/>
  <c r="AG115" i="1" s="1"/>
  <c r="R106" i="1"/>
  <c r="R52" i="1" s="1"/>
  <c r="X106" i="1"/>
  <c r="X52" i="1" s="1"/>
  <c r="P106" i="1"/>
  <c r="P52" i="1" s="1"/>
  <c r="V106" i="1"/>
  <c r="V52" i="1" s="1"/>
  <c r="N106" i="1"/>
  <c r="N52" i="1" s="1"/>
  <c r="T106" i="1"/>
  <c r="T52" i="1" s="1"/>
  <c r="Q106" i="1"/>
  <c r="Q52" i="1" s="1"/>
  <c r="M106" i="1"/>
  <c r="M52" i="1" s="1"/>
  <c r="Y106" i="1"/>
  <c r="Y52" i="1" s="1"/>
  <c r="U106" i="1"/>
  <c r="U52" i="1" s="1"/>
  <c r="O106" i="1"/>
  <c r="O52" i="1" s="1"/>
  <c r="S106" i="1"/>
  <c r="S52" i="1" s="1"/>
  <c r="L106" i="1"/>
  <c r="L52" i="1" s="1"/>
  <c r="K106" i="1"/>
  <c r="K52" i="1" s="1"/>
  <c r="W106" i="1"/>
  <c r="W52" i="1" s="1"/>
  <c r="C30" i="1"/>
  <c r="C33" i="1" s="1"/>
  <c r="O177" i="1"/>
  <c r="O19" i="1"/>
  <c r="N172" i="1"/>
  <c r="M180" i="1"/>
  <c r="M172" i="1"/>
  <c r="Q159" i="1"/>
  <c r="P168" i="1"/>
  <c r="D33" i="1"/>
  <c r="E33" i="1" s="1"/>
  <c r="AD3" i="1"/>
  <c r="O138" i="1"/>
  <c r="O42" i="1"/>
  <c r="O61" i="1" s="1"/>
  <c r="P25" i="1"/>
  <c r="K97" i="1"/>
  <c r="K92" i="1"/>
  <c r="K49" i="1" s="1"/>
  <c r="AI105" i="1"/>
  <c r="AI98" i="1"/>
  <c r="AI106" i="1"/>
  <c r="AI46" i="1"/>
  <c r="AI76" i="1"/>
  <c r="AI63" i="1"/>
  <c r="AI15" i="1"/>
  <c r="AJ11" i="1"/>
  <c r="AI69" i="1"/>
  <c r="AI70" i="1" s="1"/>
  <c r="AI20" i="1"/>
  <c r="AI18" i="1"/>
  <c r="AI92" i="1" s="1"/>
  <c r="AI49" i="1" s="1"/>
  <c r="AI111" i="1"/>
  <c r="M64" i="1"/>
  <c r="AH100" i="1"/>
  <c r="AH53" i="1"/>
  <c r="J69" i="1"/>
  <c r="AH77" i="1" s="1"/>
  <c r="J76" i="1"/>
  <c r="J4" i="1"/>
  <c r="AH70" i="1"/>
  <c r="L64" i="1"/>
  <c r="AH112" i="1"/>
  <c r="AH113" i="1" s="1"/>
  <c r="N137" i="1"/>
  <c r="N60" i="1"/>
  <c r="N62" i="1" s="1"/>
  <c r="N44" i="1"/>
  <c r="N48" i="1" s="1"/>
  <c r="K93" i="1"/>
  <c r="K94" i="1" s="1"/>
  <c r="O62" i="3" l="1"/>
  <c r="O64" i="3" s="1"/>
  <c r="N180" i="3"/>
  <c r="N181" i="3" s="1"/>
  <c r="K93" i="3"/>
  <c r="K94" i="3" s="1"/>
  <c r="L90" i="3" s="1"/>
  <c r="AI52" i="3"/>
  <c r="J55" i="3"/>
  <c r="J76" i="3" s="1"/>
  <c r="AH114" i="3"/>
  <c r="AH115" i="3"/>
  <c r="Q177" i="3"/>
  <c r="Q19" i="3"/>
  <c r="AJ105" i="3"/>
  <c r="AJ69" i="3"/>
  <c r="AJ98" i="3"/>
  <c r="AJ63" i="3"/>
  <c r="AJ106" i="3"/>
  <c r="AJ76" i="3"/>
  <c r="AJ15" i="3"/>
  <c r="AJ46" i="3"/>
  <c r="AK11" i="3"/>
  <c r="AJ18" i="3"/>
  <c r="AJ20" i="3"/>
  <c r="AJ111" i="3"/>
  <c r="K97" i="3"/>
  <c r="S159" i="3"/>
  <c r="P137" i="3"/>
  <c r="P60" i="3"/>
  <c r="P44" i="3"/>
  <c r="P48" i="3" s="1"/>
  <c r="AI100" i="3"/>
  <c r="AI53" i="3"/>
  <c r="AI112" i="3"/>
  <c r="AI113" i="3" s="1"/>
  <c r="AG116" i="3"/>
  <c r="AG117" i="3" s="1"/>
  <c r="S106" i="3"/>
  <c r="S52" i="3" s="1"/>
  <c r="K106" i="3"/>
  <c r="K52" i="3" s="1"/>
  <c r="Y106" i="3"/>
  <c r="Y52" i="3" s="1"/>
  <c r="Q106" i="3"/>
  <c r="Q52" i="3" s="1"/>
  <c r="X106" i="3"/>
  <c r="X52" i="3" s="1"/>
  <c r="P106" i="3"/>
  <c r="P52" i="3" s="1"/>
  <c r="W106" i="3"/>
  <c r="W52" i="3" s="1"/>
  <c r="O106" i="3"/>
  <c r="O52" i="3" s="1"/>
  <c r="U106" i="3"/>
  <c r="U52" i="3" s="1"/>
  <c r="M106" i="3"/>
  <c r="M52" i="3" s="1"/>
  <c r="R106" i="3"/>
  <c r="R52" i="3" s="1"/>
  <c r="N106" i="3"/>
  <c r="N52" i="3" s="1"/>
  <c r="L106" i="3"/>
  <c r="L52" i="3" s="1"/>
  <c r="T106" i="3"/>
  <c r="T52" i="3" s="1"/>
  <c r="V106" i="3"/>
  <c r="V52" i="3" s="1"/>
  <c r="C30" i="3"/>
  <c r="C33" i="3" s="1"/>
  <c r="O171" i="3"/>
  <c r="J4" i="3"/>
  <c r="J132" i="3"/>
  <c r="AD3" i="3"/>
  <c r="P138" i="3"/>
  <c r="P42" i="3"/>
  <c r="P61" i="3" s="1"/>
  <c r="Q25" i="3"/>
  <c r="AH114" i="1"/>
  <c r="AH115" i="1" s="1"/>
  <c r="L91" i="1"/>
  <c r="L93" i="1" s="1"/>
  <c r="L90" i="1"/>
  <c r="AG116" i="1"/>
  <c r="AG117" i="1" s="1"/>
  <c r="R159" i="1"/>
  <c r="Q168" i="1"/>
  <c r="O22" i="1"/>
  <c r="P177" i="1"/>
  <c r="P19" i="1"/>
  <c r="AJ106" i="1"/>
  <c r="AJ105" i="1"/>
  <c r="AJ69" i="1"/>
  <c r="AJ70" i="1" s="1"/>
  <c r="AJ63" i="1"/>
  <c r="AJ76" i="1"/>
  <c r="AJ77" i="1" s="1"/>
  <c r="AJ111" i="1"/>
  <c r="AJ46" i="1"/>
  <c r="AJ20" i="1"/>
  <c r="AJ18" i="1"/>
  <c r="AJ98" i="1"/>
  <c r="AJ15" i="1"/>
  <c r="AK11" i="1"/>
  <c r="P138" i="1"/>
  <c r="P42" i="1"/>
  <c r="P61" i="1" s="1"/>
  <c r="Q25" i="1"/>
  <c r="J150" i="1"/>
  <c r="AD77" i="1"/>
  <c r="AB77" i="1"/>
  <c r="AD70" i="1"/>
  <c r="AB70" i="1"/>
  <c r="Z70" i="1"/>
  <c r="AA77" i="1"/>
  <c r="Z77" i="1"/>
  <c r="AC77" i="1"/>
  <c r="AC70" i="1"/>
  <c r="AA70" i="1"/>
  <c r="AE70" i="1"/>
  <c r="AE77" i="1"/>
  <c r="AF77" i="1"/>
  <c r="AF70" i="1"/>
  <c r="AG70" i="1"/>
  <c r="AG77" i="1"/>
  <c r="AI100" i="1"/>
  <c r="AI53" i="1"/>
  <c r="AI52" i="1"/>
  <c r="AI77" i="1"/>
  <c r="K140" i="1"/>
  <c r="O171" i="1"/>
  <c r="M181" i="1"/>
  <c r="K99" i="1"/>
  <c r="K101" i="1"/>
  <c r="N64" i="1"/>
  <c r="AI112" i="1"/>
  <c r="AI113" i="1" s="1"/>
  <c r="L91" i="3" l="1"/>
  <c r="L93" i="3" s="1"/>
  <c r="L94" i="3" s="1"/>
  <c r="J69" i="3"/>
  <c r="AB70" i="3" s="1"/>
  <c r="AJ52" i="3"/>
  <c r="P171" i="3"/>
  <c r="P180" i="3" s="1"/>
  <c r="P181" i="3" s="1"/>
  <c r="AI114" i="3"/>
  <c r="AI115" i="3" s="1"/>
  <c r="T159" i="3"/>
  <c r="AK98" i="3"/>
  <c r="AK106" i="3"/>
  <c r="AK111" i="3"/>
  <c r="AK69" i="3"/>
  <c r="AK105" i="3"/>
  <c r="AK76" i="3"/>
  <c r="AK63" i="3"/>
  <c r="AK46" i="3"/>
  <c r="AL11" i="3"/>
  <c r="AK15" i="3"/>
  <c r="AK18" i="3"/>
  <c r="AK92" i="3" s="1"/>
  <c r="AK49" i="3" s="1"/>
  <c r="AK20" i="3"/>
  <c r="P62" i="3"/>
  <c r="K101" i="3"/>
  <c r="K99" i="3"/>
  <c r="Q138" i="3"/>
  <c r="R25" i="3"/>
  <c r="Q42" i="3"/>
  <c r="Q61" i="3" s="1"/>
  <c r="AJ100" i="3"/>
  <c r="AJ53" i="3"/>
  <c r="Q22" i="3"/>
  <c r="K132" i="3"/>
  <c r="J143" i="3"/>
  <c r="O180" i="3"/>
  <c r="O172" i="3"/>
  <c r="AJ112" i="3"/>
  <c r="AJ113" i="3" s="1"/>
  <c r="AH116" i="3"/>
  <c r="AH117" i="3" s="1"/>
  <c r="P172" i="3"/>
  <c r="R177" i="3"/>
  <c r="R19" i="3"/>
  <c r="R22" i="3" s="1"/>
  <c r="AI114" i="1"/>
  <c r="AI115" i="1" s="1"/>
  <c r="AH116" i="1"/>
  <c r="AH117" i="1" s="1"/>
  <c r="AK105" i="1"/>
  <c r="AK98" i="1"/>
  <c r="AK106" i="1"/>
  <c r="AK69" i="1"/>
  <c r="AK70" i="1" s="1"/>
  <c r="AK20" i="1"/>
  <c r="AK63" i="1"/>
  <c r="AK46" i="1"/>
  <c r="AK18" i="1"/>
  <c r="AK92" i="1" s="1"/>
  <c r="AK49" i="1" s="1"/>
  <c r="AK76" i="1"/>
  <c r="AK77" i="1" s="1"/>
  <c r="AK15" i="1"/>
  <c r="AL11" i="1"/>
  <c r="AK111" i="1"/>
  <c r="P22" i="1"/>
  <c r="O180" i="1"/>
  <c r="O172" i="1"/>
  <c r="Q138" i="1"/>
  <c r="Q42" i="1"/>
  <c r="Q61" i="1" s="1"/>
  <c r="R25" i="1"/>
  <c r="AJ52" i="1"/>
  <c r="L94" i="1"/>
  <c r="AJ100" i="1"/>
  <c r="AJ53" i="1"/>
  <c r="K102" i="1"/>
  <c r="P171" i="1"/>
  <c r="S159" i="1"/>
  <c r="R168" i="1"/>
  <c r="AJ112" i="1"/>
  <c r="AJ113" i="1" s="1"/>
  <c r="O137" i="1"/>
  <c r="O44" i="1"/>
  <c r="O48" i="1" s="1"/>
  <c r="O60" i="1"/>
  <c r="O62" i="1" s="1"/>
  <c r="L97" i="1"/>
  <c r="Q177" i="1"/>
  <c r="Q19" i="1"/>
  <c r="Q22" i="1" s="1"/>
  <c r="AJ77" i="3" l="1"/>
  <c r="AF77" i="3"/>
  <c r="AI70" i="3"/>
  <c r="AC77" i="3"/>
  <c r="AE77" i="3"/>
  <c r="Z70" i="3"/>
  <c r="AE70" i="3"/>
  <c r="AD77" i="3"/>
  <c r="AJ70" i="3"/>
  <c r="AH70" i="3"/>
  <c r="AB77" i="3"/>
  <c r="AD70" i="3"/>
  <c r="AH77" i="3"/>
  <c r="AA70" i="3"/>
  <c r="AG70" i="3"/>
  <c r="AA77" i="3"/>
  <c r="J150" i="3"/>
  <c r="Z77" i="3"/>
  <c r="AG77" i="3"/>
  <c r="AC70" i="3"/>
  <c r="AK70" i="3"/>
  <c r="AK77" i="3"/>
  <c r="AI77" i="3"/>
  <c r="AF70" i="3"/>
  <c r="Q171" i="3"/>
  <c r="Q180" i="3" s="1"/>
  <c r="Q181" i="3" s="1"/>
  <c r="AK52" i="3"/>
  <c r="AJ114" i="3"/>
  <c r="AJ115" i="3" s="1"/>
  <c r="AI116" i="3"/>
  <c r="AI117" i="3" s="1"/>
  <c r="M90" i="3"/>
  <c r="M91" i="3"/>
  <c r="M93" i="3" s="1"/>
  <c r="Q137" i="3"/>
  <c r="Q60" i="3"/>
  <c r="Q62" i="3" s="1"/>
  <c r="Q44" i="3"/>
  <c r="Q48" i="3" s="1"/>
  <c r="P64" i="3"/>
  <c r="O181" i="3"/>
  <c r="R138" i="3"/>
  <c r="R42" i="3"/>
  <c r="R61" i="3" s="1"/>
  <c r="S25" i="3"/>
  <c r="AK100" i="3"/>
  <c r="AK53" i="3"/>
  <c r="S177" i="3"/>
  <c r="S19" i="3"/>
  <c r="S22" i="3" s="1"/>
  <c r="AL105" i="3"/>
  <c r="AL69" i="3"/>
  <c r="AL70" i="3" s="1"/>
  <c r="AL98" i="3"/>
  <c r="AL76" i="3"/>
  <c r="AL77" i="3" s="1"/>
  <c r="AL46" i="3"/>
  <c r="AL106" i="3"/>
  <c r="AL18" i="3"/>
  <c r="AL92" i="3" s="1"/>
  <c r="AL49" i="3" s="1"/>
  <c r="AL15" i="3"/>
  <c r="AL63" i="3"/>
  <c r="AL20" i="3"/>
  <c r="AM11" i="3"/>
  <c r="AL111" i="3"/>
  <c r="AK113" i="3"/>
  <c r="AK112" i="3"/>
  <c r="U159" i="3"/>
  <c r="R137" i="3"/>
  <c r="R44" i="3"/>
  <c r="R48" i="3" s="1"/>
  <c r="R60" i="3"/>
  <c r="K102" i="3"/>
  <c r="L97" i="3"/>
  <c r="AJ114" i="1"/>
  <c r="AJ115" i="1" s="1"/>
  <c r="AI116" i="1"/>
  <c r="AI117" i="1" s="1"/>
  <c r="O181" i="1"/>
  <c r="AK52" i="1"/>
  <c r="Q137" i="1"/>
  <c r="Q44" i="1"/>
  <c r="Q48" i="1" s="1"/>
  <c r="Q60" i="1"/>
  <c r="Q62" i="1" s="1"/>
  <c r="P137" i="1"/>
  <c r="P60" i="1"/>
  <c r="P62" i="1" s="1"/>
  <c r="P44" i="1"/>
  <c r="P48" i="1" s="1"/>
  <c r="O64" i="1"/>
  <c r="R138" i="1"/>
  <c r="R42" i="1"/>
  <c r="R61" i="1" s="1"/>
  <c r="S25" i="1"/>
  <c r="P180" i="1"/>
  <c r="P181" i="1" s="1"/>
  <c r="P172" i="1"/>
  <c r="AK113" i="1"/>
  <c r="AK112" i="1"/>
  <c r="K50" i="1"/>
  <c r="K83" i="1"/>
  <c r="R177" i="1"/>
  <c r="R19" i="1"/>
  <c r="R22" i="1" s="1"/>
  <c r="Q171" i="1"/>
  <c r="AL106" i="1"/>
  <c r="AL105" i="1"/>
  <c r="AL111" i="1"/>
  <c r="AL63" i="1"/>
  <c r="AL98" i="1"/>
  <c r="AL76" i="1"/>
  <c r="AL77" i="1" s="1"/>
  <c r="AL20" i="1"/>
  <c r="AL46" i="1"/>
  <c r="AL18" i="1"/>
  <c r="AL92" i="1" s="1"/>
  <c r="AL49" i="1" s="1"/>
  <c r="AL69" i="1"/>
  <c r="AL70" i="1" s="1"/>
  <c r="AL15" i="1"/>
  <c r="AM11" i="1"/>
  <c r="M90" i="1"/>
  <c r="M91" i="1"/>
  <c r="M93" i="1" s="1"/>
  <c r="L101" i="1"/>
  <c r="L99" i="1"/>
  <c r="T159" i="1"/>
  <c r="S168" i="1"/>
  <c r="AK100" i="1"/>
  <c r="AK53" i="1"/>
  <c r="Q172" i="3" l="1"/>
  <c r="R171" i="3"/>
  <c r="R172" i="3" s="1"/>
  <c r="T177" i="3"/>
  <c r="T19" i="3"/>
  <c r="T22" i="3" s="1"/>
  <c r="AL100" i="3"/>
  <c r="AL53" i="3"/>
  <c r="Q64" i="3"/>
  <c r="V159" i="3"/>
  <c r="AL52" i="3"/>
  <c r="R180" i="3"/>
  <c r="R181" i="3" s="1"/>
  <c r="S137" i="3"/>
  <c r="S44" i="3"/>
  <c r="S48" i="3" s="1"/>
  <c r="S60" i="3"/>
  <c r="S138" i="3"/>
  <c r="S42" i="3"/>
  <c r="S61" i="3" s="1"/>
  <c r="T25" i="3"/>
  <c r="M94" i="3"/>
  <c r="AL112" i="3"/>
  <c r="AL113" i="3" s="1"/>
  <c r="AK114" i="3"/>
  <c r="AK115" i="3" s="1"/>
  <c r="L101" i="3"/>
  <c r="L99" i="3"/>
  <c r="R62" i="3"/>
  <c r="AM98" i="3"/>
  <c r="AM105" i="3"/>
  <c r="AM106" i="3"/>
  <c r="AM76" i="3"/>
  <c r="AM77" i="3" s="1"/>
  <c r="AM69" i="3"/>
  <c r="AM70" i="3" s="1"/>
  <c r="AM63" i="3"/>
  <c r="AM46" i="3"/>
  <c r="AN11" i="3"/>
  <c r="AM15" i="3"/>
  <c r="AM18" i="3"/>
  <c r="AM92" i="3" s="1"/>
  <c r="AM49" i="3" s="1"/>
  <c r="AM111" i="3"/>
  <c r="AM20" i="3"/>
  <c r="AJ116" i="3"/>
  <c r="AJ117" i="3" s="1"/>
  <c r="K83" i="3"/>
  <c r="K50" i="3"/>
  <c r="AL52" i="1"/>
  <c r="AJ116" i="1"/>
  <c r="AJ117" i="1" s="1"/>
  <c r="K84" i="1"/>
  <c r="K141" i="1"/>
  <c r="K143" i="1" s="1"/>
  <c r="K51" i="1"/>
  <c r="K55" i="1" s="1"/>
  <c r="K56" i="1" s="1"/>
  <c r="R171" i="1"/>
  <c r="P64" i="1"/>
  <c r="M94" i="1"/>
  <c r="L102" i="1"/>
  <c r="M97" i="1"/>
  <c r="Q180" i="1"/>
  <c r="Q172" i="1"/>
  <c r="AK114" i="1"/>
  <c r="AK115" i="1" s="1"/>
  <c r="Q64" i="1"/>
  <c r="AL100" i="1"/>
  <c r="AL53" i="1"/>
  <c r="R137" i="1"/>
  <c r="R60" i="1"/>
  <c r="R62" i="1" s="1"/>
  <c r="R44" i="1"/>
  <c r="R48" i="1" s="1"/>
  <c r="AL112" i="1"/>
  <c r="AL113" i="1" s="1"/>
  <c r="S138" i="1"/>
  <c r="S42" i="1"/>
  <c r="S61" i="1" s="1"/>
  <c r="T25" i="1"/>
  <c r="S177" i="1"/>
  <c r="S19" i="1"/>
  <c r="S22" i="1" s="1"/>
  <c r="AM105" i="1"/>
  <c r="AM98" i="1"/>
  <c r="AM106" i="1"/>
  <c r="AM46" i="1"/>
  <c r="AM20" i="1"/>
  <c r="AM18" i="1"/>
  <c r="AM92" i="1" s="1"/>
  <c r="AM49" i="1" s="1"/>
  <c r="AM69" i="1"/>
  <c r="AM70" i="1" s="1"/>
  <c r="AM63" i="1"/>
  <c r="AM15" i="1"/>
  <c r="AN11" i="1"/>
  <c r="AM76" i="1"/>
  <c r="AM77" i="1" s="1"/>
  <c r="AM111" i="1"/>
  <c r="T168" i="1"/>
  <c r="U159" i="1"/>
  <c r="S171" i="3" l="1"/>
  <c r="S180" i="3" s="1"/>
  <c r="S181" i="3" s="1"/>
  <c r="AK116" i="3"/>
  <c r="AK117" i="3" s="1"/>
  <c r="AL114" i="3"/>
  <c r="AL115" i="3" s="1"/>
  <c r="AM112" i="3"/>
  <c r="AM113" i="3" s="1"/>
  <c r="AM100" i="3"/>
  <c r="AM53" i="3"/>
  <c r="T138" i="3"/>
  <c r="U25" i="3"/>
  <c r="T42" i="3"/>
  <c r="T61" i="3" s="1"/>
  <c r="AM52" i="3"/>
  <c r="AN105" i="3"/>
  <c r="AN106" i="3"/>
  <c r="AN63" i="3"/>
  <c r="AN98" i="3"/>
  <c r="AN76" i="3"/>
  <c r="AN77" i="3" s="1"/>
  <c r="AN69" i="3"/>
  <c r="AN70" i="3" s="1"/>
  <c r="AN46" i="3"/>
  <c r="AN15" i="3"/>
  <c r="AO11" i="3"/>
  <c r="AN20" i="3"/>
  <c r="AN18" i="3"/>
  <c r="AN92" i="3" s="1"/>
  <c r="AN49" i="3" s="1"/>
  <c r="AN111" i="3"/>
  <c r="K141" i="3"/>
  <c r="K143" i="3" s="1"/>
  <c r="K51" i="3"/>
  <c r="K55" i="3" s="1"/>
  <c r="K56" i="3" s="1"/>
  <c r="R64" i="3"/>
  <c r="N91" i="3"/>
  <c r="N93" i="3" s="1"/>
  <c r="N90" i="3"/>
  <c r="S62" i="3"/>
  <c r="U177" i="3"/>
  <c r="U19" i="3"/>
  <c r="U22" i="3" s="1"/>
  <c r="T137" i="3"/>
  <c r="T44" i="3"/>
  <c r="T48" i="3" s="1"/>
  <c r="T60" i="3"/>
  <c r="K84" i="3"/>
  <c r="L102" i="3"/>
  <c r="W159" i="3"/>
  <c r="M97" i="3"/>
  <c r="S171" i="1"/>
  <c r="S180" i="1" s="1"/>
  <c r="S181" i="1" s="1"/>
  <c r="K65" i="1"/>
  <c r="K66" i="1" s="1"/>
  <c r="AL114" i="1"/>
  <c r="AL115" i="1"/>
  <c r="AK116" i="1"/>
  <c r="AK117" i="1" s="1"/>
  <c r="T177" i="1"/>
  <c r="T19" i="1"/>
  <c r="T22" i="1" s="1"/>
  <c r="T138" i="1"/>
  <c r="T42" i="1"/>
  <c r="T61" i="1" s="1"/>
  <c r="U25" i="1"/>
  <c r="Q181" i="1"/>
  <c r="S137" i="1"/>
  <c r="S44" i="1"/>
  <c r="S48" i="1" s="1"/>
  <c r="S60" i="1"/>
  <c r="S62" i="1" s="1"/>
  <c r="AN106" i="1"/>
  <c r="AN76" i="1"/>
  <c r="AN77" i="1" s="1"/>
  <c r="AN69" i="1"/>
  <c r="AN70" i="1" s="1"/>
  <c r="AN111" i="1"/>
  <c r="AN46" i="1"/>
  <c r="AN18" i="1"/>
  <c r="AN92" i="1" s="1"/>
  <c r="AN49" i="1" s="1"/>
  <c r="AN63" i="1"/>
  <c r="AN98" i="1"/>
  <c r="AN15" i="1"/>
  <c r="AO11" i="1"/>
  <c r="AN105" i="1"/>
  <c r="AN20" i="1"/>
  <c r="R180" i="1"/>
  <c r="R181" i="1" s="1"/>
  <c r="R172" i="1"/>
  <c r="AM100" i="1"/>
  <c r="AM53" i="1"/>
  <c r="R64" i="1"/>
  <c r="M101" i="1"/>
  <c r="N97" i="1" s="1"/>
  <c r="M99" i="1"/>
  <c r="U168" i="1"/>
  <c r="V159" i="1"/>
  <c r="N91" i="1"/>
  <c r="N93" i="1" s="1"/>
  <c r="N90" i="1"/>
  <c r="K144" i="1"/>
  <c r="AM112" i="1"/>
  <c r="AM113" i="1" s="1"/>
  <c r="AM52" i="1"/>
  <c r="L83" i="1"/>
  <c r="L50" i="1"/>
  <c r="K76" i="1"/>
  <c r="K69" i="1"/>
  <c r="T62" i="3" l="1"/>
  <c r="T64" i="3" s="1"/>
  <c r="S172" i="3"/>
  <c r="K65" i="3"/>
  <c r="K66" i="3" s="1"/>
  <c r="AN52" i="3"/>
  <c r="AM114" i="3"/>
  <c r="AM115" i="3" s="1"/>
  <c r="AN112" i="3"/>
  <c r="AN113" i="3" s="1"/>
  <c r="U138" i="3"/>
  <c r="U42" i="3"/>
  <c r="U61" i="3" s="1"/>
  <c r="V25" i="3"/>
  <c r="L83" i="3"/>
  <c r="L50" i="3"/>
  <c r="U137" i="3"/>
  <c r="U44" i="3"/>
  <c r="U48" i="3" s="1"/>
  <c r="U60" i="3"/>
  <c r="AO98" i="3"/>
  <c r="AO106" i="3"/>
  <c r="AO111" i="3"/>
  <c r="AO76" i="3"/>
  <c r="AO77" i="3" s="1"/>
  <c r="AO105" i="3"/>
  <c r="AO69" i="3"/>
  <c r="AO70" i="3" s="1"/>
  <c r="AO46" i="3"/>
  <c r="AO15" i="3"/>
  <c r="AO63" i="3"/>
  <c r="AO20" i="3"/>
  <c r="AO18" i="3"/>
  <c r="AL116" i="3"/>
  <c r="AL117" i="3" s="1"/>
  <c r="K69" i="3"/>
  <c r="K76" i="3"/>
  <c r="AN100" i="3"/>
  <c r="AN53" i="3"/>
  <c r="K144" i="3"/>
  <c r="V177" i="3"/>
  <c r="V19" i="3"/>
  <c r="V22" i="3" s="1"/>
  <c r="S64" i="3"/>
  <c r="M101" i="3"/>
  <c r="N97" i="3" s="1"/>
  <c r="M99" i="3"/>
  <c r="X159" i="3"/>
  <c r="N94" i="3"/>
  <c r="T171" i="3"/>
  <c r="S172" i="1"/>
  <c r="AN52" i="1"/>
  <c r="T171" i="1"/>
  <c r="AM114" i="1"/>
  <c r="AM115" i="1" s="1"/>
  <c r="N99" i="1"/>
  <c r="N98" i="1" s="1"/>
  <c r="N102" i="1" s="1"/>
  <c r="AN112" i="1"/>
  <c r="AN113" i="1" s="1"/>
  <c r="U171" i="1"/>
  <c r="U180" i="1" s="1"/>
  <c r="U138" i="1"/>
  <c r="V25" i="1"/>
  <c r="U42" i="1"/>
  <c r="U61" i="1" s="1"/>
  <c r="K77" i="1"/>
  <c r="T137" i="1"/>
  <c r="T60" i="1"/>
  <c r="T62" i="1" s="1"/>
  <c r="T44" i="1"/>
  <c r="T48" i="1" s="1"/>
  <c r="N94" i="1"/>
  <c r="AO105" i="1"/>
  <c r="AO98" i="1"/>
  <c r="AO46" i="1"/>
  <c r="AO69" i="1"/>
  <c r="AO70" i="1" s="1"/>
  <c r="AO63" i="1"/>
  <c r="AO15" i="1"/>
  <c r="AO76" i="1"/>
  <c r="AO77" i="1" s="1"/>
  <c r="AO106" i="1"/>
  <c r="AO20" i="1"/>
  <c r="AO18" i="1"/>
  <c r="AO111" i="1"/>
  <c r="AN100" i="1"/>
  <c r="AN53" i="1"/>
  <c r="L141" i="1"/>
  <c r="L143" i="1" s="1"/>
  <c r="L51" i="1"/>
  <c r="L55" i="1" s="1"/>
  <c r="L56" i="1" s="1"/>
  <c r="W159" i="1"/>
  <c r="V168" i="1"/>
  <c r="S64" i="1"/>
  <c r="AL116" i="1"/>
  <c r="AL117" i="1" s="1"/>
  <c r="M102" i="1"/>
  <c r="L84" i="1"/>
  <c r="K150" i="1"/>
  <c r="K70" i="1"/>
  <c r="U177" i="1"/>
  <c r="U181" i="1" s="1"/>
  <c r="U19" i="1"/>
  <c r="U22" i="1" s="1"/>
  <c r="U62" i="3" l="1"/>
  <c r="U64" i="3" s="1"/>
  <c r="U171" i="3"/>
  <c r="U180" i="3" s="1"/>
  <c r="U181" i="3" s="1"/>
  <c r="AN114" i="3"/>
  <c r="AN115" i="3"/>
  <c r="K77" i="3"/>
  <c r="K150" i="3"/>
  <c r="K70" i="3"/>
  <c r="AO100" i="3"/>
  <c r="AO53" i="3"/>
  <c r="O91" i="3"/>
  <c r="O93" i="3" s="1"/>
  <c r="O90" i="3"/>
  <c r="T180" i="3"/>
  <c r="T181" i="3" s="1"/>
  <c r="T172" i="3"/>
  <c r="Y159" i="3"/>
  <c r="V137" i="3"/>
  <c r="V44" i="3"/>
  <c r="V48" i="3" s="1"/>
  <c r="V60" i="3"/>
  <c r="AO52" i="3"/>
  <c r="W177" i="3"/>
  <c r="W19" i="3"/>
  <c r="W22" i="3" s="1"/>
  <c r="N99" i="3"/>
  <c r="N98" i="3" s="1"/>
  <c r="N102" i="3" s="1"/>
  <c r="L141" i="3"/>
  <c r="L143" i="3" s="1"/>
  <c r="L51" i="3"/>
  <c r="L55" i="3" s="1"/>
  <c r="L56" i="3" s="1"/>
  <c r="V138" i="3"/>
  <c r="V42" i="3"/>
  <c r="V61" i="3" s="1"/>
  <c r="W25" i="3"/>
  <c r="AM116" i="3"/>
  <c r="AM117" i="3" s="1"/>
  <c r="M102" i="3"/>
  <c r="AO113" i="3"/>
  <c r="AO112" i="3"/>
  <c r="L84" i="3"/>
  <c r="U172" i="1"/>
  <c r="L65" i="1"/>
  <c r="L66" i="1" s="1"/>
  <c r="T180" i="1"/>
  <c r="T181" i="1" s="1"/>
  <c r="T172" i="1"/>
  <c r="L144" i="1"/>
  <c r="AN114" i="1"/>
  <c r="AN115" i="1" s="1"/>
  <c r="AM116" i="1"/>
  <c r="AM117" i="1" s="1"/>
  <c r="AO112" i="1"/>
  <c r="AO113" i="1" s="1"/>
  <c r="T64" i="1"/>
  <c r="U137" i="1"/>
  <c r="U44" i="1"/>
  <c r="U48" i="1" s="1"/>
  <c r="U60" i="1"/>
  <c r="U62" i="1" s="1"/>
  <c r="N83" i="1"/>
  <c r="N84" i="1" s="1"/>
  <c r="N50" i="1"/>
  <c r="AO52" i="1"/>
  <c r="N101" i="1"/>
  <c r="O97" i="1" s="1"/>
  <c r="L69" i="1"/>
  <c r="L76" i="1"/>
  <c r="V177" i="1"/>
  <c r="V19" i="1"/>
  <c r="V22" i="1" s="1"/>
  <c r="O90" i="1"/>
  <c r="O91" i="1"/>
  <c r="O93" i="1" s="1"/>
  <c r="M83" i="1"/>
  <c r="M50" i="1"/>
  <c r="X159" i="1"/>
  <c r="W168" i="1"/>
  <c r="AO100" i="1"/>
  <c r="AO53" i="1"/>
  <c r="V138" i="1"/>
  <c r="W25" i="1"/>
  <c r="V42" i="1"/>
  <c r="V61" i="1" s="1"/>
  <c r="V171" i="3" l="1"/>
  <c r="V180" i="3" s="1"/>
  <c r="V181" i="3" s="1"/>
  <c r="U172" i="3"/>
  <c r="L144" i="3"/>
  <c r="M83" i="3"/>
  <c r="M50" i="3"/>
  <c r="L69" i="3"/>
  <c r="L76" i="3"/>
  <c r="V172" i="3"/>
  <c r="N83" i="3"/>
  <c r="N84" i="3" s="1"/>
  <c r="N50" i="3"/>
  <c r="X177" i="3"/>
  <c r="X19" i="3"/>
  <c r="X22" i="3" s="1"/>
  <c r="O94" i="3"/>
  <c r="W138" i="3"/>
  <c r="X25" i="3"/>
  <c r="W42" i="3"/>
  <c r="W61" i="3" s="1"/>
  <c r="N101" i="3"/>
  <c r="O97" i="3" s="1"/>
  <c r="Z159" i="3"/>
  <c r="AO114" i="3"/>
  <c r="AO115" i="3"/>
  <c r="W137" i="3"/>
  <c r="W44" i="3"/>
  <c r="W48" i="3" s="1"/>
  <c r="W60" i="3"/>
  <c r="V62" i="3"/>
  <c r="AN116" i="3"/>
  <c r="AN117" i="3" s="1"/>
  <c r="L65" i="3"/>
  <c r="L66" i="3" s="1"/>
  <c r="AO114" i="1"/>
  <c r="AO115" i="1" s="1"/>
  <c r="AN116" i="1"/>
  <c r="AN117" i="1" s="1"/>
  <c r="M84" i="1"/>
  <c r="O99" i="1"/>
  <c r="L150" i="1"/>
  <c r="L70" i="1"/>
  <c r="N141" i="1"/>
  <c r="N143" i="1" s="1"/>
  <c r="N51" i="1"/>
  <c r="N55" i="1" s="1"/>
  <c r="O94" i="1"/>
  <c r="M141" i="1"/>
  <c r="M143" i="1" s="1"/>
  <c r="M51" i="1"/>
  <c r="M55" i="1" s="1"/>
  <c r="M56" i="1" s="1"/>
  <c r="W138" i="1"/>
  <c r="W42" i="1"/>
  <c r="W61" i="1" s="1"/>
  <c r="X25" i="1"/>
  <c r="W177" i="1"/>
  <c r="W19" i="1"/>
  <c r="W22" i="1" s="1"/>
  <c r="V137" i="1"/>
  <c r="V60" i="1"/>
  <c r="V62" i="1" s="1"/>
  <c r="V44" i="1"/>
  <c r="V48" i="1" s="1"/>
  <c r="V171" i="1"/>
  <c r="Y159" i="1"/>
  <c r="X168" i="1"/>
  <c r="L77" i="1"/>
  <c r="U64" i="1"/>
  <c r="W62" i="3" l="1"/>
  <c r="X137" i="3"/>
  <c r="X60" i="3"/>
  <c r="X44" i="3"/>
  <c r="X48" i="3" s="1"/>
  <c r="L77" i="3"/>
  <c r="L150" i="3"/>
  <c r="L70" i="3"/>
  <c r="O99" i="3"/>
  <c r="O98" i="3" s="1"/>
  <c r="O102" i="3" s="1"/>
  <c r="V64" i="3"/>
  <c r="W64" i="3"/>
  <c r="W171" i="3"/>
  <c r="N141" i="3"/>
  <c r="N143" i="3" s="1"/>
  <c r="N51" i="3"/>
  <c r="N55" i="3" s="1"/>
  <c r="M141" i="3"/>
  <c r="M143" i="3" s="1"/>
  <c r="M51" i="3"/>
  <c r="M55" i="3" s="1"/>
  <c r="M56" i="3" s="1"/>
  <c r="Y177" i="3"/>
  <c r="Y19" i="3"/>
  <c r="M84" i="3"/>
  <c r="X138" i="3"/>
  <c r="X42" i="3"/>
  <c r="X61" i="3" s="1"/>
  <c r="Y25" i="3"/>
  <c r="AO116" i="3"/>
  <c r="AO117" i="3" s="1"/>
  <c r="AA159" i="3"/>
  <c r="P90" i="3"/>
  <c r="P91" i="3"/>
  <c r="P93" i="3" s="1"/>
  <c r="N65" i="1"/>
  <c r="M144" i="1"/>
  <c r="N56" i="1"/>
  <c r="AO116" i="1"/>
  <c r="AO117" i="1" s="1"/>
  <c r="M65" i="1"/>
  <c r="M66" i="1" s="1"/>
  <c r="N66" i="1" s="1"/>
  <c r="N76" i="1"/>
  <c r="N77" i="1" s="1"/>
  <c r="N69" i="1"/>
  <c r="X177" i="1"/>
  <c r="X19" i="1"/>
  <c r="X22" i="1" s="1"/>
  <c r="W137" i="1"/>
  <c r="W44" i="1"/>
  <c r="W48" i="1" s="1"/>
  <c r="W60" i="1"/>
  <c r="W62" i="1" s="1"/>
  <c r="W171" i="1"/>
  <c r="Z159" i="1"/>
  <c r="Y168" i="1"/>
  <c r="M76" i="1"/>
  <c r="M69" i="1"/>
  <c r="O98" i="1"/>
  <c r="V64" i="1"/>
  <c r="V180" i="1"/>
  <c r="V181" i="1" s="1"/>
  <c r="V172" i="1"/>
  <c r="X138" i="1"/>
  <c r="X42" i="1"/>
  <c r="X61" i="1" s="1"/>
  <c r="Y25" i="1"/>
  <c r="P91" i="1"/>
  <c r="P93" i="1" s="1"/>
  <c r="P90" i="1"/>
  <c r="P94" i="1" s="1"/>
  <c r="M65" i="3" l="1"/>
  <c r="M66" i="3" s="1"/>
  <c r="Y138" i="3"/>
  <c r="Y42" i="3"/>
  <c r="Y61" i="3" s="1"/>
  <c r="Z25" i="3"/>
  <c r="Y171" i="3"/>
  <c r="N65" i="3"/>
  <c r="O83" i="3"/>
  <c r="O50" i="3"/>
  <c r="O101" i="3"/>
  <c r="P97" i="3" s="1"/>
  <c r="Z19" i="3"/>
  <c r="N69" i="3"/>
  <c r="N76" i="3"/>
  <c r="N77" i="3" s="1"/>
  <c r="AB159" i="3"/>
  <c r="W180" i="3"/>
  <c r="W181" i="3" s="1"/>
  <c r="W172" i="3"/>
  <c r="M144" i="3"/>
  <c r="N56" i="3"/>
  <c r="P94" i="3"/>
  <c r="M76" i="3"/>
  <c r="M69" i="3"/>
  <c r="X62" i="3"/>
  <c r="Y22" i="3"/>
  <c r="I146" i="3"/>
  <c r="J146" i="3" s="1"/>
  <c r="U4" i="3" s="1"/>
  <c r="T4" i="3"/>
  <c r="X171" i="3"/>
  <c r="X137" i="1"/>
  <c r="X60" i="1"/>
  <c r="X62" i="1" s="1"/>
  <c r="X44" i="1"/>
  <c r="X48" i="1" s="1"/>
  <c r="O102" i="1"/>
  <c r="O101" i="1"/>
  <c r="P97" i="1" s="1"/>
  <c r="M77" i="1"/>
  <c r="Y177" i="1"/>
  <c r="Y19" i="1"/>
  <c r="Y138" i="1"/>
  <c r="Y42" i="1"/>
  <c r="Y61" i="1" s="1"/>
  <c r="Z25" i="1"/>
  <c r="AA159" i="1"/>
  <c r="Z168" i="1"/>
  <c r="N150" i="1"/>
  <c r="N70" i="1"/>
  <c r="X171" i="1"/>
  <c r="W180" i="1"/>
  <c r="W181" i="1" s="1"/>
  <c r="W172" i="1"/>
  <c r="M150" i="1"/>
  <c r="M70" i="1"/>
  <c r="W64" i="1"/>
  <c r="N144" i="1"/>
  <c r="Q90" i="1"/>
  <c r="Q91" i="1"/>
  <c r="Q93" i="1" s="1"/>
  <c r="N66" i="3" l="1"/>
  <c r="AA19" i="3"/>
  <c r="AA22" i="3" s="1"/>
  <c r="O141" i="3"/>
  <c r="O143" i="3" s="1"/>
  <c r="O51" i="3"/>
  <c r="O65" i="3" s="1"/>
  <c r="Q90" i="3"/>
  <c r="Q91" i="3"/>
  <c r="Q93" i="3" s="1"/>
  <c r="AC159" i="3"/>
  <c r="O84" i="3"/>
  <c r="Y137" i="3"/>
  <c r="Y60" i="3"/>
  <c r="Y62" i="3" s="1"/>
  <c r="Y44" i="3"/>
  <c r="X64" i="3"/>
  <c r="N150" i="3"/>
  <c r="N70" i="3"/>
  <c r="Y180" i="3"/>
  <c r="Y172" i="3"/>
  <c r="N144" i="3"/>
  <c r="Z22" i="3"/>
  <c r="Y186" i="3"/>
  <c r="Z138" i="3"/>
  <c r="Z42" i="3"/>
  <c r="Z61" i="3" s="1"/>
  <c r="AA25" i="3"/>
  <c r="M150" i="3"/>
  <c r="M70" i="3"/>
  <c r="X180" i="3"/>
  <c r="X181" i="3" s="1"/>
  <c r="X172" i="3"/>
  <c r="M77" i="3"/>
  <c r="P99" i="3"/>
  <c r="P98" i="3" s="1"/>
  <c r="P102" i="3" s="1"/>
  <c r="P99" i="1"/>
  <c r="P98" i="1" s="1"/>
  <c r="P102" i="1" s="1"/>
  <c r="Y22" i="1"/>
  <c r="I146" i="1"/>
  <c r="J146" i="1" s="1"/>
  <c r="U4" i="1" s="1"/>
  <c r="O83" i="1"/>
  <c r="O50" i="1"/>
  <c r="Z19" i="1"/>
  <c r="X180" i="1"/>
  <c r="X181" i="1" s="1"/>
  <c r="X172" i="1"/>
  <c r="AB159" i="1"/>
  <c r="AA168" i="1"/>
  <c r="T4" i="1"/>
  <c r="X64" i="1"/>
  <c r="Y171" i="1"/>
  <c r="Q94" i="1"/>
  <c r="Z138" i="1"/>
  <c r="Z42" i="1"/>
  <c r="Z61" i="1" s="1"/>
  <c r="AA25" i="1"/>
  <c r="Z171" i="3" l="1"/>
  <c r="Z172" i="3" s="1"/>
  <c r="O66" i="3"/>
  <c r="Q94" i="3"/>
  <c r="R91" i="3" s="1"/>
  <c r="R93" i="3" s="1"/>
  <c r="O76" i="3"/>
  <c r="O69" i="3"/>
  <c r="AA138" i="3"/>
  <c r="AA42" i="3"/>
  <c r="AA61" i="3" s="1"/>
  <c r="AB25" i="3"/>
  <c r="T7" i="3"/>
  <c r="Y181" i="3"/>
  <c r="O55" i="3"/>
  <c r="O56" i="3" s="1"/>
  <c r="AB19" i="3"/>
  <c r="AB22" i="3" s="1"/>
  <c r="AA137" i="3"/>
  <c r="AA44" i="3"/>
  <c r="AA48" i="3" s="1"/>
  <c r="AA60" i="3"/>
  <c r="Z137" i="3"/>
  <c r="Z44" i="3"/>
  <c r="Z48" i="3" s="1"/>
  <c r="Z60" i="3"/>
  <c r="Z62" i="3" s="1"/>
  <c r="AD159" i="3"/>
  <c r="P83" i="3"/>
  <c r="P84" i="3" s="1"/>
  <c r="P50" i="3"/>
  <c r="P101" i="3"/>
  <c r="Q97" i="3" s="1"/>
  <c r="AA19" i="1"/>
  <c r="AA22" i="1" s="1"/>
  <c r="AB168" i="1"/>
  <c r="AC159" i="1"/>
  <c r="O141" i="1"/>
  <c r="O143" i="1" s="1"/>
  <c r="O51" i="1"/>
  <c r="O84" i="1"/>
  <c r="Z22" i="1"/>
  <c r="Y186" i="1"/>
  <c r="Y137" i="1"/>
  <c r="Y44" i="1"/>
  <c r="Y60" i="1"/>
  <c r="Y62" i="1" s="1"/>
  <c r="AA138" i="1"/>
  <c r="AA42" i="1"/>
  <c r="AA61" i="1" s="1"/>
  <c r="AB25" i="1"/>
  <c r="R91" i="1"/>
  <c r="R93" i="1" s="1"/>
  <c r="R90" i="1"/>
  <c r="P50" i="1"/>
  <c r="P83" i="1"/>
  <c r="P84" i="1" s="1"/>
  <c r="Z171" i="1"/>
  <c r="Z172" i="1" s="1"/>
  <c r="Y180" i="1"/>
  <c r="Y172" i="1"/>
  <c r="P101" i="1"/>
  <c r="Q97" i="1" s="1"/>
  <c r="AA171" i="3" l="1"/>
  <c r="AA172" i="3" s="1"/>
  <c r="R90" i="3"/>
  <c r="R94" i="3" s="1"/>
  <c r="T8" i="3"/>
  <c r="T9" i="3"/>
  <c r="AB138" i="3"/>
  <c r="AB42" i="3"/>
  <c r="AB61" i="3" s="1"/>
  <c r="AC25" i="3"/>
  <c r="AB137" i="3"/>
  <c r="AB60" i="3"/>
  <c r="AB44" i="3"/>
  <c r="AB48" i="3" s="1"/>
  <c r="Z64" i="3"/>
  <c r="O150" i="3"/>
  <c r="O70" i="3"/>
  <c r="O144" i="3"/>
  <c r="O77" i="3"/>
  <c r="AC19" i="3"/>
  <c r="AC22" i="3" s="1"/>
  <c r="Q99" i="3"/>
  <c r="Q98" i="3" s="1"/>
  <c r="Q102" i="3" s="1"/>
  <c r="Q83" i="3" s="1"/>
  <c r="Q84" i="3" s="1"/>
  <c r="AE159" i="3"/>
  <c r="P141" i="3"/>
  <c r="P143" i="3" s="1"/>
  <c r="P51" i="3"/>
  <c r="P65" i="3" s="1"/>
  <c r="P66" i="3" s="1"/>
  <c r="AA62" i="3"/>
  <c r="AA171" i="1"/>
  <c r="AA172" i="1" s="1"/>
  <c r="R94" i="1"/>
  <c r="S91" i="1" s="1"/>
  <c r="S93" i="1" s="1"/>
  <c r="O69" i="1"/>
  <c r="O76" i="1"/>
  <c r="O55" i="1"/>
  <c r="O56" i="1" s="1"/>
  <c r="O65" i="1"/>
  <c r="O66" i="1" s="1"/>
  <c r="AB138" i="1"/>
  <c r="AC25" i="1"/>
  <c r="AB42" i="1"/>
  <c r="AB61" i="1" s="1"/>
  <c r="Z137" i="1"/>
  <c r="Z60" i="1"/>
  <c r="Z62" i="1" s="1"/>
  <c r="Z44" i="1"/>
  <c r="Z48" i="1" s="1"/>
  <c r="AC168" i="1"/>
  <c r="AD159" i="1"/>
  <c r="P141" i="1"/>
  <c r="P143" i="1" s="1"/>
  <c r="P51" i="1"/>
  <c r="P55" i="1" s="1"/>
  <c r="AB19" i="1"/>
  <c r="AB22" i="1" s="1"/>
  <c r="Q99" i="1"/>
  <c r="Q98" i="1" s="1"/>
  <c r="Q102" i="1" s="1"/>
  <c r="Q83" i="1" s="1"/>
  <c r="Q84" i="1" s="1"/>
  <c r="T7" i="1"/>
  <c r="T8" i="1" s="1"/>
  <c r="Y181" i="1"/>
  <c r="AA137" i="1"/>
  <c r="AA44" i="1"/>
  <c r="AA48" i="1" s="1"/>
  <c r="AA60" i="1"/>
  <c r="AA62" i="1" s="1"/>
  <c r="AB171" i="3" l="1"/>
  <c r="AB172" i="3" s="1"/>
  <c r="S90" i="1"/>
  <c r="AF159" i="3"/>
  <c r="AC138" i="3"/>
  <c r="AC42" i="3"/>
  <c r="AC61" i="3" s="1"/>
  <c r="AD25" i="3"/>
  <c r="Q101" i="3"/>
  <c r="P76" i="3"/>
  <c r="P77" i="3" s="1"/>
  <c r="P69" i="3"/>
  <c r="AC137" i="3"/>
  <c r="AC44" i="3"/>
  <c r="AC48" i="3" s="1"/>
  <c r="AC60" i="3"/>
  <c r="S90" i="3"/>
  <c r="S91" i="3"/>
  <c r="S93" i="3" s="1"/>
  <c r="AA64" i="3"/>
  <c r="P55" i="3"/>
  <c r="P56" i="3" s="1"/>
  <c r="AD19" i="3"/>
  <c r="AD22" i="3" s="1"/>
  <c r="AB62" i="3"/>
  <c r="P65" i="1"/>
  <c r="AE159" i="1"/>
  <c r="AD168" i="1"/>
  <c r="AC138" i="1"/>
  <c r="AD25" i="1"/>
  <c r="AC42" i="1"/>
  <c r="AC61" i="1" s="1"/>
  <c r="AC19" i="1"/>
  <c r="AC22" i="1" s="1"/>
  <c r="Z64" i="1"/>
  <c r="P66" i="1"/>
  <c r="O144" i="1"/>
  <c r="P56" i="1"/>
  <c r="AB60" i="1"/>
  <c r="AB62" i="1" s="1"/>
  <c r="AB137" i="1"/>
  <c r="AB44" i="1"/>
  <c r="AB48" i="1" s="1"/>
  <c r="O77" i="1"/>
  <c r="Q101" i="1"/>
  <c r="AB171" i="1"/>
  <c r="AB172" i="1" s="1"/>
  <c r="AA64" i="1"/>
  <c r="P76" i="1"/>
  <c r="P77" i="1" s="1"/>
  <c r="P69" i="1"/>
  <c r="S94" i="1"/>
  <c r="O150" i="1"/>
  <c r="O70" i="1"/>
  <c r="P150" i="3" l="1"/>
  <c r="P70" i="3"/>
  <c r="AB64" i="3"/>
  <c r="R97" i="3"/>
  <c r="Q50" i="3"/>
  <c r="AE19" i="3"/>
  <c r="AE22" i="3" s="1"/>
  <c r="T3" i="3"/>
  <c r="AG159" i="3"/>
  <c r="S94" i="3"/>
  <c r="AD137" i="3"/>
  <c r="AD44" i="3"/>
  <c r="AD48" i="3" s="1"/>
  <c r="AD60" i="3"/>
  <c r="AC62" i="3"/>
  <c r="AC171" i="3"/>
  <c r="AC172" i="3" s="1"/>
  <c r="P144" i="3"/>
  <c r="AD138" i="3"/>
  <c r="AD42" i="3"/>
  <c r="AD61" i="3" s="1"/>
  <c r="AE25" i="3"/>
  <c r="Q50" i="1"/>
  <c r="R97" i="1"/>
  <c r="T91" i="1"/>
  <c r="T93" i="1" s="1"/>
  <c r="T90" i="1"/>
  <c r="AB64" i="1"/>
  <c r="P150" i="1"/>
  <c r="P70" i="1"/>
  <c r="AC171" i="1"/>
  <c r="AC172" i="1" s="1"/>
  <c r="P144" i="1"/>
  <c r="AC137" i="1"/>
  <c r="AC60" i="1"/>
  <c r="AC62" i="1" s="1"/>
  <c r="AC44" i="1"/>
  <c r="AC48" i="1" s="1"/>
  <c r="AD19" i="1"/>
  <c r="AD22" i="1" s="1"/>
  <c r="AD138" i="1"/>
  <c r="AE25" i="1"/>
  <c r="AD42" i="1"/>
  <c r="AD61" i="1" s="1"/>
  <c r="AF159" i="1"/>
  <c r="AE168" i="1"/>
  <c r="AF19" i="3" l="1"/>
  <c r="AF22" i="3" s="1"/>
  <c r="R99" i="3"/>
  <c r="R102" i="3" s="1"/>
  <c r="R101" i="3"/>
  <c r="AD62" i="3"/>
  <c r="AE137" i="3"/>
  <c r="AE60" i="3"/>
  <c r="AE44" i="3"/>
  <c r="AE48" i="3" s="1"/>
  <c r="AH159" i="3"/>
  <c r="T90" i="3"/>
  <c r="T91" i="3"/>
  <c r="T93" i="3" s="1"/>
  <c r="AE138" i="3"/>
  <c r="AF25" i="3"/>
  <c r="AE42" i="3"/>
  <c r="AE61" i="3" s="1"/>
  <c r="AC64" i="3"/>
  <c r="AD171" i="3"/>
  <c r="AD172" i="3" s="1"/>
  <c r="Q141" i="3"/>
  <c r="Q143" i="3" s="1"/>
  <c r="Q51" i="3"/>
  <c r="Q55" i="3" s="1"/>
  <c r="Q56" i="3" s="1"/>
  <c r="T94" i="1"/>
  <c r="U90" i="1" s="1"/>
  <c r="AE138" i="1"/>
  <c r="AE42" i="1"/>
  <c r="AE61" i="1" s="1"/>
  <c r="AF25" i="1"/>
  <c r="R101" i="1"/>
  <c r="R99" i="1"/>
  <c r="R102" i="1" s="1"/>
  <c r="AC64" i="1"/>
  <c r="Q141" i="1"/>
  <c r="Q143" i="1" s="1"/>
  <c r="Q51" i="1"/>
  <c r="Q65" i="1" s="1"/>
  <c r="Q66" i="1" s="1"/>
  <c r="AD171" i="1"/>
  <c r="AD172" i="1" s="1"/>
  <c r="AD137" i="1"/>
  <c r="AD60" i="1"/>
  <c r="AD62" i="1" s="1"/>
  <c r="AD44" i="1"/>
  <c r="AD48" i="1" s="1"/>
  <c r="AG159" i="1"/>
  <c r="AF168" i="1"/>
  <c r="AE19" i="1"/>
  <c r="AE22" i="1" s="1"/>
  <c r="T3" i="1"/>
  <c r="T94" i="3" l="1"/>
  <c r="U90" i="3" s="1"/>
  <c r="Q144" i="3"/>
  <c r="AD64" i="3"/>
  <c r="Q65" i="3"/>
  <c r="Q66" i="3" s="1"/>
  <c r="AG19" i="3"/>
  <c r="AG22" i="3" s="1"/>
  <c r="AE171" i="3"/>
  <c r="AE172" i="3" s="1"/>
  <c r="AI159" i="3"/>
  <c r="S97" i="3"/>
  <c r="R83" i="3"/>
  <c r="R84" i="3" s="1"/>
  <c r="R50" i="3"/>
  <c r="AF60" i="3"/>
  <c r="AF44" i="3"/>
  <c r="AF48" i="3" s="1"/>
  <c r="AF42" i="3"/>
  <c r="AF61" i="3" s="1"/>
  <c r="AG25" i="3"/>
  <c r="AE62" i="3"/>
  <c r="Q76" i="3"/>
  <c r="Q77" i="3" s="1"/>
  <c r="Q69" i="3"/>
  <c r="U91" i="1"/>
  <c r="U92" i="1" s="1"/>
  <c r="U49" i="1" s="1"/>
  <c r="Q55" i="1"/>
  <c r="Q56" i="1" s="1"/>
  <c r="Q144" i="1" s="1"/>
  <c r="AE171" i="1"/>
  <c r="AE172" i="1" s="1"/>
  <c r="AH159" i="1"/>
  <c r="AG168" i="1"/>
  <c r="AE137" i="1"/>
  <c r="AE44" i="1"/>
  <c r="AE48" i="1" s="1"/>
  <c r="AE60" i="1"/>
  <c r="AE62" i="1" s="1"/>
  <c r="AF19" i="1"/>
  <c r="AF22" i="1" s="1"/>
  <c r="R83" i="1"/>
  <c r="R84" i="1" s="1"/>
  <c r="R50" i="1"/>
  <c r="Q76" i="1"/>
  <c r="Q77" i="1" s="1"/>
  <c r="Q69" i="1"/>
  <c r="S97" i="1"/>
  <c r="AD64" i="1"/>
  <c r="AG25" i="1"/>
  <c r="AF42" i="1"/>
  <c r="AF61" i="1" s="1"/>
  <c r="U91" i="3" l="1"/>
  <c r="AF171" i="3"/>
  <c r="AF172" i="3" s="1"/>
  <c r="S101" i="3"/>
  <c r="S99" i="3"/>
  <c r="S102" i="3" s="1"/>
  <c r="AH19" i="3"/>
  <c r="AH22" i="3" s="1"/>
  <c r="AF62" i="3"/>
  <c r="AJ159" i="3"/>
  <c r="U92" i="3"/>
  <c r="U49" i="3" s="1"/>
  <c r="AG42" i="3"/>
  <c r="AG61" i="3" s="1"/>
  <c r="AH25" i="3"/>
  <c r="Q150" i="3"/>
  <c r="Q70" i="3"/>
  <c r="AE64" i="3"/>
  <c r="R141" i="3"/>
  <c r="R143" i="3" s="1"/>
  <c r="R51" i="3"/>
  <c r="R55" i="3" s="1"/>
  <c r="R56" i="3" s="1"/>
  <c r="AG60" i="3"/>
  <c r="AG44" i="3"/>
  <c r="AG48" i="3" s="1"/>
  <c r="AE64" i="1"/>
  <c r="R141" i="1"/>
  <c r="R143" i="1" s="1"/>
  <c r="R51" i="1"/>
  <c r="R65" i="1" s="1"/>
  <c r="R66" i="1" s="1"/>
  <c r="S101" i="1"/>
  <c r="S99" i="1"/>
  <c r="S102" i="1" s="1"/>
  <c r="AG42" i="1"/>
  <c r="AG61" i="1" s="1"/>
  <c r="AH25" i="1"/>
  <c r="AG19" i="1"/>
  <c r="AG22" i="1" s="1"/>
  <c r="U93" i="1"/>
  <c r="U94" i="1" s="1"/>
  <c r="AI159" i="1"/>
  <c r="AH168" i="1"/>
  <c r="U140" i="1"/>
  <c r="Q150" i="1"/>
  <c r="Q70" i="1"/>
  <c r="AF44" i="1"/>
  <c r="AF48" i="1" s="1"/>
  <c r="AF60" i="1"/>
  <c r="AF62" i="1" s="1"/>
  <c r="AF171" i="1"/>
  <c r="AF172" i="1" s="1"/>
  <c r="R65" i="3" l="1"/>
  <c r="R66" i="3" s="1"/>
  <c r="U140" i="3"/>
  <c r="R144" i="3"/>
  <c r="U93" i="3"/>
  <c r="U94" i="3" s="1"/>
  <c r="AG62" i="3"/>
  <c r="AI19" i="3"/>
  <c r="AI22" i="3" s="1"/>
  <c r="S83" i="3"/>
  <c r="S84" i="3" s="1"/>
  <c r="S50" i="3"/>
  <c r="AK159" i="3"/>
  <c r="T97" i="3"/>
  <c r="R76" i="3"/>
  <c r="R77" i="3" s="1"/>
  <c r="R69" i="3"/>
  <c r="AG171" i="3"/>
  <c r="AG172" i="3" s="1"/>
  <c r="AF64" i="3"/>
  <c r="AH42" i="3"/>
  <c r="AH61" i="3" s="1"/>
  <c r="AI25" i="3"/>
  <c r="AH44" i="3"/>
  <c r="AH48" i="3" s="1"/>
  <c r="AH60" i="3"/>
  <c r="AH19" i="1"/>
  <c r="AH22" i="1" s="1"/>
  <c r="S50" i="1"/>
  <c r="S83" i="1"/>
  <c r="S84" i="1" s="1"/>
  <c r="AG171" i="1"/>
  <c r="AG172" i="1" s="1"/>
  <c r="AJ159" i="1"/>
  <c r="AI168" i="1"/>
  <c r="V91" i="1"/>
  <c r="V93" i="1" s="1"/>
  <c r="V90" i="1"/>
  <c r="AG44" i="1"/>
  <c r="AG48" i="1" s="1"/>
  <c r="AG60" i="1"/>
  <c r="AG62" i="1" s="1"/>
  <c r="R69" i="1"/>
  <c r="R76" i="1"/>
  <c r="R77" i="1" s="1"/>
  <c r="AH42" i="1"/>
  <c r="AH61" i="1" s="1"/>
  <c r="AI25" i="1"/>
  <c r="AF64" i="1"/>
  <c r="T97" i="1"/>
  <c r="R55" i="1"/>
  <c r="R56" i="1" s="1"/>
  <c r="AH62" i="3" l="1"/>
  <c r="AH64" i="3" s="1"/>
  <c r="AH171" i="3"/>
  <c r="AH172" i="3" s="1"/>
  <c r="R150" i="3"/>
  <c r="R70" i="3"/>
  <c r="AI44" i="3"/>
  <c r="AI48" i="3" s="1"/>
  <c r="AI60" i="3"/>
  <c r="S141" i="3"/>
  <c r="S143" i="3" s="1"/>
  <c r="S51" i="3"/>
  <c r="S65" i="3" s="1"/>
  <c r="S66" i="3" s="1"/>
  <c r="AG64" i="3"/>
  <c r="T101" i="3"/>
  <c r="T99" i="3"/>
  <c r="T102" i="3" s="1"/>
  <c r="V91" i="3"/>
  <c r="V93" i="3" s="1"/>
  <c r="V90" i="3"/>
  <c r="AI42" i="3"/>
  <c r="AI61" i="3" s="1"/>
  <c r="AJ25" i="3"/>
  <c r="AJ19" i="3"/>
  <c r="AJ22" i="3" s="1"/>
  <c r="AL159" i="3"/>
  <c r="AI42" i="1"/>
  <c r="AI61" i="1" s="1"/>
  <c r="AJ25" i="1"/>
  <c r="AH171" i="1"/>
  <c r="AH172" i="1" s="1"/>
  <c r="V94" i="1"/>
  <c r="S141" i="1"/>
  <c r="S143" i="1" s="1"/>
  <c r="S51" i="1"/>
  <c r="S55" i="1" s="1"/>
  <c r="S56" i="1" s="1"/>
  <c r="AH60" i="1"/>
  <c r="AH62" i="1" s="1"/>
  <c r="AH44" i="1"/>
  <c r="AH48" i="1" s="1"/>
  <c r="AI19" i="1"/>
  <c r="AI22" i="1" s="1"/>
  <c r="R144" i="1"/>
  <c r="T101" i="1"/>
  <c r="T99" i="1"/>
  <c r="T102" i="1" s="1"/>
  <c r="R150" i="1"/>
  <c r="R70" i="1"/>
  <c r="AJ168" i="1"/>
  <c r="AK159" i="1"/>
  <c r="AG64" i="1"/>
  <c r="S55" i="3" l="1"/>
  <c r="S56" i="3" s="1"/>
  <c r="S144" i="3" s="1"/>
  <c r="AK19" i="3"/>
  <c r="AK22" i="3" s="1"/>
  <c r="AI62" i="3"/>
  <c r="AJ44" i="3"/>
  <c r="AJ48" i="3" s="1"/>
  <c r="AJ60" i="3"/>
  <c r="V94" i="3"/>
  <c r="AJ42" i="3"/>
  <c r="AJ61" i="3" s="1"/>
  <c r="AK25" i="3"/>
  <c r="T83" i="3"/>
  <c r="T84" i="3" s="1"/>
  <c r="T50" i="3"/>
  <c r="AM159" i="3"/>
  <c r="AI171" i="3"/>
  <c r="AI172" i="3" s="1"/>
  <c r="U97" i="3"/>
  <c r="S69" i="3"/>
  <c r="S76" i="3"/>
  <c r="S77" i="3" s="1"/>
  <c r="S144" i="1"/>
  <c r="AK168" i="1"/>
  <c r="AL159" i="1"/>
  <c r="AI44" i="1"/>
  <c r="AI48" i="1" s="1"/>
  <c r="AI60" i="1"/>
  <c r="AI62" i="1" s="1"/>
  <c r="W90" i="1"/>
  <c r="W91" i="1"/>
  <c r="W93" i="1" s="1"/>
  <c r="U97" i="1"/>
  <c r="AJ42" i="1"/>
  <c r="AJ61" i="1" s="1"/>
  <c r="AK25" i="1"/>
  <c r="S69" i="1"/>
  <c r="S76" i="1"/>
  <c r="S77" i="1" s="1"/>
  <c r="AJ19" i="1"/>
  <c r="AJ22" i="1" s="1"/>
  <c r="AH64" i="1"/>
  <c r="T83" i="1"/>
  <c r="T84" i="1" s="1"/>
  <c r="T50" i="1"/>
  <c r="S65" i="1"/>
  <c r="S66" i="1" s="1"/>
  <c r="AI171" i="1"/>
  <c r="AI172" i="1" s="1"/>
  <c r="AJ171" i="3" l="1"/>
  <c r="AJ172" i="3" s="1"/>
  <c r="S150" i="3"/>
  <c r="S70" i="3"/>
  <c r="AK42" i="3"/>
  <c r="AK61" i="3" s="1"/>
  <c r="AL25" i="3"/>
  <c r="AK171" i="3"/>
  <c r="AK172" i="3" s="1"/>
  <c r="AI64" i="3"/>
  <c r="AL19" i="3"/>
  <c r="AL22" i="3" s="1"/>
  <c r="W91" i="3"/>
  <c r="W93" i="3" s="1"/>
  <c r="W90" i="3"/>
  <c r="AK44" i="3"/>
  <c r="AK48" i="3" s="1"/>
  <c r="AK60" i="3"/>
  <c r="U101" i="3"/>
  <c r="U99" i="3"/>
  <c r="U102" i="3" s="1"/>
  <c r="AN159" i="3"/>
  <c r="AJ62" i="3"/>
  <c r="T141" i="3"/>
  <c r="T143" i="3" s="1"/>
  <c r="T51" i="3"/>
  <c r="W94" i="1"/>
  <c r="S150" i="1"/>
  <c r="S70" i="1"/>
  <c r="AI64" i="1"/>
  <c r="AK42" i="1"/>
  <c r="AK61" i="1" s="1"/>
  <c r="AL25" i="1"/>
  <c r="AJ171" i="1"/>
  <c r="AJ172" i="1" s="1"/>
  <c r="AM159" i="1"/>
  <c r="AL168" i="1"/>
  <c r="AK19" i="1"/>
  <c r="AK22" i="1" s="1"/>
  <c r="T141" i="1"/>
  <c r="T143" i="1" s="1"/>
  <c r="T51" i="1"/>
  <c r="T65" i="1" s="1"/>
  <c r="T66" i="1" s="1"/>
  <c r="AJ60" i="1"/>
  <c r="AJ62" i="1" s="1"/>
  <c r="AJ44" i="1"/>
  <c r="AJ48" i="1" s="1"/>
  <c r="U99" i="1"/>
  <c r="U102" i="1" s="1"/>
  <c r="U101" i="1"/>
  <c r="AK62" i="3" l="1"/>
  <c r="AK64" i="3" s="1"/>
  <c r="AL44" i="3"/>
  <c r="AL48" i="3" s="1"/>
  <c r="AL60" i="3"/>
  <c r="AO159" i="3"/>
  <c r="U83" i="3"/>
  <c r="U84" i="3" s="1"/>
  <c r="U50" i="3"/>
  <c r="V97" i="3"/>
  <c r="AM19" i="3"/>
  <c r="AM22" i="3" s="1"/>
  <c r="T69" i="3"/>
  <c r="T76" i="3"/>
  <c r="T77" i="3" s="1"/>
  <c r="AL42" i="3"/>
  <c r="AL61" i="3" s="1"/>
  <c r="AM25" i="3"/>
  <c r="AL171" i="3"/>
  <c r="AL172" i="3" s="1"/>
  <c r="T55" i="3"/>
  <c r="T56" i="3" s="1"/>
  <c r="T65" i="3"/>
  <c r="T66" i="3" s="1"/>
  <c r="W94" i="3"/>
  <c r="AJ64" i="3"/>
  <c r="T69" i="1"/>
  <c r="T76" i="1"/>
  <c r="T77" i="1" s="1"/>
  <c r="AL19" i="1"/>
  <c r="AL22" i="1" s="1"/>
  <c r="AK171" i="1"/>
  <c r="AK172" i="1" s="1"/>
  <c r="U83" i="1"/>
  <c r="U84" i="1" s="1"/>
  <c r="U50" i="1"/>
  <c r="AK60" i="1"/>
  <c r="AK62" i="1" s="1"/>
  <c r="AK44" i="1"/>
  <c r="AK48" i="1" s="1"/>
  <c r="AJ64" i="1"/>
  <c r="AN159" i="1"/>
  <c r="AM168" i="1"/>
  <c r="V97" i="1"/>
  <c r="T55" i="1"/>
  <c r="T56" i="1" s="1"/>
  <c r="AM25" i="1"/>
  <c r="AL42" i="1"/>
  <c r="AL61" i="1" s="1"/>
  <c r="X91" i="1"/>
  <c r="X93" i="1" s="1"/>
  <c r="X90" i="1"/>
  <c r="X94" i="1" l="1"/>
  <c r="T144" i="3"/>
  <c r="T150" i="3"/>
  <c r="T70" i="3"/>
  <c r="U141" i="3"/>
  <c r="U143" i="3" s="1"/>
  <c r="U51" i="3"/>
  <c r="U65" i="3" s="1"/>
  <c r="U66" i="3" s="1"/>
  <c r="AM44" i="3"/>
  <c r="AM48" i="3" s="1"/>
  <c r="AM60" i="3"/>
  <c r="AN25" i="3"/>
  <c r="AM42" i="3"/>
  <c r="AM61" i="3" s="1"/>
  <c r="AN19" i="3"/>
  <c r="AN22" i="3" s="1"/>
  <c r="AO19" i="3"/>
  <c r="AO22" i="3" s="1"/>
  <c r="V101" i="3"/>
  <c r="V99" i="3"/>
  <c r="V102" i="3" s="1"/>
  <c r="AL62" i="3"/>
  <c r="X90" i="3"/>
  <c r="X91" i="3"/>
  <c r="X93" i="3" s="1"/>
  <c r="T144" i="1"/>
  <c r="V101" i="1"/>
  <c r="V99" i="1"/>
  <c r="V102" i="1" s="1"/>
  <c r="AK64" i="1"/>
  <c r="T150" i="1"/>
  <c r="T70" i="1"/>
  <c r="Y91" i="1"/>
  <c r="Y90" i="1"/>
  <c r="U141" i="1"/>
  <c r="U143" i="1" s="1"/>
  <c r="U51" i="1"/>
  <c r="AM42" i="1"/>
  <c r="AM61" i="1" s="1"/>
  <c r="AN25" i="1"/>
  <c r="AO159" i="1"/>
  <c r="AO168" i="1" s="1"/>
  <c r="AN168" i="1"/>
  <c r="AM19" i="1"/>
  <c r="AM22" i="1" s="1"/>
  <c r="AL171" i="1"/>
  <c r="AL172" i="1" s="1"/>
  <c r="AL60" i="1"/>
  <c r="AL62" i="1" s="1"/>
  <c r="AL44" i="1"/>
  <c r="AL48" i="1" s="1"/>
  <c r="AM171" i="3" l="1"/>
  <c r="AM172" i="3" s="1"/>
  <c r="AN60" i="3"/>
  <c r="AN44" i="3"/>
  <c r="AN48" i="3" s="1"/>
  <c r="U69" i="3"/>
  <c r="U76" i="3"/>
  <c r="U77" i="3" s="1"/>
  <c r="U55" i="3"/>
  <c r="U56" i="3" s="1"/>
  <c r="V83" i="3"/>
  <c r="V84" i="3" s="1"/>
  <c r="V50" i="3"/>
  <c r="W97" i="3"/>
  <c r="AL64" i="3"/>
  <c r="AO60" i="3"/>
  <c r="AM62" i="3"/>
  <c r="X94" i="3"/>
  <c r="AN42" i="3"/>
  <c r="AN61" i="3" s="1"/>
  <c r="AO25" i="3"/>
  <c r="AO44" i="3" s="1"/>
  <c r="AO48" i="3" s="1"/>
  <c r="V83" i="1"/>
  <c r="V84" i="1" s="1"/>
  <c r="V50" i="1"/>
  <c r="U69" i="1"/>
  <c r="U76" i="1"/>
  <c r="U77" i="1" s="1"/>
  <c r="AO19" i="1"/>
  <c r="AO22" i="1" s="1"/>
  <c r="W97" i="1"/>
  <c r="U65" i="1"/>
  <c r="U66" i="1" s="1"/>
  <c r="AO25" i="1"/>
  <c r="AN42" i="1"/>
  <c r="AN61" i="1" s="1"/>
  <c r="Y92" i="1"/>
  <c r="Y49" i="1" s="1"/>
  <c r="Y140" i="1" s="1"/>
  <c r="AN19" i="1"/>
  <c r="AN22" i="1" s="1"/>
  <c r="AL64" i="1"/>
  <c r="AM171" i="1"/>
  <c r="AM172" i="1" s="1"/>
  <c r="AM44" i="1"/>
  <c r="AM48" i="1" s="1"/>
  <c r="AM60" i="1"/>
  <c r="AM62" i="1" s="1"/>
  <c r="U55" i="1"/>
  <c r="U56" i="1" s="1"/>
  <c r="V141" i="3" l="1"/>
  <c r="V143" i="3" s="1"/>
  <c r="V51" i="3"/>
  <c r="V65" i="3" s="1"/>
  <c r="V66" i="3" s="1"/>
  <c r="AM64" i="3"/>
  <c r="U144" i="3"/>
  <c r="Y90" i="3"/>
  <c r="Y91" i="3"/>
  <c r="U150" i="3"/>
  <c r="U70" i="3"/>
  <c r="AN62" i="3"/>
  <c r="AN171" i="3"/>
  <c r="AN172" i="3" s="1"/>
  <c r="AO42" i="3"/>
  <c r="AO61" i="3" s="1"/>
  <c r="AO62" i="3" s="1"/>
  <c r="AO171" i="3"/>
  <c r="AO172" i="3" s="1"/>
  <c r="W101" i="3"/>
  <c r="W99" i="3"/>
  <c r="W102" i="3" s="1"/>
  <c r="AO42" i="1"/>
  <c r="AO61" i="1" s="1"/>
  <c r="AN171" i="1"/>
  <c r="AN172" i="1" s="1"/>
  <c r="AO44" i="1"/>
  <c r="AO48" i="1" s="1"/>
  <c r="AO60" i="1"/>
  <c r="U144" i="1"/>
  <c r="Y93" i="1"/>
  <c r="Y94" i="1" s="1"/>
  <c r="U150" i="1"/>
  <c r="U70" i="1"/>
  <c r="V141" i="1"/>
  <c r="V143" i="1" s="1"/>
  <c r="V51" i="1"/>
  <c r="AM64" i="1"/>
  <c r="AN44" i="1"/>
  <c r="AN48" i="1" s="1"/>
  <c r="AN60" i="1"/>
  <c r="AN62" i="1" s="1"/>
  <c r="W101" i="1"/>
  <c r="W99" i="1"/>
  <c r="W102" i="1" s="1"/>
  <c r="AG120" i="3" l="1"/>
  <c r="AG121" i="3" s="1"/>
  <c r="AG122" i="3" s="1"/>
  <c r="AI120" i="3"/>
  <c r="AI121" i="3" s="1"/>
  <c r="AI122" i="3" s="1"/>
  <c r="AL120" i="3"/>
  <c r="AL121" i="3" s="1"/>
  <c r="AL122" i="3" s="1"/>
  <c r="AO120" i="3"/>
  <c r="AN120" i="3"/>
  <c r="AO64" i="3"/>
  <c r="K120" i="3"/>
  <c r="L120" i="3"/>
  <c r="M120" i="3"/>
  <c r="N120" i="3"/>
  <c r="P120" i="3"/>
  <c r="O120" i="3"/>
  <c r="Q120" i="3"/>
  <c r="S120" i="3"/>
  <c r="R120" i="3"/>
  <c r="T120" i="3"/>
  <c r="V120" i="3"/>
  <c r="U120" i="3"/>
  <c r="W120" i="3"/>
  <c r="X120" i="3"/>
  <c r="Y120" i="3"/>
  <c r="Z120" i="3"/>
  <c r="AB120" i="3"/>
  <c r="AA120" i="3"/>
  <c r="AC120" i="3"/>
  <c r="AD120" i="3"/>
  <c r="AE120" i="3"/>
  <c r="AF120" i="3"/>
  <c r="AM120" i="3"/>
  <c r="AN64" i="3"/>
  <c r="AJ120" i="3"/>
  <c r="V69" i="3"/>
  <c r="V76" i="3"/>
  <c r="V77" i="3" s="1"/>
  <c r="X97" i="3"/>
  <c r="V55" i="3"/>
  <c r="V56" i="3" s="1"/>
  <c r="Y92" i="3"/>
  <c r="Y49" i="3" s="1"/>
  <c r="Y140" i="3" s="1"/>
  <c r="W83" i="3"/>
  <c r="W84" i="3" s="1"/>
  <c r="W50" i="3"/>
  <c r="AK120" i="3"/>
  <c r="AH120" i="3"/>
  <c r="AO62" i="1"/>
  <c r="P120" i="1" s="1"/>
  <c r="AO120" i="1"/>
  <c r="K120" i="1"/>
  <c r="N120" i="1"/>
  <c r="O120" i="1"/>
  <c r="V120" i="1"/>
  <c r="W120" i="1"/>
  <c r="Y120" i="1"/>
  <c r="X120" i="1"/>
  <c r="Z120" i="1"/>
  <c r="AC120" i="1"/>
  <c r="AD120" i="1"/>
  <c r="V76" i="1"/>
  <c r="V77" i="1" s="1"/>
  <c r="V69" i="1"/>
  <c r="W83" i="1"/>
  <c r="W84" i="1" s="1"/>
  <c r="W50" i="1"/>
  <c r="V65" i="1"/>
  <c r="V66" i="1" s="1"/>
  <c r="AO171" i="1"/>
  <c r="AO172" i="1" s="1"/>
  <c r="X97" i="1"/>
  <c r="AI120" i="1"/>
  <c r="AM120" i="1"/>
  <c r="AN64" i="1"/>
  <c r="AK120" i="1"/>
  <c r="V55" i="1"/>
  <c r="V56" i="1" s="1"/>
  <c r="Z91" i="1"/>
  <c r="Z90" i="1"/>
  <c r="AI125" i="3" l="1"/>
  <c r="AI126" i="3" s="1"/>
  <c r="AG125" i="3"/>
  <c r="AG126" i="3" s="1"/>
  <c r="AL125" i="3"/>
  <c r="AL126" i="3" s="1"/>
  <c r="Y93" i="3"/>
  <c r="Y94" i="3" s="1"/>
  <c r="Z90" i="3" s="1"/>
  <c r="V144" i="3"/>
  <c r="AH121" i="3"/>
  <c r="AH122" i="3" s="1"/>
  <c r="AH125" i="3"/>
  <c r="AH126" i="3" s="1"/>
  <c r="AM121" i="3"/>
  <c r="AM122" i="3" s="1"/>
  <c r="AM125" i="3"/>
  <c r="AM126" i="3" s="1"/>
  <c r="Y121" i="3"/>
  <c r="Y122" i="3" s="1"/>
  <c r="Y125" i="3"/>
  <c r="Y126" i="3" s="1"/>
  <c r="Q121" i="3"/>
  <c r="Q122" i="3" s="1"/>
  <c r="Q125" i="3"/>
  <c r="Q126" i="3" s="1"/>
  <c r="AN121" i="3"/>
  <c r="AN122" i="3" s="1"/>
  <c r="AN125" i="3"/>
  <c r="AN126" i="3" s="1"/>
  <c r="AJ121" i="3"/>
  <c r="AJ122" i="3" s="1"/>
  <c r="AJ125" i="3"/>
  <c r="AJ126" i="3" s="1"/>
  <c r="AK121" i="3"/>
  <c r="AK122" i="3" s="1"/>
  <c r="AK125" i="3"/>
  <c r="AK126" i="3" s="1"/>
  <c r="X101" i="3"/>
  <c r="X99" i="3"/>
  <c r="X102" i="3" s="1"/>
  <c r="AF121" i="3"/>
  <c r="AF122" i="3" s="1"/>
  <c r="AF125" i="3"/>
  <c r="AF126" i="3" s="1"/>
  <c r="X121" i="3"/>
  <c r="X122" i="3" s="1"/>
  <c r="X125" i="3"/>
  <c r="X126" i="3" s="1"/>
  <c r="O121" i="3"/>
  <c r="O122" i="3" s="1"/>
  <c r="O125" i="3"/>
  <c r="O126" i="3" s="1"/>
  <c r="AO121" i="3"/>
  <c r="AO122" i="3" s="1"/>
  <c r="AO125" i="3"/>
  <c r="AO126" i="3" s="1"/>
  <c r="AE121" i="3"/>
  <c r="AE122" i="3" s="1"/>
  <c r="AE125" i="3"/>
  <c r="AE126" i="3" s="1"/>
  <c r="W121" i="3"/>
  <c r="W122" i="3" s="1"/>
  <c r="W125" i="3"/>
  <c r="W126" i="3" s="1"/>
  <c r="P121" i="3"/>
  <c r="P122" i="3" s="1"/>
  <c r="P125" i="3"/>
  <c r="P126" i="3" s="1"/>
  <c r="U121" i="3"/>
  <c r="U122" i="3" s="1"/>
  <c r="U125" i="3"/>
  <c r="U126" i="3" s="1"/>
  <c r="N121" i="3"/>
  <c r="N122" i="3" s="1"/>
  <c r="N125" i="3"/>
  <c r="N126" i="3" s="1"/>
  <c r="AC121" i="3"/>
  <c r="AC122" i="3" s="1"/>
  <c r="AC125" i="3"/>
  <c r="AC126" i="3" s="1"/>
  <c r="V121" i="3"/>
  <c r="V122" i="3" s="1"/>
  <c r="V125" i="3"/>
  <c r="V126" i="3" s="1"/>
  <c r="M121" i="3"/>
  <c r="M122" i="3" s="1"/>
  <c r="M125" i="3"/>
  <c r="M126" i="3" s="1"/>
  <c r="W141" i="3"/>
  <c r="W143" i="3" s="1"/>
  <c r="W51" i="3"/>
  <c r="W65" i="3" s="1"/>
  <c r="W66" i="3" s="1"/>
  <c r="AD121" i="3"/>
  <c r="AD122" i="3" s="1"/>
  <c r="AD125" i="3"/>
  <c r="AD126" i="3" s="1"/>
  <c r="V150" i="3"/>
  <c r="V70" i="3"/>
  <c r="AA121" i="3"/>
  <c r="AA122" i="3" s="1"/>
  <c r="AA125" i="3"/>
  <c r="AA126" i="3" s="1"/>
  <c r="T121" i="3"/>
  <c r="T122" i="3" s="1"/>
  <c r="T125" i="3"/>
  <c r="T126" i="3" s="1"/>
  <c r="L121" i="3"/>
  <c r="L122" i="3" s="1"/>
  <c r="L125" i="3"/>
  <c r="L126" i="3" s="1"/>
  <c r="R121" i="3"/>
  <c r="R122" i="3" s="1"/>
  <c r="R125" i="3"/>
  <c r="R126" i="3" s="1"/>
  <c r="AB121" i="3"/>
  <c r="AB122" i="3" s="1"/>
  <c r="AB125" i="3"/>
  <c r="AB126" i="3" s="1"/>
  <c r="K121" i="3"/>
  <c r="K122" i="3" s="1"/>
  <c r="K125" i="3"/>
  <c r="K126" i="3" s="1"/>
  <c r="Z121" i="3"/>
  <c r="Z122" i="3" s="1"/>
  <c r="Y6" i="3"/>
  <c r="Y8" i="3" s="1"/>
  <c r="Y46" i="3"/>
  <c r="Y63" i="3"/>
  <c r="Y64" i="3" s="1"/>
  <c r="Z125" i="3"/>
  <c r="Z126" i="3" s="1"/>
  <c r="S121" i="3"/>
  <c r="S122" i="3" s="1"/>
  <c r="S125" i="3"/>
  <c r="S126" i="3" s="1"/>
  <c r="T120" i="1"/>
  <c r="M120" i="1"/>
  <c r="M121" i="1" s="1"/>
  <c r="M122" i="1" s="1"/>
  <c r="S120" i="1"/>
  <c r="L120" i="1"/>
  <c r="AB120" i="1"/>
  <c r="AB121" i="1" s="1"/>
  <c r="AB122" i="1" s="1"/>
  <c r="Q120" i="1"/>
  <c r="Q121" i="1" s="1"/>
  <c r="Q122" i="1" s="1"/>
  <c r="AO64" i="1"/>
  <c r="AF120" i="1"/>
  <c r="AA120" i="1"/>
  <c r="AA121" i="1" s="1"/>
  <c r="AA122" i="1" s="1"/>
  <c r="R120" i="1"/>
  <c r="R125" i="1" s="1"/>
  <c r="R126" i="1" s="1"/>
  <c r="AN120" i="1"/>
  <c r="AL120" i="1"/>
  <c r="AE120" i="1"/>
  <c r="U120" i="1"/>
  <c r="U121" i="1" s="1"/>
  <c r="U122" i="1" s="1"/>
  <c r="AH120" i="1"/>
  <c r="AG120" i="1"/>
  <c r="AJ120" i="1"/>
  <c r="X121" i="1"/>
  <c r="X122" i="1" s="1"/>
  <c r="X125" i="1"/>
  <c r="X126" i="1" s="1"/>
  <c r="AB125" i="1"/>
  <c r="AB126" i="1" s="1"/>
  <c r="Q125" i="1"/>
  <c r="Q126" i="1" s="1"/>
  <c r="AK121" i="1"/>
  <c r="AK122" i="1" s="1"/>
  <c r="AK125" i="1"/>
  <c r="AK126" i="1" s="1"/>
  <c r="O121" i="1"/>
  <c r="O122" i="1" s="1"/>
  <c r="O125" i="1"/>
  <c r="O126" i="1" s="1"/>
  <c r="AO121" i="1"/>
  <c r="AO122" i="1" s="1"/>
  <c r="AO125" i="1"/>
  <c r="AO126" i="1" s="1"/>
  <c r="AI121" i="1"/>
  <c r="AI122" i="1" s="1"/>
  <c r="AI125" i="1"/>
  <c r="AI126" i="1" s="1"/>
  <c r="AA125" i="1"/>
  <c r="AA126" i="1" s="1"/>
  <c r="AN121" i="1"/>
  <c r="AN122" i="1" s="1"/>
  <c r="AN125" i="1"/>
  <c r="AN126" i="1" s="1"/>
  <c r="L121" i="1"/>
  <c r="L122" i="1" s="1"/>
  <c r="L125" i="1"/>
  <c r="L126" i="1" s="1"/>
  <c r="Y121" i="1"/>
  <c r="Y122" i="1" s="1"/>
  <c r="Y125" i="1"/>
  <c r="Y126" i="1" s="1"/>
  <c r="Z92" i="1"/>
  <c r="Z49" i="1" s="1"/>
  <c r="AD121" i="1"/>
  <c r="AD122" i="1" s="1"/>
  <c r="AD125" i="1"/>
  <c r="AD126" i="1" s="1"/>
  <c r="W121" i="1"/>
  <c r="W122" i="1" s="1"/>
  <c r="W125" i="1"/>
  <c r="W126" i="1" s="1"/>
  <c r="N121" i="1"/>
  <c r="N122" i="1" s="1"/>
  <c r="N125" i="1"/>
  <c r="N126" i="1" s="1"/>
  <c r="X101" i="1"/>
  <c r="X99" i="1"/>
  <c r="X102" i="1" s="1"/>
  <c r="AE121" i="1"/>
  <c r="AE122" i="1" s="1"/>
  <c r="AE125" i="1"/>
  <c r="AE126" i="1" s="1"/>
  <c r="P121" i="1"/>
  <c r="P122" i="1" s="1"/>
  <c r="P125" i="1"/>
  <c r="P126" i="1" s="1"/>
  <c r="S121" i="1"/>
  <c r="S122" i="1" s="1"/>
  <c r="S125" i="1"/>
  <c r="S126" i="1" s="1"/>
  <c r="AM121" i="1"/>
  <c r="AM122" i="1" s="1"/>
  <c r="AM125" i="1"/>
  <c r="AM126" i="1" s="1"/>
  <c r="V150" i="1"/>
  <c r="V70" i="1"/>
  <c r="AC121" i="1"/>
  <c r="AC122" i="1" s="1"/>
  <c r="AC125" i="1"/>
  <c r="AC126" i="1" s="1"/>
  <c r="V121" i="1"/>
  <c r="V122" i="1" s="1"/>
  <c r="V125" i="1"/>
  <c r="V126" i="1" s="1"/>
  <c r="K121" i="1"/>
  <c r="K122" i="1" s="1"/>
  <c r="K125" i="1"/>
  <c r="K126" i="1" s="1"/>
  <c r="W141" i="1"/>
  <c r="W143" i="1" s="1"/>
  <c r="W51" i="1"/>
  <c r="AL121" i="1"/>
  <c r="AL122" i="1" s="1"/>
  <c r="AL125" i="1"/>
  <c r="AL126" i="1" s="1"/>
  <c r="V144" i="1"/>
  <c r="AF121" i="1"/>
  <c r="AF122" i="1" s="1"/>
  <c r="AF125" i="1"/>
  <c r="AF126" i="1" s="1"/>
  <c r="Z121" i="1"/>
  <c r="Z122" i="1" s="1"/>
  <c r="Y6" i="1"/>
  <c r="Y8" i="1" s="1"/>
  <c r="Y46" i="1"/>
  <c r="Z125" i="1"/>
  <c r="Z126" i="1" s="1"/>
  <c r="Y63" i="1"/>
  <c r="Y64" i="1" s="1"/>
  <c r="T121" i="1"/>
  <c r="T122" i="1" s="1"/>
  <c r="T125" i="1"/>
  <c r="T126" i="1" s="1"/>
  <c r="M125" i="1"/>
  <c r="M126" i="1" s="1"/>
  <c r="W55" i="3" l="1"/>
  <c r="W56" i="3" s="1"/>
  <c r="W144" i="3" s="1"/>
  <c r="Z91" i="3"/>
  <c r="W76" i="3"/>
  <c r="W77" i="3" s="1"/>
  <c r="W69" i="3"/>
  <c r="Z92" i="3"/>
  <c r="Z49" i="3" s="1"/>
  <c r="Y134" i="3"/>
  <c r="Y9" i="3"/>
  <c r="Z9" i="3" s="1"/>
  <c r="Y48" i="3"/>
  <c r="Z8" i="3"/>
  <c r="AD6" i="3"/>
  <c r="X83" i="3"/>
  <c r="X84" i="3" s="1"/>
  <c r="X50" i="3"/>
  <c r="Y97" i="3"/>
  <c r="R121" i="1"/>
  <c r="R122" i="1" s="1"/>
  <c r="U125" i="1"/>
  <c r="U126" i="1" s="1"/>
  <c r="AG121" i="1"/>
  <c r="AG122" i="1" s="1"/>
  <c r="AG125" i="1"/>
  <c r="AG126" i="1" s="1"/>
  <c r="AH121" i="1"/>
  <c r="AH122" i="1" s="1"/>
  <c r="AH125" i="1"/>
  <c r="AH126" i="1" s="1"/>
  <c r="AJ121" i="1"/>
  <c r="AJ122" i="1" s="1"/>
  <c r="AJ125" i="1"/>
  <c r="AJ126" i="1" s="1"/>
  <c r="Y134" i="1"/>
  <c r="Y9" i="1"/>
  <c r="Z9" i="1" s="1"/>
  <c r="Y48" i="1"/>
  <c r="Z8" i="1"/>
  <c r="AD6" i="1"/>
  <c r="X83" i="1"/>
  <c r="X84" i="1" s="1"/>
  <c r="X50" i="1"/>
  <c r="Y97" i="1"/>
  <c r="Z140" i="1"/>
  <c r="W69" i="1"/>
  <c r="W76" i="1"/>
  <c r="W77" i="1" s="1"/>
  <c r="W65" i="1"/>
  <c r="W66" i="1" s="1"/>
  <c r="Z93" i="1"/>
  <c r="Z94" i="1" s="1"/>
  <c r="W55" i="1"/>
  <c r="W56" i="1" s="1"/>
  <c r="Z93" i="3" l="1"/>
  <c r="Z94" i="3" s="1"/>
  <c r="AA90" i="3" s="1"/>
  <c r="X141" i="3"/>
  <c r="X143" i="3" s="1"/>
  <c r="X51" i="3"/>
  <c r="X55" i="3" s="1"/>
  <c r="X56" i="3" s="1"/>
  <c r="W150" i="3"/>
  <c r="W70" i="3"/>
  <c r="Y101" i="3"/>
  <c r="Y99" i="3"/>
  <c r="Y102" i="3" s="1"/>
  <c r="Z140" i="3"/>
  <c r="X141" i="1"/>
  <c r="X143" i="1" s="1"/>
  <c r="X51" i="1"/>
  <c r="W150" i="1"/>
  <c r="W70" i="1"/>
  <c r="AA90" i="1"/>
  <c r="AA91" i="1"/>
  <c r="AA93" i="1" s="1"/>
  <c r="W144" i="1"/>
  <c r="Y99" i="1"/>
  <c r="Y102" i="1" s="1"/>
  <c r="Y101" i="1"/>
  <c r="AA91" i="3" l="1"/>
  <c r="AA93" i="3" s="1"/>
  <c r="AA94" i="3" s="1"/>
  <c r="X65" i="3"/>
  <c r="X66" i="3" s="1"/>
  <c r="X144" i="3"/>
  <c r="Y50" i="3"/>
  <c r="Y83" i="3"/>
  <c r="Y84" i="3" s="1"/>
  <c r="X76" i="3"/>
  <c r="X77" i="3" s="1"/>
  <c r="X69" i="3"/>
  <c r="Z97" i="3"/>
  <c r="X76" i="1"/>
  <c r="X77" i="1" s="1"/>
  <c r="X69" i="1"/>
  <c r="X65" i="1"/>
  <c r="X66" i="1" s="1"/>
  <c r="AA94" i="1"/>
  <c r="X55" i="1"/>
  <c r="X56" i="1" s="1"/>
  <c r="Y83" i="1"/>
  <c r="Y84" i="1" s="1"/>
  <c r="Y50" i="1"/>
  <c r="Z97" i="1"/>
  <c r="X150" i="3" l="1"/>
  <c r="X70" i="3"/>
  <c r="Y141" i="3"/>
  <c r="Y143" i="3" s="1"/>
  <c r="Y51" i="3"/>
  <c r="AB90" i="3"/>
  <c r="AB91" i="3"/>
  <c r="AB93" i="3" s="1"/>
  <c r="Z101" i="3"/>
  <c r="Z99" i="3"/>
  <c r="Z102" i="3" s="1"/>
  <c r="Y141" i="1"/>
  <c r="Y143" i="1" s="1"/>
  <c r="Y51" i="1"/>
  <c r="Z101" i="1"/>
  <c r="Z99" i="1"/>
  <c r="Z102" i="1" s="1"/>
  <c r="X150" i="1"/>
  <c r="X70" i="1"/>
  <c r="X144" i="1"/>
  <c r="AB91" i="1"/>
  <c r="AB93" i="1" s="1"/>
  <c r="AB90" i="1"/>
  <c r="Y55" i="3" l="1"/>
  <c r="Y56" i="3" s="1"/>
  <c r="Y65" i="3"/>
  <c r="Y66" i="3" s="1"/>
  <c r="Z83" i="3"/>
  <c r="Z84" i="3" s="1"/>
  <c r="Z50" i="3"/>
  <c r="AB94" i="3"/>
  <c r="AA97" i="3"/>
  <c r="AB94" i="1"/>
  <c r="AC90" i="1" s="1"/>
  <c r="AA97" i="1"/>
  <c r="Y65" i="1"/>
  <c r="Y66" i="1" s="1"/>
  <c r="Z83" i="1"/>
  <c r="Z84" i="1" s="1"/>
  <c r="Z50" i="1"/>
  <c r="Y55" i="1"/>
  <c r="Y56" i="1" s="1"/>
  <c r="Y69" i="1" s="1"/>
  <c r="AA101" i="3" l="1"/>
  <c r="AA99" i="3"/>
  <c r="AA102" i="3" s="1"/>
  <c r="Y144" i="3"/>
  <c r="Z141" i="3"/>
  <c r="Z143" i="3" s="1"/>
  <c r="Z51" i="3"/>
  <c r="Z55" i="3" s="1"/>
  <c r="Z56" i="3" s="1"/>
  <c r="Y69" i="3"/>
  <c r="AC90" i="3"/>
  <c r="AC91" i="3"/>
  <c r="AC93" i="3" s="1"/>
  <c r="Y76" i="3"/>
  <c r="AC91" i="1"/>
  <c r="AC93" i="1" s="1"/>
  <c r="AC94" i="1" s="1"/>
  <c r="Y76" i="1"/>
  <c r="Y144" i="1"/>
  <c r="Y150" i="1"/>
  <c r="Y70" i="1"/>
  <c r="J5" i="1"/>
  <c r="I73" i="1"/>
  <c r="I71" i="1"/>
  <c r="J7" i="1" s="1"/>
  <c r="I72" i="1"/>
  <c r="J6" i="1" s="1"/>
  <c r="AA101" i="1"/>
  <c r="AA99" i="1"/>
  <c r="AA102" i="1" s="1"/>
  <c r="Z141" i="1"/>
  <c r="Z143" i="1" s="1"/>
  <c r="Z51" i="1"/>
  <c r="Z65" i="1" s="1"/>
  <c r="Z66" i="1" s="1"/>
  <c r="Z144" i="3" l="1"/>
  <c r="Z65" i="3"/>
  <c r="Z66" i="3" s="1"/>
  <c r="Y77" i="3"/>
  <c r="I79" i="3"/>
  <c r="I78" i="3"/>
  <c r="J8" i="3" s="1"/>
  <c r="I80" i="3"/>
  <c r="AC94" i="3"/>
  <c r="AA83" i="3"/>
  <c r="AA84" i="3" s="1"/>
  <c r="AA50" i="3"/>
  <c r="Y150" i="3"/>
  <c r="Y70" i="3"/>
  <c r="I73" i="3"/>
  <c r="J5" i="3"/>
  <c r="I71" i="3"/>
  <c r="J7" i="3" s="1"/>
  <c r="I72" i="3"/>
  <c r="J6" i="3" s="1"/>
  <c r="AB97" i="3"/>
  <c r="Z55" i="1"/>
  <c r="Z56" i="1" s="1"/>
  <c r="Z144" i="1" s="1"/>
  <c r="AD91" i="1"/>
  <c r="AD93" i="1" s="1"/>
  <c r="AD90" i="1"/>
  <c r="AA50" i="1"/>
  <c r="AA83" i="1"/>
  <c r="AA84" i="1" s="1"/>
  <c r="AB97" i="1"/>
  <c r="Y77" i="1"/>
  <c r="I79" i="1"/>
  <c r="I80" i="1"/>
  <c r="I78" i="1"/>
  <c r="J8" i="1" s="1"/>
  <c r="AD91" i="3" l="1"/>
  <c r="AD93" i="3" s="1"/>
  <c r="AD90" i="3"/>
  <c r="AA141" i="3"/>
  <c r="AA143" i="3" s="1"/>
  <c r="AA51" i="3"/>
  <c r="AA55" i="3" s="1"/>
  <c r="AA56" i="3" s="1"/>
  <c r="AB101" i="3"/>
  <c r="AB99" i="3"/>
  <c r="AB102" i="3" s="1"/>
  <c r="AD94" i="1"/>
  <c r="AE90" i="1" s="1"/>
  <c r="AB101" i="1"/>
  <c r="AB99" i="1"/>
  <c r="AB102" i="1" s="1"/>
  <c r="AA141" i="1"/>
  <c r="AA143" i="1" s="1"/>
  <c r="AA51" i="1"/>
  <c r="AA55" i="1" s="1"/>
  <c r="AA56" i="1" s="1"/>
  <c r="AE91" i="1" l="1"/>
  <c r="AE92" i="1" s="1"/>
  <c r="AE49" i="1" s="1"/>
  <c r="AD94" i="3"/>
  <c r="AA144" i="3"/>
  <c r="AC97" i="3"/>
  <c r="AA65" i="3"/>
  <c r="AA66" i="3" s="1"/>
  <c r="AE91" i="3"/>
  <c r="AE90" i="3"/>
  <c r="AB83" i="3"/>
  <c r="AB84" i="3" s="1"/>
  <c r="AB50" i="3"/>
  <c r="AA65" i="1"/>
  <c r="AA66" i="1" s="1"/>
  <c r="AA144" i="1"/>
  <c r="AB83" i="1"/>
  <c r="AB84" i="1" s="1"/>
  <c r="AB50" i="1"/>
  <c r="AC97" i="1"/>
  <c r="AE92" i="3" l="1"/>
  <c r="AE49" i="3" s="1"/>
  <c r="AC101" i="3"/>
  <c r="AC99" i="3"/>
  <c r="AC102" i="3" s="1"/>
  <c r="AB141" i="3"/>
  <c r="AB143" i="3" s="1"/>
  <c r="AB51" i="3"/>
  <c r="AB65" i="3" s="1"/>
  <c r="AB66" i="3" s="1"/>
  <c r="AB141" i="1"/>
  <c r="AB143" i="1" s="1"/>
  <c r="AB51" i="1"/>
  <c r="AB65" i="1" s="1"/>
  <c r="AB66" i="1" s="1"/>
  <c r="AE140" i="1"/>
  <c r="AE93" i="1"/>
  <c r="AE94" i="1" s="1"/>
  <c r="AC101" i="1"/>
  <c r="AC99" i="1"/>
  <c r="AC102" i="1" s="1"/>
  <c r="AE93" i="3" l="1"/>
  <c r="AE94" i="3" s="1"/>
  <c r="AF90" i="3" s="1"/>
  <c r="AB55" i="3"/>
  <c r="AB56" i="3" s="1"/>
  <c r="AB144" i="3" s="1"/>
  <c r="AC83" i="3"/>
  <c r="AC84" i="3" s="1"/>
  <c r="AC50" i="3"/>
  <c r="AD97" i="3"/>
  <c r="AE140" i="3"/>
  <c r="AC83" i="1"/>
  <c r="AC84" i="1" s="1"/>
  <c r="AC50" i="1"/>
  <c r="AB55" i="1"/>
  <c r="AB56" i="1" s="1"/>
  <c r="AD97" i="1"/>
  <c r="AF91" i="1"/>
  <c r="AF93" i="1" s="1"/>
  <c r="AF90" i="1"/>
  <c r="AF91" i="3" l="1"/>
  <c r="AF93" i="3" s="1"/>
  <c r="AF94" i="3" s="1"/>
  <c r="AD101" i="3"/>
  <c r="AD99" i="3"/>
  <c r="AD102" i="3" s="1"/>
  <c r="AC141" i="3"/>
  <c r="AC143" i="3" s="1"/>
  <c r="AC51" i="3"/>
  <c r="AC55" i="3" s="1"/>
  <c r="AC56" i="3" s="1"/>
  <c r="AD101" i="1"/>
  <c r="AD99" i="1"/>
  <c r="AD102" i="1" s="1"/>
  <c r="AB144" i="1"/>
  <c r="AC141" i="1"/>
  <c r="AC143" i="1" s="1"/>
  <c r="AC51" i="1"/>
  <c r="AC55" i="1" s="1"/>
  <c r="AC56" i="1" s="1"/>
  <c r="AF94" i="1"/>
  <c r="AC144" i="3" l="1"/>
  <c r="AD83" i="3"/>
  <c r="AD84" i="3" s="1"/>
  <c r="AD50" i="3"/>
  <c r="AG90" i="3"/>
  <c r="AG91" i="3"/>
  <c r="AG93" i="3" s="1"/>
  <c r="AC65" i="3"/>
  <c r="AC66" i="3" s="1"/>
  <c r="AE97" i="3"/>
  <c r="AC144" i="1"/>
  <c r="AC65" i="1"/>
  <c r="AC66" i="1" s="1"/>
  <c r="AD83" i="1"/>
  <c r="AD84" i="1" s="1"/>
  <c r="AD50" i="1"/>
  <c r="AG90" i="1"/>
  <c r="AG91" i="1"/>
  <c r="AG93" i="1" s="1"/>
  <c r="AE97" i="1"/>
  <c r="AE101" i="3" l="1"/>
  <c r="AE99" i="3"/>
  <c r="AG94" i="3"/>
  <c r="AD141" i="3"/>
  <c r="AD143" i="3" s="1"/>
  <c r="AD51" i="3"/>
  <c r="AD65" i="3" s="1"/>
  <c r="AD66" i="3" s="1"/>
  <c r="AG94" i="1"/>
  <c r="AH91" i="1" s="1"/>
  <c r="AH93" i="1" s="1"/>
  <c r="AH90" i="1"/>
  <c r="AD141" i="1"/>
  <c r="AD143" i="1" s="1"/>
  <c r="AD51" i="1"/>
  <c r="AD55" i="1" s="1"/>
  <c r="AD56" i="1" s="1"/>
  <c r="AE101" i="1"/>
  <c r="AE99" i="1"/>
  <c r="AH94" i="1" l="1"/>
  <c r="AD55" i="3"/>
  <c r="AD56" i="3" s="1"/>
  <c r="AH90" i="3"/>
  <c r="AH91" i="3"/>
  <c r="AH93" i="3" s="1"/>
  <c r="AD4" i="3"/>
  <c r="AE102" i="3"/>
  <c r="AF97" i="3"/>
  <c r="AD144" i="1"/>
  <c r="AD4" i="1"/>
  <c r="AE102" i="1"/>
  <c r="AI90" i="1"/>
  <c r="AI91" i="1"/>
  <c r="AI93" i="1" s="1"/>
  <c r="AF97" i="1"/>
  <c r="AD65" i="1"/>
  <c r="AD66" i="1" s="1"/>
  <c r="AH94" i="3" l="1"/>
  <c r="AF101" i="3"/>
  <c r="AF99" i="3"/>
  <c r="AF102" i="3" s="1"/>
  <c r="AI90" i="3"/>
  <c r="AI91" i="3"/>
  <c r="AI93" i="3" s="1"/>
  <c r="AE83" i="3"/>
  <c r="AE50" i="3"/>
  <c r="AD144" i="3"/>
  <c r="AF101" i="1"/>
  <c r="AF99" i="1"/>
  <c r="AF102" i="1" s="1"/>
  <c r="AI94" i="1"/>
  <c r="AE83" i="1"/>
  <c r="AE50" i="1"/>
  <c r="AE84" i="3" l="1"/>
  <c r="I86" i="3"/>
  <c r="I85" i="3"/>
  <c r="AI94" i="3"/>
  <c r="AF83" i="3"/>
  <c r="AF84" i="3" s="1"/>
  <c r="AF50" i="3"/>
  <c r="AE141" i="3"/>
  <c r="AE143" i="3" s="1"/>
  <c r="AE51" i="3"/>
  <c r="AE55" i="3" s="1"/>
  <c r="AE56" i="3" s="1"/>
  <c r="AG97" i="3"/>
  <c r="AF83" i="1"/>
  <c r="AF84" i="1" s="1"/>
  <c r="AF50" i="1"/>
  <c r="AE141" i="1"/>
  <c r="AE143" i="1" s="1"/>
  <c r="AE51" i="1"/>
  <c r="AE55" i="1" s="1"/>
  <c r="AE56" i="1" s="1"/>
  <c r="AE84" i="1"/>
  <c r="I86" i="1"/>
  <c r="I85" i="1"/>
  <c r="AJ91" i="1"/>
  <c r="AJ90" i="1"/>
  <c r="AG97" i="1"/>
  <c r="AE144" i="3" l="1"/>
  <c r="AJ90" i="3"/>
  <c r="AJ91" i="3"/>
  <c r="AF51" i="3"/>
  <c r="AF65" i="3" s="1"/>
  <c r="AG101" i="3"/>
  <c r="AG99" i="3"/>
  <c r="AG102" i="3" s="1"/>
  <c r="AE65" i="3"/>
  <c r="AE66" i="3" s="1"/>
  <c r="AE65" i="1"/>
  <c r="AE66" i="1" s="1"/>
  <c r="AE144" i="1"/>
  <c r="AG101" i="1"/>
  <c r="AG99" i="1"/>
  <c r="AG102" i="1" s="1"/>
  <c r="AJ92" i="1"/>
  <c r="AJ49" i="1" s="1"/>
  <c r="AF51" i="1"/>
  <c r="AF65" i="1" s="1"/>
  <c r="AF66" i="1" s="1"/>
  <c r="AF55" i="3" l="1"/>
  <c r="AF56" i="3" s="1"/>
  <c r="AJ92" i="3"/>
  <c r="AJ49" i="3" s="1"/>
  <c r="AF66" i="3"/>
  <c r="AH97" i="3"/>
  <c r="AG83" i="3"/>
  <c r="AG84" i="3" s="1"/>
  <c r="AG50" i="3"/>
  <c r="AF55" i="1"/>
  <c r="AF56" i="1" s="1"/>
  <c r="AJ93" i="1"/>
  <c r="AJ94" i="1" s="1"/>
  <c r="AK90" i="1" s="1"/>
  <c r="AG83" i="1"/>
  <c r="AG84" i="1" s="1"/>
  <c r="AG50" i="1"/>
  <c r="AH97" i="1"/>
  <c r="AK91" i="1" l="1"/>
  <c r="AK93" i="1" s="1"/>
  <c r="AH101" i="3"/>
  <c r="AH99" i="3"/>
  <c r="AH102" i="3" s="1"/>
  <c r="AJ93" i="3"/>
  <c r="AJ94" i="3" s="1"/>
  <c r="AG51" i="3"/>
  <c r="AG55" i="3" s="1"/>
  <c r="AG56" i="3" s="1"/>
  <c r="AG51" i="1"/>
  <c r="AG55" i="1" s="1"/>
  <c r="AG56" i="1" s="1"/>
  <c r="AH99" i="1"/>
  <c r="AH102" i="1" s="1"/>
  <c r="AH101" i="1"/>
  <c r="AK94" i="1"/>
  <c r="AG65" i="3" l="1"/>
  <c r="AG66" i="3" s="1"/>
  <c r="AK90" i="3"/>
  <c r="AK91" i="3"/>
  <c r="AK93" i="3" s="1"/>
  <c r="AH83" i="3"/>
  <c r="AH84" i="3" s="1"/>
  <c r="AH50" i="3"/>
  <c r="AI97" i="3"/>
  <c r="AL91" i="1"/>
  <c r="AL93" i="1" s="1"/>
  <c r="AL90" i="1"/>
  <c r="AI97" i="1"/>
  <c r="AH83" i="1"/>
  <c r="AH84" i="1" s="1"/>
  <c r="AH50" i="1"/>
  <c r="AG65" i="1"/>
  <c r="AG66" i="1" s="1"/>
  <c r="AI101" i="3" l="1"/>
  <c r="AI99" i="3"/>
  <c r="AI102" i="3" s="1"/>
  <c r="AH51" i="3"/>
  <c r="AH55" i="3" s="1"/>
  <c r="AH56" i="3" s="1"/>
  <c r="AK94" i="3"/>
  <c r="AH51" i="1"/>
  <c r="AH55" i="1" s="1"/>
  <c r="AH56" i="1" s="1"/>
  <c r="AI101" i="1"/>
  <c r="AI99" i="1"/>
  <c r="AI102" i="1" s="1"/>
  <c r="AL94" i="1"/>
  <c r="AH65" i="3" l="1"/>
  <c r="AH66" i="3" s="1"/>
  <c r="AI83" i="3"/>
  <c r="AI84" i="3" s="1"/>
  <c r="AI50" i="3"/>
  <c r="AL91" i="3"/>
  <c r="AL93" i="3" s="1"/>
  <c r="AL90" i="3"/>
  <c r="AJ97" i="3"/>
  <c r="AH65" i="1"/>
  <c r="AH66" i="1" s="1"/>
  <c r="AI83" i="1"/>
  <c r="AI84" i="1" s="1"/>
  <c r="AI50" i="1"/>
  <c r="AM90" i="1"/>
  <c r="AM91" i="1"/>
  <c r="AM93" i="1" s="1"/>
  <c r="AJ97" i="1"/>
  <c r="AJ101" i="3" l="1"/>
  <c r="AJ99" i="3"/>
  <c r="AJ102" i="3" s="1"/>
  <c r="AI51" i="3"/>
  <c r="AI65" i="3" s="1"/>
  <c r="AI66" i="3" s="1"/>
  <c r="AL94" i="3"/>
  <c r="AJ101" i="1"/>
  <c r="AJ99" i="1"/>
  <c r="AJ102" i="1" s="1"/>
  <c r="AM94" i="1"/>
  <c r="AI51" i="1"/>
  <c r="AI55" i="1" s="1"/>
  <c r="AI56" i="1" s="1"/>
  <c r="AI55" i="3" l="1"/>
  <c r="AI56" i="3" s="1"/>
  <c r="AM91" i="3"/>
  <c r="AM93" i="3" s="1"/>
  <c r="AM90" i="3"/>
  <c r="AJ83" i="3"/>
  <c r="AJ84" i="3" s="1"/>
  <c r="AJ50" i="3"/>
  <c r="AK97" i="3"/>
  <c r="AI65" i="1"/>
  <c r="AI66" i="1" s="1"/>
  <c r="AJ83" i="1"/>
  <c r="AJ84" i="1" s="1"/>
  <c r="AJ50" i="1"/>
  <c r="AN91" i="1"/>
  <c r="AN93" i="1" s="1"/>
  <c r="AN90" i="1"/>
  <c r="AK97" i="1"/>
  <c r="AM94" i="3" l="1"/>
  <c r="AN90" i="3" s="1"/>
  <c r="AK101" i="3"/>
  <c r="AK99" i="3"/>
  <c r="AK102" i="3" s="1"/>
  <c r="AJ51" i="3"/>
  <c r="AJ55" i="3" s="1"/>
  <c r="AJ56" i="3" s="1"/>
  <c r="AN94" i="1"/>
  <c r="AO90" i="1" s="1"/>
  <c r="AK101" i="1"/>
  <c r="AK99" i="1"/>
  <c r="AK102" i="1" s="1"/>
  <c r="AJ51" i="1"/>
  <c r="AJ55" i="1" s="1"/>
  <c r="AJ56" i="1" s="1"/>
  <c r="AN91" i="3" l="1"/>
  <c r="AN93" i="3" s="1"/>
  <c r="AO91" i="1"/>
  <c r="AN94" i="3"/>
  <c r="AJ65" i="3"/>
  <c r="AJ66" i="3" s="1"/>
  <c r="AK83" i="3"/>
  <c r="AK84" i="3" s="1"/>
  <c r="AK50" i="3"/>
  <c r="AL97" i="3"/>
  <c r="AJ65" i="1"/>
  <c r="AJ66" i="1" s="1"/>
  <c r="AK83" i="1"/>
  <c r="AK84" i="1" s="1"/>
  <c r="AK50" i="1"/>
  <c r="AO92" i="1"/>
  <c r="AO49" i="1" s="1"/>
  <c r="AL97" i="1"/>
  <c r="AL101" i="3" l="1"/>
  <c r="AL99" i="3"/>
  <c r="AL102" i="3" s="1"/>
  <c r="AK51" i="3"/>
  <c r="AK65" i="3" s="1"/>
  <c r="AK66" i="3" s="1"/>
  <c r="AO90" i="3"/>
  <c r="AO91" i="3"/>
  <c r="AO93" i="1"/>
  <c r="AO94" i="1" s="1"/>
  <c r="AL101" i="1"/>
  <c r="AL99" i="1"/>
  <c r="AL102" i="1" s="1"/>
  <c r="AK51" i="1"/>
  <c r="AK55" i="1" s="1"/>
  <c r="AK56" i="1" s="1"/>
  <c r="AK55" i="3" l="1"/>
  <c r="AK56" i="3" s="1"/>
  <c r="AL83" i="3"/>
  <c r="AL84" i="3" s="1"/>
  <c r="AL50" i="3"/>
  <c r="AO92" i="3"/>
  <c r="AO49" i="3" s="1"/>
  <c r="AM97" i="3"/>
  <c r="AK65" i="1"/>
  <c r="AK66" i="1" s="1"/>
  <c r="AM97" i="1"/>
  <c r="AL83" i="1"/>
  <c r="AL84" i="1" s="1"/>
  <c r="AL50" i="1"/>
  <c r="AL51" i="3" l="1"/>
  <c r="AL55" i="3" s="1"/>
  <c r="AL56" i="3" s="1"/>
  <c r="AO93" i="3"/>
  <c r="AO94" i="3" s="1"/>
  <c r="AM101" i="3"/>
  <c r="AM99" i="3"/>
  <c r="AM102" i="3" s="1"/>
  <c r="AL51" i="1"/>
  <c r="AL55" i="1" s="1"/>
  <c r="AL56" i="1" s="1"/>
  <c r="AM101" i="1"/>
  <c r="AM99" i="1"/>
  <c r="AM102" i="1" s="1"/>
  <c r="AL65" i="3" l="1"/>
  <c r="AL66" i="3" s="1"/>
  <c r="AM83" i="3"/>
  <c r="AM84" i="3" s="1"/>
  <c r="AM50" i="3"/>
  <c r="AN97" i="3"/>
  <c r="AN97" i="1"/>
  <c r="AM83" i="1"/>
  <c r="AM84" i="1" s="1"/>
  <c r="AM50" i="1"/>
  <c r="AL65" i="1"/>
  <c r="AL66" i="1" s="1"/>
  <c r="AM51" i="3" l="1"/>
  <c r="AM55" i="3" s="1"/>
  <c r="AM56" i="3" s="1"/>
  <c r="AN99" i="3"/>
  <c r="AN102" i="3" s="1"/>
  <c r="AN101" i="3"/>
  <c r="AM51" i="1"/>
  <c r="AM55" i="1" s="1"/>
  <c r="AM56" i="1" s="1"/>
  <c r="AN101" i="1"/>
  <c r="AN99" i="1"/>
  <c r="AN102" i="1" s="1"/>
  <c r="AM65" i="3" l="1"/>
  <c r="AM66" i="3" s="1"/>
  <c r="AN83" i="3"/>
  <c r="AN84" i="3" s="1"/>
  <c r="AN50" i="3"/>
  <c r="AO97" i="3"/>
  <c r="AN83" i="1"/>
  <c r="AN84" i="1" s="1"/>
  <c r="AN50" i="1"/>
  <c r="AO97" i="1"/>
  <c r="AM65" i="1"/>
  <c r="AM66" i="1" s="1"/>
  <c r="AO101" i="3" l="1"/>
  <c r="AO99" i="3"/>
  <c r="AO102" i="3" s="1"/>
  <c r="AN51" i="3"/>
  <c r="AN55" i="3" s="1"/>
  <c r="AN56" i="3" s="1"/>
  <c r="AO99" i="1"/>
  <c r="AO102" i="1" s="1"/>
  <c r="AO101" i="1"/>
  <c r="AN51" i="1"/>
  <c r="AN55" i="1" s="1"/>
  <c r="AN56" i="1" s="1"/>
  <c r="AO83" i="3" l="1"/>
  <c r="AO84" i="3" s="1"/>
  <c r="AO50" i="3"/>
  <c r="AN65" i="3"/>
  <c r="AN66" i="3" s="1"/>
  <c r="AN65" i="1"/>
  <c r="AN66" i="1" s="1"/>
  <c r="AO83" i="1"/>
  <c r="AO84" i="1" s="1"/>
  <c r="AO50" i="1"/>
  <c r="AO51" i="3" l="1"/>
  <c r="AO65" i="3" s="1"/>
  <c r="AO66" i="3" s="1"/>
  <c r="AO51" i="1"/>
  <c r="AO65" i="1" s="1"/>
  <c r="AO66" i="1" s="1"/>
  <c r="AO55" i="1"/>
  <c r="AO56" i="1" s="1"/>
  <c r="E28" i="1" s="1"/>
  <c r="AO55" i="3" l="1"/>
  <c r="AO56" i="3" s="1"/>
  <c r="E2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tc={08ADEA2C-D2FB-4702-926C-E08B103EEA20}</author>
  </authors>
  <commentList>
    <comment ref="G19" authorId="0" shapeId="0" xr:uid="{08ADEA2C-D2FB-4702-926C-E08B103EEA20}">
      <text>
        <t>[Threaded comment]
Your version of Excel allows you to read this threaded comment; however, any edits to it will get removed if the file is opened in a newer version of Excel. Learn more: https://go.microsoft.com/fwlink/?linkid=870924
Comment:
    Scenario Choice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tc={32EAF49A-B2F8-452F-A6AA-B2C3EA9AEB0C}</author>
  </authors>
  <commentList>
    <comment ref="G19" authorId="0" shapeId="0" xr:uid="{32EAF49A-B2F8-452F-A6AA-B2C3EA9AEB0C}">
      <text>
        <t>[Threaded comment]
Your version of Excel allows you to read this threaded comment; however, any edits to it will get removed if the file is opened in a newer version of Excel. Learn more: https://go.microsoft.com/fwlink/?linkid=870924
Comment:
    Scenario Choice</t>
      </text>
    </comment>
  </commentList>
</comments>
</file>

<file path=xl/sharedStrings.xml><?xml version="1.0" encoding="utf-8"?>
<sst xmlns="http://schemas.openxmlformats.org/spreadsheetml/2006/main" count="646" uniqueCount="244">
  <si>
    <t>Maine Mountain Collaborative | Exempleary Forest Investment Fund</t>
  </si>
  <si>
    <t>Summary</t>
  </si>
  <si>
    <t>Sources &amp; Uses of Capital</t>
  </si>
  <si>
    <t>Revenue</t>
  </si>
  <si>
    <t>Real</t>
  </si>
  <si>
    <t>Nominal</t>
  </si>
  <si>
    <t>Disposition</t>
  </si>
  <si>
    <t>Financing Costs</t>
  </si>
  <si>
    <t>Investor Hold Period</t>
  </si>
  <si>
    <t>Market Price Per Acre</t>
  </si>
  <si>
    <t>Wt. Average Carbon Price (Holding Prd.)</t>
  </si>
  <si>
    <t>Market Value at Disposition</t>
  </si>
  <si>
    <t>Total Debt Funding</t>
  </si>
  <si>
    <t>Illustrative Model</t>
  </si>
  <si>
    <t>Total Equity Required</t>
  </si>
  <si>
    <r>
      <t xml:space="preserve">   - </t>
    </r>
    <r>
      <rPr>
        <i/>
        <sz val="10"/>
        <color rgb="FF000000"/>
        <rFont val="Arial"/>
        <family val="2"/>
      </rPr>
      <t>Less: Philanthropic Support</t>
    </r>
  </si>
  <si>
    <t>Total Carbon Revenue (Per Acre)</t>
  </si>
  <si>
    <t>Total Interest Paid</t>
  </si>
  <si>
    <t>Prepared By:</t>
  </si>
  <si>
    <t>Quantified Ventures</t>
  </si>
  <si>
    <t xml:space="preserve">  - Whole Dollar Profit</t>
  </si>
  <si>
    <t xml:space="preserve">  - Less: Concessionary PRI Debt</t>
  </si>
  <si>
    <t>Total Timber Revenue (Per Acre)</t>
  </si>
  <si>
    <t>Encumbered Value Per Acre</t>
  </si>
  <si>
    <t xml:space="preserve">  - Multiple on Invested Capital</t>
  </si>
  <si>
    <t xml:space="preserve">  - Plus: Transactions Costs</t>
  </si>
  <si>
    <t>Total Recreation Revenue (Per Acre)</t>
  </si>
  <si>
    <t>DCF of Remaining Term (Per Acre)</t>
  </si>
  <si>
    <t xml:space="preserve">CAGR on Dispostion </t>
  </si>
  <si>
    <t>Note: Mess with this model to assess an individual property!</t>
  </si>
  <si>
    <t>Holding Period Nominal IRR</t>
  </si>
  <si>
    <t>Total Acquisition Price Per Acre</t>
  </si>
  <si>
    <t>Total Expenses (Per Acre)</t>
  </si>
  <si>
    <r>
      <t xml:space="preserve">   - </t>
    </r>
    <r>
      <rPr>
        <i/>
        <sz val="10"/>
        <color rgb="FF000000"/>
        <rFont val="Arial"/>
        <family val="2"/>
      </rPr>
      <t>Discount Rate</t>
    </r>
  </si>
  <si>
    <t>Holding period Real IRR</t>
  </si>
  <si>
    <t>Net Operating Cash Flows</t>
  </si>
  <si>
    <t>Real Disposition Per Acre (Mid-Point)</t>
  </si>
  <si>
    <t>Nominal Disposition per acre</t>
  </si>
  <si>
    <t xml:space="preserve">Acquisition </t>
  </si>
  <si>
    <t>Acquisition</t>
  </si>
  <si>
    <t>Total Acres</t>
  </si>
  <si>
    <t>Total Acquisition Cost</t>
  </si>
  <si>
    <t>Price Per Acre</t>
  </si>
  <si>
    <t>Initial GTV</t>
  </si>
  <si>
    <t>Conservation</t>
  </si>
  <si>
    <t>Purchase Price as % of GTV</t>
  </si>
  <si>
    <t>Conservation Easement Sale</t>
  </si>
  <si>
    <t>Closing Costs %</t>
  </si>
  <si>
    <t xml:space="preserve">Previous Easement Sale Contribution </t>
  </si>
  <si>
    <t>Working Capital %</t>
  </si>
  <si>
    <t>Gross Revenue Projections</t>
  </si>
  <si>
    <t>Acquisition/Deve Fee %</t>
  </si>
  <si>
    <t>Timber</t>
  </si>
  <si>
    <t>All-In Acquisition Costs</t>
  </si>
  <si>
    <t>Carbon</t>
  </si>
  <si>
    <t>All-in Per Acre</t>
  </si>
  <si>
    <t>Recreation</t>
  </si>
  <si>
    <t>Real and Nominal Price Changes</t>
  </si>
  <si>
    <t>Gross Income</t>
  </si>
  <si>
    <t xml:space="preserve">Inflation </t>
  </si>
  <si>
    <t>Per year</t>
  </si>
  <si>
    <t>Real Expense Growth</t>
  </si>
  <si>
    <t>Property Expenses</t>
  </si>
  <si>
    <t>Real Price Increases</t>
  </si>
  <si>
    <t>per year</t>
  </si>
  <si>
    <t>Sources for Aquisition (Capital Stack %)</t>
  </si>
  <si>
    <t>Min Cash on hand:</t>
  </si>
  <si>
    <t>Debt/Loan</t>
  </si>
  <si>
    <t>PRI Preferred Equity</t>
  </si>
  <si>
    <t>Equity</t>
  </si>
  <si>
    <t>Philanthropic Easement</t>
  </si>
  <si>
    <t>Previous Easement Sale (second purchase)</t>
  </si>
  <si>
    <t>Harvest Commission</t>
  </si>
  <si>
    <t>Total and Math Check</t>
  </si>
  <si>
    <t>Forest Inputs</t>
  </si>
  <si>
    <t>Easement Value</t>
  </si>
  <si>
    <t>Encumbered Value of Original price</t>
  </si>
  <si>
    <t>Post Easement Value Per Acre</t>
  </si>
  <si>
    <t>Philanthopic Contribution %</t>
  </si>
  <si>
    <t>Easement Year</t>
  </si>
  <si>
    <t>Amount of Easement $ to Equity</t>
  </si>
  <si>
    <t>Amount of Easement $ to Debt</t>
  </si>
  <si>
    <t>Amount of Easement $ to Cash/DSCR</t>
  </si>
  <si>
    <t>Amount of Easement $ to Future Property</t>
  </si>
  <si>
    <t>Gross expneses</t>
  </si>
  <si>
    <t>Operating Expenses</t>
  </si>
  <si>
    <t>Cost</t>
  </si>
  <si>
    <t>Unit</t>
  </si>
  <si>
    <t>Freq.</t>
  </si>
  <si>
    <t>Unlevered Cash Flow</t>
  </si>
  <si>
    <t>Property Management</t>
  </si>
  <si>
    <t>per acre</t>
  </si>
  <si>
    <t>annual</t>
  </si>
  <si>
    <t>Road Costs</t>
  </si>
  <si>
    <t>Property &amp; Excise Tax</t>
  </si>
  <si>
    <t>Other Admin</t>
  </si>
  <si>
    <t>Net Unlevered Cash Flow</t>
  </si>
  <si>
    <t>Other 1</t>
  </si>
  <si>
    <t>LESS: PRI</t>
  </si>
  <si>
    <t>Other 2</t>
  </si>
  <si>
    <t>LESS: Debt</t>
  </si>
  <si>
    <t>Other 3</t>
  </si>
  <si>
    <t>LESS: Cash Sweep</t>
  </si>
  <si>
    <t>at harvest</t>
  </si>
  <si>
    <t>LESS: Management Fees</t>
  </si>
  <si>
    <t xml:space="preserve">LESS: PMT to Future Acquisition </t>
  </si>
  <si>
    <t>Pre-Commercial Thinning</t>
  </si>
  <si>
    <t>Net Levered Cash Flow</t>
  </si>
  <si>
    <t>Timber Stand Improvement</t>
  </si>
  <si>
    <t>Cash Balance</t>
  </si>
  <si>
    <t>Herbicide</t>
  </si>
  <si>
    <t>Pruning</t>
  </si>
  <si>
    <t>Inflation Adjustment</t>
  </si>
  <si>
    <t>Planted Trees</t>
  </si>
  <si>
    <t>Inlfation Factor</t>
  </si>
  <si>
    <t>Planting Costs</t>
  </si>
  <si>
    <t>per tree</t>
  </si>
  <si>
    <t>Real  Gross Income</t>
  </si>
  <si>
    <t>Real  Gross Expenses</t>
  </si>
  <si>
    <t xml:space="preserve">Equity </t>
  </si>
  <si>
    <t>Real Unlevered Cash Flow</t>
  </si>
  <si>
    <t>Cash Sweep to Equity</t>
  </si>
  <si>
    <t>Net Real Unlevered Cash Flow</t>
  </si>
  <si>
    <t>Debt Terms</t>
  </si>
  <si>
    <t>Net Real Levered Cash Flow</t>
  </si>
  <si>
    <t>Principal Amount</t>
  </si>
  <si>
    <t>CE Bridge Portion</t>
  </si>
  <si>
    <t>I/O Period (Years)</t>
  </si>
  <si>
    <t>Equity (Nominal Return)</t>
  </si>
  <si>
    <t>Rate</t>
  </si>
  <si>
    <t>Cash Flows to Equity</t>
  </si>
  <si>
    <t>Term (Years)</t>
  </si>
  <si>
    <t>Amort (Years)</t>
  </si>
  <si>
    <t>IRR</t>
  </si>
  <si>
    <t>Origination Fee</t>
  </si>
  <si>
    <t>Eq. Multiple</t>
  </si>
  <si>
    <t>NPV @ 5%</t>
  </si>
  <si>
    <t>Preferred Equity Terms</t>
  </si>
  <si>
    <t>Equity (Real Return)</t>
  </si>
  <si>
    <t>Accrued Preferred</t>
  </si>
  <si>
    <t>Investment Management</t>
  </si>
  <si>
    <t>Management Fee on Equity</t>
  </si>
  <si>
    <t>2% inflation</t>
  </si>
  <si>
    <t xml:space="preserve">Fee on Assets Under Management </t>
  </si>
  <si>
    <t>0% inflation</t>
  </si>
  <si>
    <t>Development Fee</t>
  </si>
  <si>
    <t>Carried Interest (Over 0%)</t>
  </si>
  <si>
    <t>20 / 80</t>
  </si>
  <si>
    <t>Debt</t>
  </si>
  <si>
    <t>Cash Flows to Debt</t>
  </si>
  <si>
    <t>Year</t>
  </si>
  <si>
    <t>Market Appreciation</t>
  </si>
  <si>
    <t>Discount off Fee (% of total value)</t>
  </si>
  <si>
    <t>TCV (Appraisal Estimate)</t>
  </si>
  <si>
    <t>10 Yr NPV Rate</t>
  </si>
  <si>
    <t>Financing / Disposition</t>
  </si>
  <si>
    <t>Cost of Sale (%)</t>
  </si>
  <si>
    <t>PRI Financing</t>
  </si>
  <si>
    <t>Earned Preferred</t>
  </si>
  <si>
    <t>Paid Preferreed</t>
  </si>
  <si>
    <t xml:space="preserve">Acres under Carbon Manamgnet </t>
  </si>
  <si>
    <t>Ending Balance</t>
  </si>
  <si>
    <t>Debt Financing</t>
  </si>
  <si>
    <t>Beg Balance</t>
  </si>
  <si>
    <t>Principal</t>
  </si>
  <si>
    <t>Interest</t>
  </si>
  <si>
    <t>PMT from CE Sale</t>
  </si>
  <si>
    <t>End Balance</t>
  </si>
  <si>
    <t>Total Payment</t>
  </si>
  <si>
    <t>Management Fees</t>
  </si>
  <si>
    <t>AUM Fee</t>
  </si>
  <si>
    <t>Equity Fee</t>
  </si>
  <si>
    <t>Terminal Land Values</t>
  </si>
  <si>
    <t>Method 1: Discount off Market Value (asuming 6% annual appreciation)</t>
  </si>
  <si>
    <t>Market Value of Fee (/acre)</t>
  </si>
  <si>
    <t>Discount off Fee (/acre)</t>
  </si>
  <si>
    <t>Gross Disposition Price (/acre)</t>
  </si>
  <si>
    <t>Less: Cost of Sale (/are)</t>
  </si>
  <si>
    <t>Total Net Disposition</t>
  </si>
  <si>
    <t>Avereage per acre</t>
  </si>
  <si>
    <t>Deviation from encumbered Value</t>
  </si>
  <si>
    <t>Method 2: Sum of the Discounted Future Timber Cash Flows</t>
  </si>
  <si>
    <t>PV of Future CF</t>
  </si>
  <si>
    <t>Method 3: Median of 1 and 2</t>
  </si>
  <si>
    <t>Median Per Acre</t>
  </si>
  <si>
    <t>Deviation from Curent Value</t>
  </si>
  <si>
    <t>Presentation Model</t>
  </si>
  <si>
    <t xml:space="preserve">  Less: Conservation</t>
  </si>
  <si>
    <t xml:space="preserve">  Less: PRI</t>
  </si>
  <si>
    <t xml:space="preserve">  Less: Debt</t>
  </si>
  <si>
    <t xml:space="preserve"> </t>
  </si>
  <si>
    <t>Income</t>
  </si>
  <si>
    <t>Expenses</t>
  </si>
  <si>
    <t>PRI</t>
  </si>
  <si>
    <t>Debt Servce</t>
  </si>
  <si>
    <t>Net Cash Flow</t>
  </si>
  <si>
    <t>Free Cash Flow to Equity</t>
  </si>
  <si>
    <t>Cabon Modelling</t>
  </si>
  <si>
    <t>Base Case</t>
  </si>
  <si>
    <t>Growth of Carbon Pricing</t>
  </si>
  <si>
    <t>Credit Production</t>
  </si>
  <si>
    <t>$ Per Credit</t>
  </si>
  <si>
    <t>Project Expense</t>
  </si>
  <si>
    <t>Upside (2.0x Carbon Price Growth )</t>
  </si>
  <si>
    <t>Downside (.75x Carbon Price Growth)</t>
  </si>
  <si>
    <t>Per Acre Revenue (Pulled from Advanced Model)</t>
  </si>
  <si>
    <t>Net Carbon</t>
  </si>
  <si>
    <t>Total Expenses Per Acre</t>
  </si>
  <si>
    <t>Net</t>
  </si>
  <si>
    <t>Per Acre Revenue (For Holding Period)</t>
  </si>
  <si>
    <t>timber</t>
  </si>
  <si>
    <t>carbon</t>
  </si>
  <si>
    <t>rec</t>
  </si>
  <si>
    <t>Total</t>
  </si>
  <si>
    <t>transaction costs</t>
  </si>
  <si>
    <t>total</t>
  </si>
  <si>
    <t>per ha</t>
  </si>
  <si>
    <t>ha</t>
  </si>
  <si>
    <t>per ha per year</t>
  </si>
  <si>
    <t>weighted average C price</t>
  </si>
  <si>
    <t>total C revenue</t>
  </si>
  <si>
    <t>total per acre</t>
  </si>
  <si>
    <t>total per ha</t>
  </si>
  <si>
    <t>total revenue</t>
  </si>
  <si>
    <t>Total Hectares</t>
  </si>
  <si>
    <t>per hectare</t>
  </si>
  <si>
    <t>All-in Per hectare</t>
  </si>
  <si>
    <t>Price Per Hectare</t>
  </si>
  <si>
    <t>Post Easement Value Per Hectare</t>
  </si>
  <si>
    <t>net revenue</t>
  </si>
  <si>
    <t>Market Value of Fee (/ha)</t>
  </si>
  <si>
    <t>Discount off Fee (/ha)</t>
  </si>
  <si>
    <t>Gross Disposition Price (/ha)</t>
  </si>
  <si>
    <t>Less: Cost of Sale (/ha)</t>
  </si>
  <si>
    <t>Avereage per ha</t>
  </si>
  <si>
    <t>Total Expenses</t>
  </si>
  <si>
    <t>Per Hectare Revenue (For Holding Period)</t>
  </si>
  <si>
    <t>Total Expenses Per hectare</t>
  </si>
  <si>
    <t>Gross expenses</t>
  </si>
  <si>
    <t>Credit Production per ha</t>
  </si>
  <si>
    <t>Maine Mountain Collaborative | Exemplary Forest Investment Fund</t>
  </si>
  <si>
    <t xml:space="preserve">Acres under Carbon Management </t>
  </si>
  <si>
    <t>Per Hectare Revenue, based on per-acre revenues pulled from Advanced Model (Supplementary Materials D; see Table W1 for timber revenue and W12 for non-timber revenue)</t>
  </si>
  <si>
    <t>Per Acre Revenue, pulled from Advanced Model (Supplementary Materials D; see Table W1 for timber revenue and W12 for non-timber revenue)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</si>
</sst>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#\ &quot;Years&quot;"/>
    <numFmt numFmtId="165" formatCode="0.00&quot; /mtCo2&quot;"/>
    <numFmt numFmtId="166" formatCode="_(* #,##0_);_(* \(#,##0\);_(* &quot;-&quot;??_);_(@_)"/>
    <numFmt numFmtId="167" formatCode="0.0%"/>
    <numFmt numFmtId="168" formatCode="&quot;Year&quot;\ #"/>
    <numFmt numFmtId="169" formatCode="_(* #,##0.0000_);_(* \(#,##0.0000\);_(* &quot;-&quot;??_);_(@_)"/>
  </numFmts>
  <fonts count="18" x14ac:knownFonts="1">
    <font>
      <sz val="10"/>
      <color rgb="FF000000"/>
      <name val="Arial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B0F0"/>
      <name val="Arial"/>
      <family val="2"/>
    </font>
    <font>
      <b/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4" tint="-0.499984740745262"/>
      <name val="Arial"/>
      <family val="2"/>
    </font>
    <font>
      <sz val="1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i/>
      <sz val="10"/>
      <color rgb="FF000000"/>
      <name val="Arial"/>
      <family val="2"/>
    </font>
    <font>
      <i/>
      <sz val="10"/>
      <color theme="4" tint="-0.499984740745262"/>
      <name val="Arial"/>
      <family val="2"/>
    </font>
    <font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3588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3" fillId="3" borderId="0" xfId="0" applyFont="1" applyFill="1"/>
    <xf numFmtId="164" fontId="0" fillId="3" borderId="0" xfId="0" applyNumberFormat="1" applyFill="1"/>
    <xf numFmtId="43" fontId="0" fillId="3" borderId="0" xfId="1" applyFont="1" applyFill="1" applyAlignment="1"/>
    <xf numFmtId="165" fontId="0" fillId="3" borderId="0" xfId="1" applyNumberFormat="1" applyFont="1" applyFill="1" applyAlignment="1"/>
    <xf numFmtId="166" fontId="0" fillId="3" borderId="0" xfId="1" applyNumberFormat="1" applyFont="1" applyFill="1" applyAlignment="1"/>
    <xf numFmtId="166" fontId="0" fillId="3" borderId="0" xfId="0" applyNumberFormat="1" applyFill="1"/>
    <xf numFmtId="0" fontId="4" fillId="3" borderId="1" xfId="0" applyFont="1" applyFill="1" applyBorder="1"/>
    <xf numFmtId="0" fontId="0" fillId="3" borderId="1" xfId="0" applyFill="1" applyBorder="1"/>
    <xf numFmtId="166" fontId="0" fillId="0" borderId="0" xfId="0" applyNumberFormat="1"/>
    <xf numFmtId="0" fontId="5" fillId="3" borderId="0" xfId="0" applyFont="1" applyFill="1"/>
    <xf numFmtId="0" fontId="6" fillId="3" borderId="0" xfId="0" applyFont="1" applyFill="1"/>
    <xf numFmtId="0" fontId="4" fillId="3" borderId="0" xfId="0" applyFont="1" applyFill="1"/>
    <xf numFmtId="43" fontId="0" fillId="3" borderId="0" xfId="0" applyNumberFormat="1" applyFill="1"/>
    <xf numFmtId="0" fontId="7" fillId="3" borderId="0" xfId="0" applyFont="1" applyFill="1"/>
    <xf numFmtId="166" fontId="7" fillId="3" borderId="0" xfId="1" applyNumberFormat="1" applyFont="1" applyFill="1" applyAlignment="1"/>
    <xf numFmtId="10" fontId="0" fillId="3" borderId="0" xfId="2" applyNumberFormat="1" applyFont="1" applyFill="1" applyAlignment="1"/>
    <xf numFmtId="0" fontId="9" fillId="3" borderId="0" xfId="0" applyFont="1" applyFill="1"/>
    <xf numFmtId="10" fontId="9" fillId="3" borderId="0" xfId="0" applyNumberFormat="1" applyFont="1" applyFill="1"/>
    <xf numFmtId="43" fontId="9" fillId="3" borderId="0" xfId="1" applyFont="1" applyFill="1" applyAlignment="1"/>
    <xf numFmtId="10" fontId="3" fillId="3" borderId="0" xfId="2" applyNumberFormat="1" applyFont="1" applyFill="1" applyAlignment="1"/>
    <xf numFmtId="8" fontId="0" fillId="0" borderId="0" xfId="0" applyNumberFormat="1"/>
    <xf numFmtId="43" fontId="9" fillId="3" borderId="0" xfId="0" applyNumberFormat="1" applyFont="1" applyFill="1"/>
    <xf numFmtId="10" fontId="0" fillId="0" borderId="0" xfId="2" applyNumberFormat="1" applyFont="1" applyAlignment="1"/>
    <xf numFmtId="43" fontId="0" fillId="0" borderId="0" xfId="1" applyFont="1" applyAlignment="1"/>
    <xf numFmtId="167" fontId="0" fillId="0" borderId="0" xfId="2" applyNumberFormat="1" applyFont="1"/>
    <xf numFmtId="0" fontId="0" fillId="2" borderId="0" xfId="0" applyFill="1"/>
    <xf numFmtId="0" fontId="10" fillId="2" borderId="0" xfId="0" applyFont="1" applyFill="1"/>
    <xf numFmtId="1" fontId="2" fillId="2" borderId="0" xfId="1" applyNumberFormat="1" applyFont="1" applyFill="1" applyAlignment="1"/>
    <xf numFmtId="168" fontId="2" fillId="2" borderId="0" xfId="0" applyNumberFormat="1" applyFont="1" applyFill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0" fillId="0" borderId="3" xfId="0" applyBorder="1"/>
    <xf numFmtId="166" fontId="0" fillId="0" borderId="3" xfId="0" applyNumberFormat="1" applyBorder="1" applyAlignment="1">
      <alignment horizontal="center"/>
    </xf>
    <xf numFmtId="43" fontId="11" fillId="0" borderId="2" xfId="1" applyFont="1" applyBorder="1" applyAlignment="1"/>
    <xf numFmtId="0" fontId="0" fillId="4" borderId="2" xfId="0" applyFill="1" applyBorder="1"/>
    <xf numFmtId="0" fontId="9" fillId="0" borderId="0" xfId="0" applyFont="1"/>
    <xf numFmtId="166" fontId="0" fillId="0" borderId="3" xfId="1" applyNumberFormat="1" applyFont="1" applyBorder="1" applyAlignment="1"/>
    <xf numFmtId="10" fontId="11" fillId="0" borderId="2" xfId="0" applyNumberFormat="1" applyFont="1" applyBorder="1"/>
    <xf numFmtId="166" fontId="0" fillId="0" borderId="2" xfId="1" applyNumberFormat="1" applyFont="1" applyBorder="1" applyAlignment="1"/>
    <xf numFmtId="0" fontId="3" fillId="0" borderId="4" xfId="0" applyFont="1" applyBorder="1"/>
    <xf numFmtId="10" fontId="11" fillId="0" borderId="4" xfId="0" applyNumberFormat="1" applyFont="1" applyBorder="1"/>
    <xf numFmtId="166" fontId="0" fillId="0" borderId="4" xfId="1" applyNumberFormat="1" applyFont="1" applyBorder="1" applyAlignment="1"/>
    <xf numFmtId="0" fontId="0" fillId="0" borderId="4" xfId="0" applyBorder="1"/>
    <xf numFmtId="166" fontId="0" fillId="3" borderId="3" xfId="1" applyNumberFormat="1" applyFont="1" applyFill="1" applyBorder="1" applyAlignment="1"/>
    <xf numFmtId="0" fontId="9" fillId="0" borderId="5" xfId="0" applyFont="1" applyBorder="1"/>
    <xf numFmtId="0" fontId="9" fillId="0" borderId="6" xfId="0" applyFont="1" applyBorder="1"/>
    <xf numFmtId="166" fontId="9" fillId="0" borderId="6" xfId="1" applyNumberFormat="1" applyFont="1" applyBorder="1" applyAlignment="1"/>
    <xf numFmtId="9" fontId="0" fillId="0" borderId="7" xfId="2" applyFont="1" applyBorder="1" applyAlignment="1"/>
    <xf numFmtId="0" fontId="11" fillId="0" borderId="3" xfId="0" applyFont="1" applyBorder="1"/>
    <xf numFmtId="0" fontId="3" fillId="0" borderId="8" xfId="0" applyFont="1" applyBorder="1"/>
    <xf numFmtId="0" fontId="0" fillId="0" borderId="8" xfId="0" applyBorder="1"/>
    <xf numFmtId="43" fontId="0" fillId="0" borderId="8" xfId="1" applyFont="1" applyBorder="1" applyAlignment="1"/>
    <xf numFmtId="0" fontId="3" fillId="0" borderId="0" xfId="0" applyFont="1"/>
    <xf numFmtId="43" fontId="0" fillId="0" borderId="0" xfId="1" applyFont="1" applyBorder="1" applyAlignment="1"/>
    <xf numFmtId="0" fontId="0" fillId="0" borderId="6" xfId="0" applyBorder="1"/>
    <xf numFmtId="166" fontId="0" fillId="0" borderId="6" xfId="0" applyNumberFormat="1" applyBorder="1"/>
    <xf numFmtId="9" fontId="3" fillId="5" borderId="2" xfId="2" applyFont="1" applyFill="1" applyBorder="1" applyAlignment="1"/>
    <xf numFmtId="0" fontId="4" fillId="0" borderId="3" xfId="0" applyFont="1" applyBorder="1"/>
    <xf numFmtId="10" fontId="11" fillId="0" borderId="3" xfId="2" applyNumberFormat="1" applyFont="1" applyBorder="1" applyAlignment="1"/>
    <xf numFmtId="9" fontId="4" fillId="5" borderId="3" xfId="2" applyFont="1" applyFill="1" applyBorder="1" applyAlignment="1"/>
    <xf numFmtId="0" fontId="3" fillId="2" borderId="0" xfId="0" applyFont="1" applyFill="1"/>
    <xf numFmtId="10" fontId="12" fillId="0" borderId="2" xfId="0" applyNumberFormat="1" applyFont="1" applyBorder="1"/>
    <xf numFmtId="166" fontId="0" fillId="0" borderId="2" xfId="0" applyNumberFormat="1" applyBorder="1"/>
    <xf numFmtId="10" fontId="0" fillId="0" borderId="2" xfId="2" applyNumberFormat="1" applyFont="1" applyBorder="1" applyAlignment="1"/>
    <xf numFmtId="0" fontId="3" fillId="0" borderId="9" xfId="0" applyFont="1" applyBorder="1"/>
    <xf numFmtId="10" fontId="12" fillId="0" borderId="9" xfId="0" applyNumberFormat="1" applyFont="1" applyBorder="1"/>
    <xf numFmtId="43" fontId="11" fillId="0" borderId="9" xfId="1" applyFont="1" applyBorder="1" applyAlignment="1"/>
    <xf numFmtId="166" fontId="0" fillId="0" borderId="9" xfId="0" applyNumberFormat="1" applyBorder="1"/>
    <xf numFmtId="9" fontId="12" fillId="0" borderId="8" xfId="2" applyFont="1" applyBorder="1" applyAlignment="1"/>
    <xf numFmtId="166" fontId="12" fillId="0" borderId="8" xfId="0" applyNumberFormat="1" applyFont="1" applyBorder="1"/>
    <xf numFmtId="166" fontId="0" fillId="0" borderId="8" xfId="0" applyNumberFormat="1" applyBorder="1"/>
    <xf numFmtId="166" fontId="12" fillId="0" borderId="0" xfId="0" applyNumberFormat="1" applyFont="1"/>
    <xf numFmtId="9" fontId="7" fillId="0" borderId="2" xfId="2" applyFont="1" applyBorder="1" applyAlignment="1"/>
    <xf numFmtId="9" fontId="11" fillId="0" borderId="2" xfId="2" applyFont="1" applyBorder="1" applyAlignment="1"/>
    <xf numFmtId="10" fontId="3" fillId="0" borderId="2" xfId="0" applyNumberFormat="1" applyFont="1" applyBorder="1"/>
    <xf numFmtId="166" fontId="3" fillId="0" borderId="2" xfId="0" applyNumberFormat="1" applyFont="1" applyBorder="1"/>
    <xf numFmtId="0" fontId="10" fillId="2" borderId="0" xfId="0" applyFont="1" applyFill="1" applyAlignment="1">
      <alignment horizontal="right"/>
    </xf>
    <xf numFmtId="0" fontId="9" fillId="0" borderId="10" xfId="0" applyFont="1" applyBorder="1"/>
    <xf numFmtId="0" fontId="0" fillId="0" borderId="10" xfId="0" applyBorder="1"/>
    <xf numFmtId="166" fontId="0" fillId="0" borderId="10" xfId="0" applyNumberFormat="1" applyBorder="1"/>
    <xf numFmtId="0" fontId="11" fillId="0" borderId="2" xfId="0" applyFont="1" applyBorder="1" applyAlignment="1">
      <alignment horizontal="right"/>
    </xf>
    <xf numFmtId="0" fontId="9" fillId="0" borderId="2" xfId="0" applyFont="1" applyBorder="1"/>
    <xf numFmtId="0" fontId="9" fillId="0" borderId="9" xfId="0" applyFont="1" applyBorder="1"/>
    <xf numFmtId="0" fontId="0" fillId="0" borderId="9" xfId="0" applyBorder="1"/>
    <xf numFmtId="10" fontId="0" fillId="0" borderId="9" xfId="0" applyNumberFormat="1" applyBorder="1"/>
    <xf numFmtId="0" fontId="0" fillId="0" borderId="11" xfId="0" applyBorder="1"/>
    <xf numFmtId="10" fontId="3" fillId="0" borderId="11" xfId="0" applyNumberFormat="1" applyFont="1" applyBorder="1"/>
    <xf numFmtId="166" fontId="0" fillId="0" borderId="11" xfId="0" applyNumberFormat="1" applyBorder="1"/>
    <xf numFmtId="166" fontId="0" fillId="0" borderId="11" xfId="1" applyNumberFormat="1" applyFont="1" applyBorder="1" applyAlignment="1"/>
    <xf numFmtId="166" fontId="0" fillId="0" borderId="3" xfId="0" applyNumberFormat="1" applyBorder="1"/>
    <xf numFmtId="10" fontId="11" fillId="0" borderId="2" xfId="0" applyNumberFormat="1" applyFont="1" applyBorder="1" applyAlignment="1">
      <alignment horizontal="right"/>
    </xf>
    <xf numFmtId="166" fontId="4" fillId="0" borderId="3" xfId="0" applyNumberFormat="1" applyFont="1" applyBorder="1"/>
    <xf numFmtId="9" fontId="11" fillId="0" borderId="2" xfId="0" applyNumberFormat="1" applyFont="1" applyBorder="1" applyAlignment="1">
      <alignment horizontal="right"/>
    </xf>
    <xf numFmtId="0" fontId="4" fillId="0" borderId="0" xfId="0" applyFont="1"/>
    <xf numFmtId="166" fontId="4" fillId="0" borderId="0" xfId="0" applyNumberFormat="1" applyFont="1"/>
    <xf numFmtId="0" fontId="11" fillId="0" borderId="2" xfId="0" applyFont="1" applyBorder="1"/>
    <xf numFmtId="0" fontId="9" fillId="0" borderId="1" xfId="0" applyFont="1" applyBorder="1"/>
    <xf numFmtId="0" fontId="0" fillId="0" borderId="1" xfId="0" applyBorder="1"/>
    <xf numFmtId="10" fontId="0" fillId="0" borderId="1" xfId="0" applyNumberFormat="1" applyBorder="1"/>
    <xf numFmtId="166" fontId="0" fillId="0" borderId="1" xfId="0" applyNumberFormat="1" applyBorder="1"/>
    <xf numFmtId="38" fontId="4" fillId="0" borderId="11" xfId="0" applyNumberFormat="1" applyFont="1" applyBorder="1"/>
    <xf numFmtId="166" fontId="4" fillId="0" borderId="11" xfId="1" applyNumberFormat="1" applyFont="1" applyBorder="1" applyAlignment="1"/>
    <xf numFmtId="38" fontId="4" fillId="0" borderId="0" xfId="0" applyNumberFormat="1" applyFont="1"/>
    <xf numFmtId="166" fontId="4" fillId="0" borderId="0" xfId="1" applyNumberFormat="1" applyFont="1" applyBorder="1" applyAlignment="1"/>
    <xf numFmtId="10" fontId="11" fillId="0" borderId="0" xfId="0" applyNumberFormat="1" applyFont="1"/>
    <xf numFmtId="164" fontId="11" fillId="0" borderId="2" xfId="0" applyNumberFormat="1" applyFont="1" applyBorder="1"/>
    <xf numFmtId="10" fontId="11" fillId="0" borderId="2" xfId="2" applyNumberFormat="1" applyFont="1" applyBorder="1" applyAlignment="1"/>
    <xf numFmtId="10" fontId="4" fillId="0" borderId="0" xfId="2" applyNumberFormat="1" applyFont="1" applyAlignment="1"/>
    <xf numFmtId="0" fontId="0" fillId="0" borderId="12" xfId="0" applyBorder="1"/>
    <xf numFmtId="0" fontId="9" fillId="0" borderId="13" xfId="0" applyFont="1" applyBorder="1"/>
    <xf numFmtId="10" fontId="9" fillId="0" borderId="14" xfId="0" applyNumberFormat="1" applyFont="1" applyBorder="1"/>
    <xf numFmtId="0" fontId="0" fillId="0" borderId="15" xfId="0" applyBorder="1"/>
    <xf numFmtId="43" fontId="9" fillId="0" borderId="16" xfId="0" applyNumberFormat="1" applyFont="1" applyBorder="1"/>
    <xf numFmtId="43" fontId="0" fillId="0" borderId="0" xfId="0" applyNumberFormat="1"/>
    <xf numFmtId="0" fontId="0" fillId="0" borderId="17" xfId="0" applyBorder="1"/>
    <xf numFmtId="0" fontId="9" fillId="0" borderId="18" xfId="0" applyFont="1" applyBorder="1"/>
    <xf numFmtId="6" fontId="9" fillId="0" borderId="19" xfId="0" applyNumberFormat="1" applyFont="1" applyBorder="1"/>
    <xf numFmtId="6" fontId="9" fillId="0" borderId="0" xfId="0" applyNumberFormat="1" applyFont="1"/>
    <xf numFmtId="43" fontId="0" fillId="0" borderId="2" xfId="0" applyNumberFormat="1" applyBorder="1"/>
    <xf numFmtId="0" fontId="0" fillId="6" borderId="0" xfId="0" applyFill="1"/>
    <xf numFmtId="167" fontId="0" fillId="0" borderId="2" xfId="2" applyNumberFormat="1" applyFont="1" applyBorder="1" applyAlignment="1"/>
    <xf numFmtId="0" fontId="0" fillId="4" borderId="0" xfId="0" applyFill="1"/>
    <xf numFmtId="9" fontId="11" fillId="0" borderId="0" xfId="2" applyFont="1" applyBorder="1" applyAlignment="1"/>
    <xf numFmtId="43" fontId="0" fillId="0" borderId="3" xfId="1" applyFont="1" applyBorder="1" applyAlignment="1"/>
    <xf numFmtId="166" fontId="0" fillId="0" borderId="0" xfId="1" applyNumberFormat="1" applyFont="1" applyBorder="1" applyAlignment="1"/>
    <xf numFmtId="0" fontId="9" fillId="0" borderId="11" xfId="0" applyFont="1" applyBorder="1"/>
    <xf numFmtId="9" fontId="4" fillId="0" borderId="0" xfId="2" applyFont="1" applyAlignment="1">
      <alignment horizontal="left"/>
    </xf>
    <xf numFmtId="0" fontId="9" fillId="0" borderId="20" xfId="0" applyFont="1" applyBorder="1"/>
    <xf numFmtId="0" fontId="0" fillId="0" borderId="20" xfId="0" applyBorder="1"/>
    <xf numFmtId="166" fontId="0" fillId="0" borderId="20" xfId="0" applyNumberFormat="1" applyBorder="1"/>
    <xf numFmtId="0" fontId="9" fillId="0" borderId="21" xfId="0" applyFont="1" applyBorder="1"/>
    <xf numFmtId="0" fontId="0" fillId="0" borderId="21" xfId="0" applyBorder="1"/>
    <xf numFmtId="166" fontId="0" fillId="0" borderId="21" xfId="0" applyNumberFormat="1" applyBorder="1"/>
    <xf numFmtId="0" fontId="13" fillId="3" borderId="0" xfId="0" applyFont="1" applyFill="1"/>
    <xf numFmtId="10" fontId="14" fillId="3" borderId="0" xfId="2" applyNumberFormat="1" applyFont="1" applyFill="1" applyAlignment="1"/>
    <xf numFmtId="166" fontId="13" fillId="3" borderId="0" xfId="0" applyNumberFormat="1" applyFont="1" applyFill="1"/>
    <xf numFmtId="0" fontId="15" fillId="0" borderId="0" xfId="0" applyFont="1"/>
    <xf numFmtId="166" fontId="4" fillId="0" borderId="0" xfId="1" applyNumberFormat="1" applyFont="1" applyAlignment="1"/>
    <xf numFmtId="0" fontId="11" fillId="2" borderId="0" xfId="0" applyFont="1" applyFill="1"/>
    <xf numFmtId="0" fontId="16" fillId="0" borderId="0" xfId="0" applyFont="1"/>
    <xf numFmtId="10" fontId="16" fillId="0" borderId="0" xfId="2" applyNumberFormat="1" applyFont="1" applyAlignment="1"/>
    <xf numFmtId="10" fontId="17" fillId="0" borderId="0" xfId="2" applyNumberFormat="1" applyFont="1" applyAlignment="1"/>
    <xf numFmtId="43" fontId="11" fillId="0" borderId="0" xfId="1" applyFont="1" applyAlignment="1"/>
    <xf numFmtId="167" fontId="11" fillId="0" borderId="0" xfId="2" applyNumberFormat="1" applyFont="1" applyAlignment="1"/>
    <xf numFmtId="167" fontId="0" fillId="0" borderId="0" xfId="2" applyNumberFormat="1" applyFont="1" applyAlignment="1"/>
    <xf numFmtId="43" fontId="0" fillId="0" borderId="0" xfId="1" applyFont="1"/>
    <xf numFmtId="43" fontId="0" fillId="0" borderId="3" xfId="0" applyNumberFormat="1" applyBorder="1"/>
    <xf numFmtId="43" fontId="0" fillId="3" borderId="3" xfId="1" applyFont="1" applyFill="1" applyBorder="1" applyAlignment="1"/>
    <xf numFmtId="169" fontId="0" fillId="3" borderId="3" xfId="0" applyNumberFormat="1" applyFill="1" applyBorder="1"/>
    <xf numFmtId="43" fontId="0" fillId="3" borderId="3" xfId="0" applyNumberFormat="1" applyFill="1" applyBorder="1"/>
    <xf numFmtId="43" fontId="4" fillId="0" borderId="0" xfId="1" applyFont="1" applyAlignment="1"/>
    <xf numFmtId="43" fontId="4" fillId="0" borderId="0" xfId="0" applyNumberFormat="1" applyFont="1"/>
    <xf numFmtId="9" fontId="0" fillId="0" borderId="0" xfId="0" applyNumberFormat="1"/>
    <xf numFmtId="10" fontId="0" fillId="0" borderId="0" xfId="0" applyNumberFormat="1"/>
    <xf numFmtId="0" fontId="8" fillId="4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quantventures.sharepoint.com/sites/QVGeneral/QV%20Shared%20Drive/Clients/Environment/Current%20Environment%20Clients/US%20EFC/Maine%20Mountain%20Collaborative/EFIF%20Shared%20Folder/Model/EFIF%20Model%20Simplified%204-19%20w%20Inflation.xlsx?EF4AAFDF" TargetMode="External"/><Relationship Id="rId1" Type="http://schemas.openxmlformats.org/officeDocument/2006/relationships/externalLinkPath" Target="file:///\\EF4AAFDF\EFIF%20Model%20Simplified%204-19%20w%20Inf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Acquisition Inlfation"/>
      <sheetName val="NMTC"/>
      <sheetName val="Basic Acquisition Model"/>
      <sheetName val="Output from Pool"/>
      <sheetName val="MGMT of EFIF"/>
      <sheetName val="Pooled Acquisition Model"/>
      <sheetName val="Pooled Acquisition Model (2)"/>
      <sheetName val="Pooled Acquisition Model (3)"/>
      <sheetName val="Pooled Acquisition Model (4)"/>
      <sheetName val="Pooled Acquisition Model (5)"/>
      <sheetName val="Pooled Acquisition Model (6)"/>
      <sheetName val="Pooled Acquisition Model (7)"/>
      <sheetName val="Pooled Acquisition Model (8)"/>
      <sheetName val="Pooled Acquisition Model (9)"/>
      <sheetName val="Pooled Acquisition Model (10)"/>
      <sheetName val="Pooled Acquisition Model (11)"/>
      <sheetName val="App. Fee Well Stocked"/>
      <sheetName val="App. Fee Cutover Comps"/>
      <sheetName val="App. Easement Encumbered Comps"/>
      <sheetName val="App. Conclusions"/>
      <sheetName val="App.DCF"/>
      <sheetName val="Working Model (old)"/>
      <sheetName val="Portfolio Approach - Input"/>
      <sheetName val="Fee (Hypothetical)"/>
      <sheetName val="Capital Stack"/>
      <sheetName val="Stocks Vs Flows"/>
    </sheetNames>
    <sheetDataSet>
      <sheetData sheetId="0"/>
      <sheetData sheetId="1"/>
      <sheetData sheetId="2"/>
      <sheetData sheetId="3">
        <row r="11">
          <cell r="F11">
            <v>0</v>
          </cell>
          <cell r="G11">
            <v>0</v>
          </cell>
          <cell r="H11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unter Hopcroft" id="{784CDCCF-E8FD-4A18-BD08-7640691A04EC}" userId="df3ead540d3e96f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9" dT="2021-03-08T19:08:52.16" personId="{784CDCCF-E8FD-4A18-BD08-7640691A04EC}" id="{08ADEA2C-D2FB-4702-926C-E08B103EEA20}">
    <text>Scenario Choice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9" dT="2021-03-08T19:08:52.16" personId="{784CDCCF-E8FD-4A18-BD08-7640691A04EC}" id="{32EAF49A-B2F8-452F-A6AA-B2C3EA9AEB0C}">
    <text>Scenario Choice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7CC0F-30E3-4032-8BE2-7A0DD89CFA88}">
  <sheetPr>
    <pageSetUpPr fitToPage="1"/>
  </sheetPr>
  <dimension ref="A2:AO187"/>
  <sheetViews>
    <sheetView showGridLines="0" zoomScale="80" zoomScaleNormal="80" zoomScaleSheetLayoutView="80" workbookViewId="0">
      <pane xSplit="5" ySplit="11" topLeftCell="F159" activePane="bottomRight" state="frozen"/>
      <selection pane="topRight" activeCell="F1" sqref="F1"/>
      <selection pane="bottomLeft" activeCell="A12" sqref="A12"/>
      <selection pane="bottomRight" activeCell="G166" sqref="G166"/>
    </sheetView>
  </sheetViews>
  <sheetFormatPr defaultColWidth="8.5546875" defaultRowHeight="13.2" x14ac:dyDescent="0.25"/>
  <cols>
    <col min="2" max="2" width="34.21875" customWidth="1"/>
    <col min="3" max="3" width="13" customWidth="1"/>
    <col min="4" max="4" width="20" bestFit="1" customWidth="1"/>
    <col min="5" max="5" width="15.44140625" customWidth="1"/>
    <col min="6" max="6" width="4.44140625" customWidth="1"/>
    <col min="7" max="7" width="5.44140625" customWidth="1"/>
    <col min="8" max="8" width="23.44140625" customWidth="1"/>
    <col min="9" max="9" width="19.21875" customWidth="1"/>
    <col min="10" max="10" width="13.5546875" bestFit="1" customWidth="1"/>
    <col min="11" max="12" width="12.21875" customWidth="1"/>
    <col min="13" max="13" width="11.5546875" bestFit="1" customWidth="1"/>
    <col min="14" max="15" width="12.44140625" bestFit="1" customWidth="1"/>
    <col min="16" max="16" width="11.5546875" bestFit="1" customWidth="1"/>
    <col min="17" max="17" width="13.21875" bestFit="1" customWidth="1"/>
    <col min="18" max="19" width="12.44140625" bestFit="1" customWidth="1"/>
    <col min="20" max="20" width="12.77734375" bestFit="1" customWidth="1"/>
    <col min="21" max="21" width="13" bestFit="1" customWidth="1"/>
    <col min="22" max="23" width="11.5546875" bestFit="1" customWidth="1"/>
    <col min="24" max="30" width="12.21875" customWidth="1"/>
    <col min="31" max="31" width="13.44140625" bestFit="1" customWidth="1"/>
    <col min="32" max="35" width="10.77734375" bestFit="1" customWidth="1"/>
    <col min="36" max="36" width="10.5546875" bestFit="1" customWidth="1"/>
    <col min="37" max="40" width="10.77734375" bestFit="1" customWidth="1"/>
    <col min="41" max="41" width="10.5546875" bestFit="1" customWidth="1"/>
  </cols>
  <sheetData>
    <row r="2" spans="2:41" ht="23.25" customHeight="1" x14ac:dyDescent="0.25">
      <c r="B2" s="1" t="s">
        <v>240</v>
      </c>
      <c r="C2" s="1"/>
      <c r="D2" s="1"/>
      <c r="E2" s="1"/>
      <c r="G2" s="2" t="s">
        <v>1</v>
      </c>
      <c r="H2" s="2"/>
      <c r="I2" s="2"/>
      <c r="J2" s="2"/>
      <c r="L2" s="2" t="s">
        <v>2</v>
      </c>
      <c r="M2" s="2"/>
      <c r="N2" s="2"/>
      <c r="O2" s="2"/>
      <c r="Q2" s="2" t="s">
        <v>3</v>
      </c>
      <c r="R2" s="2"/>
      <c r="S2" s="2"/>
      <c r="T2" s="2" t="s">
        <v>4</v>
      </c>
      <c r="U2" s="2" t="s">
        <v>5</v>
      </c>
      <c r="V2" s="2" t="s">
        <v>6</v>
      </c>
      <c r="W2" s="2"/>
      <c r="X2" s="2"/>
      <c r="Y2" s="2"/>
      <c r="AA2" s="2" t="s">
        <v>7</v>
      </c>
      <c r="AB2" s="2"/>
      <c r="AC2" s="2"/>
      <c r="AD2" s="2"/>
    </row>
    <row r="3" spans="2:41" x14ac:dyDescent="0.25">
      <c r="B3" s="3"/>
      <c r="C3" s="3"/>
      <c r="D3" s="3"/>
      <c r="E3" s="3"/>
      <c r="G3" s="4" t="s">
        <v>8</v>
      </c>
      <c r="H3" s="3"/>
      <c r="I3" s="3"/>
      <c r="J3" s="5">
        <f>C85</f>
        <v>15</v>
      </c>
      <c r="L3" s="4" t="s">
        <v>9</v>
      </c>
      <c r="M3" s="3"/>
      <c r="N3" s="3"/>
      <c r="O3" s="6">
        <f>D13</f>
        <v>2471.0500000000002</v>
      </c>
      <c r="Q3" s="4" t="s">
        <v>10</v>
      </c>
      <c r="R3" s="3"/>
      <c r="S3" s="3"/>
      <c r="T3" s="7">
        <f>AVERAGEIF($K$11:$AE$11,"&lt;="&amp;$J$3,$K$168:$AE$168)/AVERAGEIF($K$11:$AE$11,"&lt;="&amp;$J$3,$K$154:$AE$154)</f>
        <v>10.92367505581149</v>
      </c>
      <c r="V3" s="4" t="s">
        <v>11</v>
      </c>
      <c r="W3" s="3"/>
      <c r="X3" s="3"/>
      <c r="Y3" s="8">
        <f>_xlfn.XLOOKUP($J$3+1,$K$11:$AE$11,$K$111:$AE$111)</f>
        <v>6277.3360304425332</v>
      </c>
      <c r="AA3" s="4" t="s">
        <v>12</v>
      </c>
      <c r="AB3" s="3"/>
      <c r="AC3" s="3"/>
      <c r="AD3" s="9">
        <f>SUM(J49:J50)</f>
        <v>886743.70565000002</v>
      </c>
    </row>
    <row r="4" spans="2:41" x14ac:dyDescent="0.25">
      <c r="B4" s="10" t="s">
        <v>13</v>
      </c>
      <c r="C4" s="11"/>
      <c r="D4" s="11"/>
      <c r="E4" s="3"/>
      <c r="G4" s="4" t="s">
        <v>14</v>
      </c>
      <c r="H4" s="3"/>
      <c r="I4" s="3"/>
      <c r="J4" s="9">
        <f>-J55</f>
        <v>1806700.7943500001</v>
      </c>
      <c r="L4" s="4" t="s">
        <v>15</v>
      </c>
      <c r="M4" s="3"/>
      <c r="N4" s="3"/>
      <c r="O4" s="6">
        <f>-$J$15/$D$12</f>
        <v>-1235.5250000000001</v>
      </c>
      <c r="Q4" s="4" t="s">
        <v>16</v>
      </c>
      <c r="R4" s="3"/>
      <c r="S4" s="3"/>
      <c r="T4" s="6">
        <f>SUM(K177:AE177)</f>
        <v>949.25526437989436</v>
      </c>
      <c r="U4" s="12">
        <f>J146</f>
        <v>1123.756657814514</v>
      </c>
      <c r="V4" s="4" t="str">
        <f>"  - Less: EFM Discount "&amp;C87</f>
        <v xml:space="preserve">  - Less: EFM Discount 0.6</v>
      </c>
      <c r="W4" s="3"/>
      <c r="X4" s="3"/>
      <c r="Y4" s="8">
        <f>_xlfn.XLOOKUP($J$3+1,$K$11:$AE$11,K112:AE112)</f>
        <v>-3766.4016182655196</v>
      </c>
      <c r="AA4" s="4" t="s">
        <v>17</v>
      </c>
      <c r="AB4" s="3"/>
      <c r="AC4" s="3"/>
      <c r="AD4" s="9">
        <f>-(SUM($J$99:$AE$99)+SUM($J$92:$AE$92)+$J$90)</f>
        <v>-97980.755230786308</v>
      </c>
    </row>
    <row r="5" spans="2:41" x14ac:dyDescent="0.25">
      <c r="B5" s="13" t="s">
        <v>18</v>
      </c>
      <c r="C5" s="14" t="s">
        <v>19</v>
      </c>
      <c r="D5" s="3"/>
      <c r="E5" s="3"/>
      <c r="G5" s="4" t="s">
        <v>20</v>
      </c>
      <c r="H5" s="3"/>
      <c r="I5" s="3"/>
      <c r="J5" s="9">
        <f>SUM(J69:AE69)</f>
        <v>3240994.3250846406</v>
      </c>
      <c r="L5" s="15" t="s">
        <v>21</v>
      </c>
      <c r="M5" s="3"/>
      <c r="N5" s="3"/>
      <c r="O5" s="6">
        <f>-$J$49/$D$12</f>
        <v>0</v>
      </c>
      <c r="Q5" s="4" t="s">
        <v>22</v>
      </c>
      <c r="R5" s="3"/>
      <c r="S5" s="3"/>
      <c r="T5" s="6">
        <f>SUM(K176:AE176)</f>
        <v>202.31384029835712</v>
      </c>
      <c r="U5" s="12">
        <f>J145</f>
        <v>235.19018979314066</v>
      </c>
      <c r="V5" s="4" t="s">
        <v>23</v>
      </c>
      <c r="W5" s="3"/>
      <c r="X5" s="3"/>
      <c r="Y5" s="9">
        <f>SUM(Y3:Y4)</f>
        <v>2510.9344121770137</v>
      </c>
      <c r="AA5" s="3"/>
      <c r="AB5" s="3"/>
      <c r="AC5" s="3"/>
      <c r="AD5" s="6"/>
    </row>
    <row r="6" spans="2:41" x14ac:dyDescent="0.25">
      <c r="B6" s="13"/>
      <c r="C6" s="13"/>
      <c r="D6" s="3"/>
      <c r="E6" s="3"/>
      <c r="G6" s="4" t="s">
        <v>24</v>
      </c>
      <c r="H6" s="3"/>
      <c r="I6" s="3"/>
      <c r="J6" s="16">
        <f>I72</f>
        <v>2.7938744119779164</v>
      </c>
      <c r="L6" s="15" t="s">
        <v>25</v>
      </c>
      <c r="M6" s="3"/>
      <c r="N6" s="3"/>
      <c r="O6" s="6">
        <f>SUM($D$16:$D$18)/$D$12</f>
        <v>111.19725</v>
      </c>
      <c r="Q6" s="4" t="s">
        <v>26</v>
      </c>
      <c r="R6" s="3"/>
      <c r="S6" s="3"/>
      <c r="T6" s="6">
        <f>SUM(K178:AE178)</f>
        <v>12.45333538969861</v>
      </c>
      <c r="U6" s="12">
        <f>J147</f>
        <v>15.398683850322181</v>
      </c>
      <c r="V6" s="17" t="s">
        <v>27</v>
      </c>
      <c r="W6" s="17"/>
      <c r="X6" s="17"/>
      <c r="Y6" s="18">
        <f>_xlfn.XLOOKUP($J$3+1,$K$11:$AE$11,K120:AE120)/$D$12</f>
        <v>507.20348339486048</v>
      </c>
      <c r="AA6" s="3" t="s">
        <v>28</v>
      </c>
      <c r="AB6" s="3"/>
      <c r="AC6" s="3"/>
      <c r="AD6" s="19">
        <f>(Y8/500)^(1/15)-1</f>
        <v>7.6422098882961587E-2</v>
      </c>
    </row>
    <row r="7" spans="2:41" x14ac:dyDescent="0.25">
      <c r="B7" s="159"/>
      <c r="C7" s="159"/>
      <c r="D7" s="159"/>
      <c r="E7" s="159"/>
      <c r="G7" s="20" t="s">
        <v>30</v>
      </c>
      <c r="H7" s="20"/>
      <c r="I7" s="20"/>
      <c r="J7" s="21">
        <f>I71</f>
        <v>7.0895578210871557E-2</v>
      </c>
      <c r="L7" s="20" t="s">
        <v>31</v>
      </c>
      <c r="M7" s="20"/>
      <c r="N7" s="20"/>
      <c r="O7" s="22">
        <f>SUM(O3:O6)</f>
        <v>1346.72225</v>
      </c>
      <c r="Q7" s="4" t="s">
        <v>32</v>
      </c>
      <c r="R7" s="3"/>
      <c r="S7" s="3"/>
      <c r="T7" s="6">
        <f>SUM(K180:AE180)</f>
        <v>-834.0514005080496</v>
      </c>
      <c r="V7" s="4" t="s">
        <v>33</v>
      </c>
      <c r="W7" s="4"/>
      <c r="X7" s="4"/>
      <c r="Y7" s="23">
        <f>C89</f>
        <v>0.05</v>
      </c>
      <c r="AA7" s="3"/>
      <c r="AB7" s="3"/>
      <c r="AC7" s="3"/>
      <c r="AD7" s="3"/>
    </row>
    <row r="8" spans="2:41" x14ac:dyDescent="0.25">
      <c r="C8" s="24"/>
      <c r="D8" s="24"/>
      <c r="G8" s="20" t="s">
        <v>34</v>
      </c>
      <c r="H8" s="20"/>
      <c r="I8" s="20"/>
      <c r="J8" s="21">
        <f>I78</f>
        <v>4.4270419402002936E-2</v>
      </c>
      <c r="L8" s="20"/>
      <c r="M8" s="20"/>
      <c r="N8" s="20"/>
      <c r="O8" s="22"/>
      <c r="Q8" s="20" t="s">
        <v>35</v>
      </c>
      <c r="R8" s="20"/>
      <c r="S8" s="20"/>
      <c r="T8" s="25">
        <f>SUM(T4:T7)</f>
        <v>329.97103955990053</v>
      </c>
      <c r="V8" s="20" t="s">
        <v>36</v>
      </c>
      <c r="W8" s="20"/>
      <c r="X8" s="20"/>
      <c r="Y8" s="25">
        <f>MEDIAN(Y5:Y6)</f>
        <v>1509.0689477859371</v>
      </c>
      <c r="Z8" s="26">
        <f>(Y8/(O3+O4))^(1/J3)-1</f>
        <v>1.3422408408465314E-2</v>
      </c>
      <c r="AA8" s="3"/>
      <c r="AB8" s="3"/>
      <c r="AC8" s="3"/>
      <c r="AD8" s="3"/>
    </row>
    <row r="9" spans="2:41" x14ac:dyDescent="0.25">
      <c r="Q9" s="4" t="s">
        <v>235</v>
      </c>
      <c r="T9" s="118">
        <f>T7*2000</f>
        <v>-1668102.8010160993</v>
      </c>
      <c r="V9" s="4" t="s">
        <v>37</v>
      </c>
      <c r="Y9" s="27">
        <f>Y46/D12</f>
        <v>2167.3988816708406</v>
      </c>
      <c r="Z9" s="28">
        <f>(Y9/(O3+O4))^(1/J3)-1</f>
        <v>3.8179591223462372E-2</v>
      </c>
    </row>
    <row r="10" spans="2:41" x14ac:dyDescent="0.25">
      <c r="B10" s="29"/>
      <c r="C10" s="29"/>
      <c r="D10" s="29"/>
      <c r="E10" s="29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2:41" x14ac:dyDescent="0.25">
      <c r="B11" s="2" t="s">
        <v>38</v>
      </c>
      <c r="C11" s="29"/>
      <c r="D11" s="29"/>
      <c r="E11" s="29"/>
      <c r="G11" s="2" t="s">
        <v>39</v>
      </c>
      <c r="H11" s="30"/>
      <c r="I11" s="30"/>
      <c r="J11" s="31">
        <v>0</v>
      </c>
      <c r="K11" s="32">
        <v>1</v>
      </c>
      <c r="L11" s="32">
        <v>2</v>
      </c>
      <c r="M11" s="32">
        <v>3</v>
      </c>
      <c r="N11" s="32">
        <v>4</v>
      </c>
      <c r="O11" s="32">
        <v>5</v>
      </c>
      <c r="P11" s="32">
        <v>6</v>
      </c>
      <c r="Q11" s="32">
        <v>7</v>
      </c>
      <c r="R11" s="32">
        <v>8</v>
      </c>
      <c r="S11" s="32">
        <v>9</v>
      </c>
      <c r="T11" s="32">
        <v>10</v>
      </c>
      <c r="U11" s="32">
        <v>11</v>
      </c>
      <c r="V11" s="32">
        <v>12</v>
      </c>
      <c r="W11" s="32">
        <v>13</v>
      </c>
      <c r="X11" s="32">
        <v>14</v>
      </c>
      <c r="Y11" s="32">
        <v>15</v>
      </c>
      <c r="Z11" s="32">
        <v>16</v>
      </c>
      <c r="AA11" s="32">
        <v>17</v>
      </c>
      <c r="AB11" s="32">
        <v>18</v>
      </c>
      <c r="AC11" s="32">
        <v>19</v>
      </c>
      <c r="AD11" s="32">
        <v>20</v>
      </c>
      <c r="AE11" s="32">
        <f>AD11+1</f>
        <v>21</v>
      </c>
      <c r="AF11" s="32">
        <f t="shared" ref="AF11:AN11" si="0">AE11+1</f>
        <v>22</v>
      </c>
      <c r="AG11" s="32">
        <f t="shared" si="0"/>
        <v>23</v>
      </c>
      <c r="AH11" s="32">
        <f t="shared" si="0"/>
        <v>24</v>
      </c>
      <c r="AI11" s="32">
        <f t="shared" si="0"/>
        <v>25</v>
      </c>
      <c r="AJ11" s="32">
        <f t="shared" si="0"/>
        <v>26</v>
      </c>
      <c r="AK11" s="32">
        <f t="shared" si="0"/>
        <v>27</v>
      </c>
      <c r="AL11" s="32">
        <f t="shared" si="0"/>
        <v>28</v>
      </c>
      <c r="AM11" s="32">
        <f t="shared" si="0"/>
        <v>29</v>
      </c>
      <c r="AN11" s="32">
        <f t="shared" si="0"/>
        <v>30</v>
      </c>
      <c r="AO11" s="32">
        <f>AN11+1</f>
        <v>31</v>
      </c>
    </row>
    <row r="12" spans="2:41" x14ac:dyDescent="0.25">
      <c r="B12" s="33" t="s">
        <v>224</v>
      </c>
      <c r="C12" s="34"/>
      <c r="D12">
        <f>2000</f>
        <v>2000</v>
      </c>
      <c r="E12" s="34"/>
      <c r="G12" s="35"/>
      <c r="H12" s="35" t="s">
        <v>41</v>
      </c>
      <c r="I12" s="36"/>
      <c r="J12" s="37">
        <f>-D19</f>
        <v>-5164494.5</v>
      </c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</row>
    <row r="13" spans="2:41" x14ac:dyDescent="0.25">
      <c r="B13" s="33" t="s">
        <v>227</v>
      </c>
      <c r="C13" s="34"/>
      <c r="D13" s="38">
        <v>2471.0500000000002</v>
      </c>
      <c r="E13" s="34"/>
    </row>
    <row r="14" spans="2:41" x14ac:dyDescent="0.25">
      <c r="B14" s="33" t="s">
        <v>43</v>
      </c>
      <c r="C14" s="39"/>
      <c r="D14" s="39"/>
      <c r="E14" s="34"/>
      <c r="G14" s="40" t="s">
        <v>44</v>
      </c>
    </row>
    <row r="15" spans="2:41" x14ac:dyDescent="0.25">
      <c r="B15" s="33" t="s">
        <v>45</v>
      </c>
      <c r="C15" s="39"/>
      <c r="D15" s="39"/>
      <c r="E15" s="34"/>
      <c r="G15" s="36"/>
      <c r="H15" s="35" t="s">
        <v>46</v>
      </c>
      <c r="I15" s="36"/>
      <c r="J15" s="41">
        <f t="shared" ref="J15:AO15" si="1">IF(J11=$C$38,($D$13-$D$36)*$C$37*$D$12,0)</f>
        <v>2471050</v>
      </c>
      <c r="K15" s="41">
        <f t="shared" si="1"/>
        <v>0</v>
      </c>
      <c r="L15" s="41">
        <f t="shared" si="1"/>
        <v>0</v>
      </c>
      <c r="M15" s="41">
        <f t="shared" si="1"/>
        <v>0</v>
      </c>
      <c r="N15" s="41">
        <f t="shared" si="1"/>
        <v>0</v>
      </c>
      <c r="O15" s="41">
        <f t="shared" si="1"/>
        <v>0</v>
      </c>
      <c r="P15" s="41">
        <f t="shared" si="1"/>
        <v>0</v>
      </c>
      <c r="Q15" s="41">
        <f t="shared" si="1"/>
        <v>0</v>
      </c>
      <c r="R15" s="41">
        <f t="shared" si="1"/>
        <v>0</v>
      </c>
      <c r="S15" s="41">
        <f t="shared" si="1"/>
        <v>0</v>
      </c>
      <c r="T15" s="41">
        <f t="shared" si="1"/>
        <v>0</v>
      </c>
      <c r="U15" s="41">
        <f t="shared" si="1"/>
        <v>0</v>
      </c>
      <c r="V15" s="41">
        <f t="shared" si="1"/>
        <v>0</v>
      </c>
      <c r="W15" s="41">
        <f t="shared" si="1"/>
        <v>0</v>
      </c>
      <c r="X15" s="41">
        <f t="shared" si="1"/>
        <v>0</v>
      </c>
      <c r="Y15" s="41">
        <f t="shared" si="1"/>
        <v>0</v>
      </c>
      <c r="Z15" s="41">
        <f t="shared" si="1"/>
        <v>0</v>
      </c>
      <c r="AA15" s="41">
        <f t="shared" si="1"/>
        <v>0</v>
      </c>
      <c r="AB15" s="41">
        <f t="shared" si="1"/>
        <v>0</v>
      </c>
      <c r="AC15" s="41">
        <f t="shared" si="1"/>
        <v>0</v>
      </c>
      <c r="AD15" s="41">
        <f t="shared" si="1"/>
        <v>0</v>
      </c>
      <c r="AE15" s="41">
        <f t="shared" si="1"/>
        <v>0</v>
      </c>
      <c r="AF15" s="41">
        <f t="shared" si="1"/>
        <v>0</v>
      </c>
      <c r="AG15" s="41">
        <f t="shared" si="1"/>
        <v>0</v>
      </c>
      <c r="AH15" s="41">
        <f t="shared" si="1"/>
        <v>0</v>
      </c>
      <c r="AI15" s="41">
        <f t="shared" si="1"/>
        <v>0</v>
      </c>
      <c r="AJ15" s="41">
        <f t="shared" si="1"/>
        <v>0</v>
      </c>
      <c r="AK15" s="41">
        <f t="shared" si="1"/>
        <v>0</v>
      </c>
      <c r="AL15" s="41">
        <f t="shared" si="1"/>
        <v>0</v>
      </c>
      <c r="AM15" s="41">
        <f t="shared" si="1"/>
        <v>0</v>
      </c>
      <c r="AN15" s="41">
        <f t="shared" si="1"/>
        <v>0</v>
      </c>
      <c r="AO15" s="41">
        <f t="shared" si="1"/>
        <v>0</v>
      </c>
    </row>
    <row r="16" spans="2:41" x14ac:dyDescent="0.25">
      <c r="B16" s="33" t="s">
        <v>47</v>
      </c>
      <c r="C16" s="42">
        <v>0.01</v>
      </c>
      <c r="D16" s="43">
        <f>($D$12*$D$13)*C16</f>
        <v>49421</v>
      </c>
      <c r="E16" s="34"/>
      <c r="G16" s="36"/>
      <c r="H16" s="35" t="s">
        <v>48</v>
      </c>
      <c r="I16" s="36"/>
      <c r="J16" s="41">
        <f>D32</f>
        <v>0</v>
      </c>
      <c r="K16" s="41">
        <v>0</v>
      </c>
      <c r="L16" s="41">
        <v>0</v>
      </c>
      <c r="M16" s="41">
        <v>0</v>
      </c>
      <c r="N16" s="41">
        <v>0</v>
      </c>
      <c r="O16" s="41">
        <v>0</v>
      </c>
      <c r="P16" s="41">
        <v>0</v>
      </c>
      <c r="Q16" s="41">
        <v>0</v>
      </c>
      <c r="R16" s="41">
        <v>0</v>
      </c>
      <c r="S16" s="41">
        <v>0</v>
      </c>
      <c r="T16" s="41">
        <v>0</v>
      </c>
      <c r="U16" s="41">
        <v>0</v>
      </c>
      <c r="V16" s="41">
        <v>0</v>
      </c>
      <c r="W16" s="41">
        <v>0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C16" s="41">
        <v>0</v>
      </c>
      <c r="AD16" s="41">
        <v>0</v>
      </c>
      <c r="AE16" s="41">
        <v>0</v>
      </c>
      <c r="AF16" s="41">
        <v>0</v>
      </c>
      <c r="AG16" s="41">
        <v>0</v>
      </c>
      <c r="AH16" s="41">
        <v>0</v>
      </c>
      <c r="AI16" s="41">
        <v>0</v>
      </c>
      <c r="AJ16" s="41">
        <v>0</v>
      </c>
      <c r="AK16" s="41">
        <v>0</v>
      </c>
      <c r="AL16" s="41">
        <v>0</v>
      </c>
      <c r="AM16" s="41">
        <v>0</v>
      </c>
      <c r="AN16" s="41">
        <v>0</v>
      </c>
      <c r="AO16" s="41">
        <v>0</v>
      </c>
    </row>
    <row r="17" spans="2:41" x14ac:dyDescent="0.25">
      <c r="B17" s="33" t="s">
        <v>49</v>
      </c>
      <c r="C17" s="42">
        <v>0.01</v>
      </c>
      <c r="D17" s="43">
        <f>($D$12*$D$13)*C17</f>
        <v>49421</v>
      </c>
      <c r="E17" s="34"/>
      <c r="G17" s="40" t="s">
        <v>50</v>
      </c>
    </row>
    <row r="18" spans="2:41" x14ac:dyDescent="0.25">
      <c r="B18" s="44" t="s">
        <v>51</v>
      </c>
      <c r="C18" s="45">
        <v>2.5000000000000001E-2</v>
      </c>
      <c r="D18" s="46">
        <f>($D$12*$D$13)*C18</f>
        <v>123552.5</v>
      </c>
      <c r="E18" s="47"/>
      <c r="G18" s="36"/>
      <c r="H18" s="35" t="s">
        <v>52</v>
      </c>
      <c r="I18" s="36"/>
      <c r="J18" s="36"/>
      <c r="K18" s="48">
        <f t="shared" ref="K18:AO18" si="2">K167*$D$12*((1+$C$25)^K11)*((1+$C$23)^K11)</f>
        <v>294522.77337795799</v>
      </c>
      <c r="L18" s="48">
        <f t="shared" si="2"/>
        <v>0</v>
      </c>
      <c r="M18" s="48">
        <f t="shared" si="2"/>
        <v>0</v>
      </c>
      <c r="N18" s="48">
        <f t="shared" si="2"/>
        <v>0</v>
      </c>
      <c r="O18" s="48">
        <f t="shared" si="2"/>
        <v>0</v>
      </c>
      <c r="P18" s="48">
        <f t="shared" si="2"/>
        <v>0</v>
      </c>
      <c r="Q18" s="48">
        <f t="shared" si="2"/>
        <v>0</v>
      </c>
      <c r="R18" s="48">
        <f t="shared" si="2"/>
        <v>0</v>
      </c>
      <c r="S18" s="48">
        <f t="shared" si="2"/>
        <v>0</v>
      </c>
      <c r="T18" s="48">
        <f t="shared" si="2"/>
        <v>0</v>
      </c>
      <c r="U18" s="48">
        <f t="shared" si="2"/>
        <v>175857.60620832333</v>
      </c>
      <c r="V18" s="48">
        <f t="shared" si="2"/>
        <v>0</v>
      </c>
      <c r="W18" s="48">
        <f t="shared" si="2"/>
        <v>0</v>
      </c>
      <c r="X18" s="48">
        <f t="shared" si="2"/>
        <v>0</v>
      </c>
      <c r="Y18" s="48">
        <f t="shared" si="2"/>
        <v>0</v>
      </c>
      <c r="Z18" s="48">
        <f t="shared" si="2"/>
        <v>20606.061210530472</v>
      </c>
      <c r="AA18" s="48">
        <f t="shared" si="2"/>
        <v>0</v>
      </c>
      <c r="AB18" s="48">
        <f t="shared" si="2"/>
        <v>0</v>
      </c>
      <c r="AC18" s="48">
        <f t="shared" si="2"/>
        <v>0</v>
      </c>
      <c r="AD18" s="48">
        <f t="shared" si="2"/>
        <v>0</v>
      </c>
      <c r="AE18" s="48">
        <f t="shared" si="2"/>
        <v>1082378.4950726761</v>
      </c>
      <c r="AF18" s="48">
        <f t="shared" si="2"/>
        <v>0</v>
      </c>
      <c r="AG18" s="48">
        <f t="shared" si="2"/>
        <v>0</v>
      </c>
      <c r="AH18" s="48">
        <f t="shared" si="2"/>
        <v>0</v>
      </c>
      <c r="AI18" s="48">
        <f t="shared" si="2"/>
        <v>0</v>
      </c>
      <c r="AJ18" s="48">
        <f t="shared" si="2"/>
        <v>779177.95011986175</v>
      </c>
      <c r="AK18" s="48">
        <f t="shared" si="2"/>
        <v>0</v>
      </c>
      <c r="AL18" s="48">
        <f t="shared" si="2"/>
        <v>0</v>
      </c>
      <c r="AM18" s="48">
        <f t="shared" si="2"/>
        <v>0</v>
      </c>
      <c r="AN18" s="48">
        <f t="shared" si="2"/>
        <v>0</v>
      </c>
      <c r="AO18" s="48">
        <f t="shared" si="2"/>
        <v>1831283.0776785596</v>
      </c>
    </row>
    <row r="19" spans="2:41" x14ac:dyDescent="0.25">
      <c r="B19" s="49" t="s">
        <v>53</v>
      </c>
      <c r="C19" s="50"/>
      <c r="D19" s="51">
        <f>SUM(D16:D18)+(D13*D12)</f>
        <v>5164494.5</v>
      </c>
      <c r="E19" s="52">
        <f>J15/D19</f>
        <v>0.4784688995215311</v>
      </c>
      <c r="G19" s="53">
        <v>2</v>
      </c>
      <c r="H19" s="35" t="s">
        <v>54</v>
      </c>
      <c r="I19" s="36"/>
      <c r="J19" s="36"/>
      <c r="K19" s="48">
        <f t="shared" ref="K19:AO19" si="3">K168*$D$12*((1+$C$23)^K11)</f>
        <v>148278.14640624999</v>
      </c>
      <c r="L19" s="48">
        <f t="shared" si="3"/>
        <v>164437.39654081251</v>
      </c>
      <c r="M19" s="48">
        <f t="shared" si="3"/>
        <v>182041.30869129859</v>
      </c>
      <c r="N19" s="48">
        <f t="shared" si="3"/>
        <v>201722.65407929802</v>
      </c>
      <c r="O19" s="48">
        <f t="shared" si="3"/>
        <v>223446.79363746601</v>
      </c>
      <c r="P19" s="48">
        <f t="shared" si="3"/>
        <v>247729.5319256192</v>
      </c>
      <c r="Q19" s="48">
        <f t="shared" si="3"/>
        <v>274204.85149538255</v>
      </c>
      <c r="R19" s="48">
        <f t="shared" si="3"/>
        <v>116245.02530750325</v>
      </c>
      <c r="S19" s="48">
        <f t="shared" si="3"/>
        <v>71887.861067248465</v>
      </c>
      <c r="T19" s="48">
        <f t="shared" si="3"/>
        <v>79832.264056185697</v>
      </c>
      <c r="U19" s="48">
        <f t="shared" si="3"/>
        <v>87872.37850164494</v>
      </c>
      <c r="V19" s="48">
        <f t="shared" si="3"/>
        <v>96379.067537695824</v>
      </c>
      <c r="W19" s="48">
        <f t="shared" si="3"/>
        <v>106385.12941086011</v>
      </c>
      <c r="X19" s="48">
        <f t="shared" si="3"/>
        <v>117429.97239867318</v>
      </c>
      <c r="Y19" s="48">
        <f t="shared" si="3"/>
        <v>129620.93457308927</v>
      </c>
      <c r="Z19" s="48">
        <f t="shared" si="3"/>
        <v>143076.36704533227</v>
      </c>
      <c r="AA19" s="48">
        <f t="shared" si="3"/>
        <v>157929.83991267337</v>
      </c>
      <c r="AB19" s="48">
        <f t="shared" si="3"/>
        <v>174326.00649335608</v>
      </c>
      <c r="AC19" s="48">
        <f t="shared" si="3"/>
        <v>192422.56375486878</v>
      </c>
      <c r="AD19" s="48">
        <f t="shared" si="3"/>
        <v>212398.89391026882</v>
      </c>
      <c r="AE19" s="48">
        <f t="shared" si="3"/>
        <v>0</v>
      </c>
      <c r="AF19" s="48">
        <f t="shared" si="3"/>
        <v>0</v>
      </c>
      <c r="AG19" s="48">
        <f t="shared" si="3"/>
        <v>0</v>
      </c>
      <c r="AH19" s="48">
        <f t="shared" si="3"/>
        <v>0</v>
      </c>
      <c r="AI19" s="48">
        <f t="shared" si="3"/>
        <v>0</v>
      </c>
      <c r="AJ19" s="48">
        <f t="shared" si="3"/>
        <v>0</v>
      </c>
      <c r="AK19" s="48">
        <f t="shared" si="3"/>
        <v>0</v>
      </c>
      <c r="AL19" s="48">
        <f t="shared" si="3"/>
        <v>0</v>
      </c>
      <c r="AM19" s="48">
        <f t="shared" si="3"/>
        <v>0</v>
      </c>
      <c r="AN19" s="48">
        <f t="shared" si="3"/>
        <v>0</v>
      </c>
      <c r="AO19" s="48">
        <f t="shared" si="3"/>
        <v>0</v>
      </c>
    </row>
    <row r="20" spans="2:41" x14ac:dyDescent="0.25">
      <c r="B20" s="54" t="s">
        <v>226</v>
      </c>
      <c r="C20" s="55"/>
      <c r="D20" s="56">
        <f>D19/D12</f>
        <v>2582.2472499999999</v>
      </c>
      <c r="E20" s="55"/>
      <c r="G20" s="36"/>
      <c r="H20" s="35" t="s">
        <v>56</v>
      </c>
      <c r="I20" s="36"/>
      <c r="J20" s="36"/>
      <c r="K20" s="48">
        <f t="shared" ref="K20:AO20" si="4">K169*$D$12*((1+$C$23)^K11)</f>
        <v>1476.2459999999999</v>
      </c>
      <c r="L20" s="48">
        <f t="shared" si="4"/>
        <v>1543.4151929999998</v>
      </c>
      <c r="M20" s="48">
        <f t="shared" si="4"/>
        <v>1613.6405842814997</v>
      </c>
      <c r="N20" s="48">
        <f t="shared" si="4"/>
        <v>1687.0612308663078</v>
      </c>
      <c r="O20" s="48">
        <f t="shared" si="4"/>
        <v>1763.8225168707247</v>
      </c>
      <c r="P20" s="48">
        <f t="shared" si="4"/>
        <v>1844.076441388343</v>
      </c>
      <c r="Q20" s="48">
        <f t="shared" si="4"/>
        <v>1927.9819194715124</v>
      </c>
      <c r="R20" s="48">
        <f t="shared" si="4"/>
        <v>2015.7050968074657</v>
      </c>
      <c r="S20" s="48">
        <f t="shared" si="4"/>
        <v>2107.419678712205</v>
      </c>
      <c r="T20" s="48">
        <f t="shared" si="4"/>
        <v>2203.3072740936104</v>
      </c>
      <c r="U20" s="48">
        <f t="shared" si="4"/>
        <v>2303.5577550648695</v>
      </c>
      <c r="V20" s="48">
        <f t="shared" si="4"/>
        <v>2408.3696329203208</v>
      </c>
      <c r="W20" s="48">
        <f t="shared" si="4"/>
        <v>2517.9504512181952</v>
      </c>
      <c r="X20" s="48">
        <f t="shared" si="4"/>
        <v>2632.5171967486235</v>
      </c>
      <c r="Y20" s="48">
        <f t="shared" si="4"/>
        <v>2752.2967292006851</v>
      </c>
      <c r="Z20" s="48">
        <f t="shared" si="4"/>
        <v>2874.803614244086</v>
      </c>
      <c r="AA20" s="48">
        <f t="shared" si="4"/>
        <v>3002.2671675584215</v>
      </c>
      <c r="AB20" s="48">
        <f t="shared" si="4"/>
        <v>3134.3071462795715</v>
      </c>
      <c r="AC20" s="48">
        <f t="shared" si="4"/>
        <v>3271.0727069570476</v>
      </c>
      <c r="AD20" s="48">
        <f t="shared" si="4"/>
        <v>3412.7176037019804</v>
      </c>
      <c r="AE20" s="48">
        <f t="shared" si="4"/>
        <v>3498.0355437945295</v>
      </c>
      <c r="AF20" s="48">
        <f t="shared" si="4"/>
        <v>3684.3708902123963</v>
      </c>
      <c r="AG20" s="48">
        <f t="shared" si="4"/>
        <v>3852.0097657170618</v>
      </c>
      <c r="AH20" s="48">
        <f t="shared" si="4"/>
        <v>4027.2762100571867</v>
      </c>
      <c r="AI20" s="48">
        <f t="shared" si="4"/>
        <v>4210.5172776147883</v>
      </c>
      <c r="AJ20" s="48">
        <f t="shared" si="4"/>
        <v>4402.0958137462603</v>
      </c>
      <c r="AK20" s="48">
        <f t="shared" si="4"/>
        <v>4602.3911732717161</v>
      </c>
      <c r="AL20" s="48">
        <f t="shared" si="4"/>
        <v>4811.7999716555778</v>
      </c>
      <c r="AM20" s="48">
        <f t="shared" si="4"/>
        <v>5030.7368703659076</v>
      </c>
      <c r="AN20" s="48">
        <f t="shared" si="4"/>
        <v>5259.635397967555</v>
      </c>
      <c r="AO20" s="48">
        <f t="shared" si="4"/>
        <v>5498.94880857508</v>
      </c>
    </row>
    <row r="21" spans="2:41" x14ac:dyDescent="0.25">
      <c r="B21" s="57"/>
      <c r="D21" s="58"/>
    </row>
    <row r="22" spans="2:41" x14ac:dyDescent="0.25">
      <c r="B22" s="2" t="s">
        <v>57</v>
      </c>
      <c r="C22" s="29"/>
      <c r="D22" s="29"/>
      <c r="E22" s="29"/>
      <c r="G22" s="50" t="s">
        <v>58</v>
      </c>
      <c r="H22" s="59"/>
      <c r="I22" s="59"/>
      <c r="J22" s="60">
        <f t="shared" ref="J22:AO22" si="5">SUM(J12:J20)</f>
        <v>-2693444.5</v>
      </c>
      <c r="K22" s="60">
        <f t="shared" si="5"/>
        <v>444277.16578420793</v>
      </c>
      <c r="L22" s="60">
        <f t="shared" si="5"/>
        <v>165980.8117338125</v>
      </c>
      <c r="M22" s="60">
        <f t="shared" si="5"/>
        <v>183654.94927558009</v>
      </c>
      <c r="N22" s="60">
        <f t="shared" si="5"/>
        <v>203409.71531016432</v>
      </c>
      <c r="O22" s="60">
        <f t="shared" si="5"/>
        <v>225210.61615433672</v>
      </c>
      <c r="P22" s="60">
        <f t="shared" si="5"/>
        <v>249573.60836700755</v>
      </c>
      <c r="Q22" s="60">
        <f t="shared" si="5"/>
        <v>276132.83341485407</v>
      </c>
      <c r="R22" s="60">
        <f t="shared" si="5"/>
        <v>118260.73040431071</v>
      </c>
      <c r="S22" s="60">
        <f t="shared" si="5"/>
        <v>73995.28074596067</v>
      </c>
      <c r="T22" s="60">
        <f t="shared" si="5"/>
        <v>82035.571330279301</v>
      </c>
      <c r="U22" s="60">
        <f t="shared" si="5"/>
        <v>266033.54246503313</v>
      </c>
      <c r="V22" s="60">
        <f t="shared" si="5"/>
        <v>98787.437170616147</v>
      </c>
      <c r="W22" s="60">
        <f t="shared" si="5"/>
        <v>108903.0798620783</v>
      </c>
      <c r="X22" s="60">
        <f t="shared" si="5"/>
        <v>120062.48959542181</v>
      </c>
      <c r="Y22" s="60">
        <f t="shared" si="5"/>
        <v>132373.23130228996</v>
      </c>
      <c r="Z22" s="60">
        <f t="shared" si="5"/>
        <v>166557.23187010683</v>
      </c>
      <c r="AA22" s="60">
        <f t="shared" si="5"/>
        <v>160932.1070802318</v>
      </c>
      <c r="AB22" s="60">
        <f t="shared" si="5"/>
        <v>177460.31363963566</v>
      </c>
      <c r="AC22" s="60">
        <f t="shared" si="5"/>
        <v>195693.63646182584</v>
      </c>
      <c r="AD22" s="60">
        <f t="shared" si="5"/>
        <v>215811.6115139708</v>
      </c>
      <c r="AE22" s="60">
        <f t="shared" si="5"/>
        <v>1085876.5306164706</v>
      </c>
      <c r="AF22" s="60">
        <f t="shared" si="5"/>
        <v>3684.3708902123963</v>
      </c>
      <c r="AG22" s="60">
        <f t="shared" si="5"/>
        <v>3852.0097657170618</v>
      </c>
      <c r="AH22" s="60">
        <f t="shared" si="5"/>
        <v>4027.2762100571867</v>
      </c>
      <c r="AI22" s="60">
        <f t="shared" si="5"/>
        <v>4210.5172776147883</v>
      </c>
      <c r="AJ22" s="60">
        <f t="shared" si="5"/>
        <v>783580.04593360797</v>
      </c>
      <c r="AK22" s="60">
        <f t="shared" si="5"/>
        <v>4602.3911732717161</v>
      </c>
      <c r="AL22" s="60">
        <f t="shared" si="5"/>
        <v>4811.7999716555778</v>
      </c>
      <c r="AM22" s="60">
        <f t="shared" si="5"/>
        <v>5030.7368703659076</v>
      </c>
      <c r="AN22" s="60">
        <f t="shared" si="5"/>
        <v>5259.635397967555</v>
      </c>
      <c r="AO22" s="60">
        <f t="shared" si="5"/>
        <v>1836782.0264871346</v>
      </c>
    </row>
    <row r="23" spans="2:41" x14ac:dyDescent="0.25">
      <c r="B23" s="33" t="s">
        <v>59</v>
      </c>
      <c r="C23" s="61">
        <v>2.5000000000000001E-2</v>
      </c>
      <c r="D23" s="33" t="s">
        <v>60</v>
      </c>
      <c r="E23" s="33"/>
    </row>
    <row r="24" spans="2:41" x14ac:dyDescent="0.25">
      <c r="B24" s="62" t="s">
        <v>61</v>
      </c>
      <c r="C24" s="63">
        <v>1.4999999999999999E-2</v>
      </c>
      <c r="D24" s="57"/>
      <c r="E24" s="57"/>
      <c r="G24" s="40" t="s">
        <v>62</v>
      </c>
    </row>
    <row r="25" spans="2:41" x14ac:dyDescent="0.25">
      <c r="B25" s="62" t="s">
        <v>63</v>
      </c>
      <c r="C25" s="64">
        <v>0.01</v>
      </c>
      <c r="D25" s="62" t="s">
        <v>64</v>
      </c>
      <c r="E25" s="62"/>
      <c r="G25" s="36"/>
      <c r="H25" s="36" t="str">
        <f t="shared" ref="H25:H31" si="6">B45</f>
        <v>Property Management</v>
      </c>
      <c r="I25" s="36"/>
      <c r="J25" s="36"/>
      <c r="K25" s="41">
        <f t="shared" ref="K25:K32" si="7">$C45*$D$12*((1+$C$23)^K$11)</f>
        <v>17729.424999999999</v>
      </c>
      <c r="L25" s="41">
        <f>K25*(1+$C$24)*(1+$C$23)</f>
        <v>18445.250534374994</v>
      </c>
      <c r="M25" s="41">
        <f t="shared" ref="M25:AO32" si="8">L25*(1+$C$24)*(1+$C$23)</f>
        <v>19189.977524700382</v>
      </c>
      <c r="N25" s="41">
        <f t="shared" si="8"/>
        <v>19964.772867260155</v>
      </c>
      <c r="O25" s="41">
        <f t="shared" si="8"/>
        <v>20770.85057177578</v>
      </c>
      <c r="P25" s="41">
        <f t="shared" si="8"/>
        <v>21609.473663611221</v>
      </c>
      <c r="Q25" s="41">
        <f t="shared" si="8"/>
        <v>22481.956162779523</v>
      </c>
      <c r="R25" s="41">
        <f t="shared" si="8"/>
        <v>23389.66514285174</v>
      </c>
      <c r="S25" s="41">
        <f t="shared" si="8"/>
        <v>24334.022872994374</v>
      </c>
      <c r="T25" s="41">
        <f t="shared" si="8"/>
        <v>25316.509046491516</v>
      </c>
      <c r="U25" s="41">
        <f t="shared" si="8"/>
        <v>26338.663099243608</v>
      </c>
      <c r="V25" s="41">
        <f t="shared" si="8"/>
        <v>27402.086621875562</v>
      </c>
      <c r="W25" s="41">
        <f t="shared" si="8"/>
        <v>28508.445869233779</v>
      </c>
      <c r="X25" s="41">
        <f t="shared" si="8"/>
        <v>29659.474371204087</v>
      </c>
      <c r="Y25" s="41">
        <f t="shared" si="8"/>
        <v>30856.975648941447</v>
      </c>
      <c r="Z25" s="41">
        <f t="shared" si="8"/>
        <v>32102.82604076745</v>
      </c>
      <c r="AA25" s="41">
        <f t="shared" si="8"/>
        <v>33398.977642163431</v>
      </c>
      <c r="AB25" s="41">
        <f t="shared" si="8"/>
        <v>34747.461364465773</v>
      </c>
      <c r="AC25" s="41">
        <f t="shared" si="8"/>
        <v>36150.390117056071</v>
      </c>
      <c r="AD25" s="41">
        <f t="shared" si="8"/>
        <v>37609.962118032199</v>
      </c>
      <c r="AE25" s="41">
        <f t="shared" si="8"/>
        <v>39128.464338547739</v>
      </c>
      <c r="AF25" s="41">
        <f t="shared" si="8"/>
        <v>40708.276086216603</v>
      </c>
      <c r="AG25" s="41">
        <f t="shared" si="8"/>
        <v>42351.87273319759</v>
      </c>
      <c r="AH25" s="41">
        <f t="shared" si="8"/>
        <v>44061.829594800438</v>
      </c>
      <c r="AI25" s="41">
        <f t="shared" si="8"/>
        <v>45840.825964690499</v>
      </c>
      <c r="AJ25" s="41">
        <f t="shared" si="8"/>
        <v>47691.649313014874</v>
      </c>
      <c r="AK25" s="41">
        <f t="shared" si="8"/>
        <v>49617.199654027841</v>
      </c>
      <c r="AL25" s="41">
        <f t="shared" si="8"/>
        <v>51620.494090059205</v>
      </c>
      <c r="AM25" s="41">
        <f t="shared" si="8"/>
        <v>53704.671538945338</v>
      </c>
      <c r="AN25" s="41">
        <f t="shared" si="8"/>
        <v>55872.997652330247</v>
      </c>
      <c r="AO25" s="41">
        <f t="shared" si="8"/>
        <v>58128.869932543072</v>
      </c>
    </row>
    <row r="26" spans="2:41" x14ac:dyDescent="0.25">
      <c r="B26" s="57"/>
      <c r="D26" s="58"/>
      <c r="G26" s="36"/>
      <c r="H26" s="36" t="str">
        <f t="shared" si="6"/>
        <v>Road Costs</v>
      </c>
      <c r="I26" s="36"/>
      <c r="J26" s="36"/>
      <c r="K26" s="41">
        <f t="shared" si="7"/>
        <v>10131.099999999999</v>
      </c>
      <c r="L26" s="41">
        <f t="shared" ref="L26:AA32" si="9">K26*(1+$C$24)*(1+$C$23)</f>
        <v>10540.143162499997</v>
      </c>
      <c r="M26" s="41">
        <f t="shared" si="9"/>
        <v>10965.701442685933</v>
      </c>
      <c r="N26" s="41">
        <f t="shared" si="9"/>
        <v>11408.441638434377</v>
      </c>
      <c r="O26" s="41">
        <f t="shared" si="9"/>
        <v>11869.057469586163</v>
      </c>
      <c r="P26" s="41">
        <f t="shared" si="9"/>
        <v>12348.270664920701</v>
      </c>
      <c r="Q26" s="41">
        <f t="shared" si="9"/>
        <v>12846.832093016872</v>
      </c>
      <c r="R26" s="41">
        <f t="shared" si="9"/>
        <v>13365.522938772427</v>
      </c>
      <c r="S26" s="41">
        <f t="shared" si="9"/>
        <v>13905.155927425361</v>
      </c>
      <c r="T26" s="41">
        <f t="shared" si="9"/>
        <v>14466.576597995157</v>
      </c>
      <c r="U26" s="41">
        <f t="shared" si="9"/>
        <v>15050.66462813921</v>
      </c>
      <c r="V26" s="41">
        <f t="shared" si="9"/>
        <v>15658.335212500328</v>
      </c>
      <c r="W26" s="41">
        <f t="shared" si="9"/>
        <v>16290.540496705025</v>
      </c>
      <c r="X26" s="41">
        <f t="shared" si="9"/>
        <v>16948.271069259488</v>
      </c>
      <c r="Y26" s="41">
        <f t="shared" si="9"/>
        <v>17632.557513680837</v>
      </c>
      <c r="Z26" s="41">
        <f t="shared" si="9"/>
        <v>18344.472023295697</v>
      </c>
      <c r="AA26" s="41">
        <f t="shared" si="9"/>
        <v>19085.130081236257</v>
      </c>
      <c r="AB26" s="41">
        <f t="shared" si="8"/>
        <v>19855.692208266166</v>
      </c>
      <c r="AC26" s="41">
        <f t="shared" si="8"/>
        <v>20657.365781174911</v>
      </c>
      <c r="AD26" s="41">
        <f t="shared" si="8"/>
        <v>21491.406924589843</v>
      </c>
      <c r="AE26" s="41">
        <f t="shared" si="8"/>
        <v>22359.122479170153</v>
      </c>
      <c r="AF26" s="41">
        <f t="shared" si="8"/>
        <v>23261.872049266643</v>
      </c>
      <c r="AG26" s="41">
        <f t="shared" si="8"/>
        <v>24201.07013325578</v>
      </c>
      <c r="AH26" s="41">
        <f t="shared" si="8"/>
        <v>25178.188339885979</v>
      </c>
      <c r="AI26" s="41">
        <f t="shared" si="8"/>
        <v>26194.757694108874</v>
      </c>
      <c r="AJ26" s="41">
        <f t="shared" si="8"/>
        <v>27252.371036008517</v>
      </c>
      <c r="AK26" s="41">
        <f t="shared" si="8"/>
        <v>28352.685516587357</v>
      </c>
      <c r="AL26" s="41">
        <f t="shared" si="8"/>
        <v>29497.425194319567</v>
      </c>
      <c r="AM26" s="41">
        <f t="shared" si="8"/>
        <v>30688.383736540214</v>
      </c>
      <c r="AN26" s="41">
        <f t="shared" si="8"/>
        <v>31927.42722990302</v>
      </c>
      <c r="AO26" s="41">
        <f t="shared" si="8"/>
        <v>33216.497104310351</v>
      </c>
    </row>
    <row r="27" spans="2:41" x14ac:dyDescent="0.25">
      <c r="B27" s="2" t="s">
        <v>65</v>
      </c>
      <c r="C27" s="65"/>
      <c r="D27" s="29"/>
      <c r="E27" s="2" t="s">
        <v>66</v>
      </c>
      <c r="G27" s="36"/>
      <c r="H27" s="36" t="str">
        <f t="shared" si="6"/>
        <v>Property &amp; Excise Tax</v>
      </c>
      <c r="I27" s="36"/>
      <c r="J27" s="36"/>
      <c r="K27" s="41">
        <f t="shared" si="7"/>
        <v>7345.0474999999988</v>
      </c>
      <c r="L27" s="41">
        <f t="shared" si="9"/>
        <v>7641.6037928124979</v>
      </c>
      <c r="M27" s="41">
        <f t="shared" si="9"/>
        <v>7950.1335459473012</v>
      </c>
      <c r="N27" s="41">
        <f t="shared" si="9"/>
        <v>8271.1201878649226</v>
      </c>
      <c r="O27" s="41">
        <f t="shared" si="9"/>
        <v>8605.0666654499673</v>
      </c>
      <c r="P27" s="41">
        <f t="shared" si="9"/>
        <v>8952.4962320675095</v>
      </c>
      <c r="Q27" s="41">
        <f t="shared" si="9"/>
        <v>9313.9532674372331</v>
      </c>
      <c r="R27" s="41">
        <f t="shared" si="9"/>
        <v>9690.0041306100102</v>
      </c>
      <c r="S27" s="41">
        <f t="shared" si="9"/>
        <v>10081.238047383387</v>
      </c>
      <c r="T27" s="41">
        <f t="shared" si="9"/>
        <v>10488.268033546488</v>
      </c>
      <c r="U27" s="41">
        <f t="shared" si="9"/>
        <v>10911.731855400925</v>
      </c>
      <c r="V27" s="41">
        <f t="shared" si="9"/>
        <v>11352.293029062736</v>
      </c>
      <c r="W27" s="41">
        <f t="shared" si="9"/>
        <v>11810.641860111142</v>
      </c>
      <c r="X27" s="41">
        <f t="shared" si="9"/>
        <v>12287.496525213128</v>
      </c>
      <c r="Y27" s="41">
        <f t="shared" si="9"/>
        <v>12783.604197418605</v>
      </c>
      <c r="Z27" s="41">
        <f t="shared" si="9"/>
        <v>13299.742216889379</v>
      </c>
      <c r="AA27" s="41">
        <f t="shared" si="9"/>
        <v>13836.719308896285</v>
      </c>
      <c r="AB27" s="41">
        <f t="shared" si="8"/>
        <v>14395.376850992969</v>
      </c>
      <c r="AC27" s="41">
        <f t="shared" si="8"/>
        <v>14976.590191351806</v>
      </c>
      <c r="AD27" s="41">
        <f t="shared" si="8"/>
        <v>15581.270020327633</v>
      </c>
      <c r="AE27" s="41">
        <f t="shared" si="8"/>
        <v>16210.363797398359</v>
      </c>
      <c r="AF27" s="41">
        <f t="shared" si="8"/>
        <v>16864.857235718315</v>
      </c>
      <c r="AG27" s="41">
        <f t="shared" si="8"/>
        <v>17545.775846610439</v>
      </c>
      <c r="AH27" s="41">
        <f t="shared" si="8"/>
        <v>18254.186546417335</v>
      </c>
      <c r="AI27" s="41">
        <f t="shared" si="8"/>
        <v>18991.19932822893</v>
      </c>
      <c r="AJ27" s="41">
        <f t="shared" si="8"/>
        <v>19757.969001106168</v>
      </c>
      <c r="AK27" s="41">
        <f t="shared" si="8"/>
        <v>20555.696999525826</v>
      </c>
      <c r="AL27" s="41">
        <f t="shared" si="8"/>
        <v>21385.633265881675</v>
      </c>
      <c r="AM27" s="41">
        <f t="shared" si="8"/>
        <v>22249.078208991643</v>
      </c>
      <c r="AN27" s="41">
        <f t="shared" si="8"/>
        <v>23147.384741679674</v>
      </c>
      <c r="AO27" s="41">
        <f t="shared" si="8"/>
        <v>24081.960400624987</v>
      </c>
    </row>
    <row r="28" spans="2:41" x14ac:dyDescent="0.25">
      <c r="B28" s="33" t="s">
        <v>67</v>
      </c>
      <c r="C28" s="66">
        <f>D28/D19</f>
        <v>0.17169999999999999</v>
      </c>
      <c r="D28" s="67">
        <f>SUM(D66:D72)</f>
        <v>886743.70565000002</v>
      </c>
      <c r="E28" s="67">
        <f>MIN(K56:AO56)</f>
        <v>362584.3167413284</v>
      </c>
      <c r="G28" s="36"/>
      <c r="H28" s="36" t="str">
        <f t="shared" si="6"/>
        <v>Other Admin</v>
      </c>
      <c r="I28" s="36"/>
      <c r="J28" s="36"/>
      <c r="K28" s="41">
        <f t="shared" si="7"/>
        <v>6331.9374999999991</v>
      </c>
      <c r="L28" s="41">
        <f t="shared" si="9"/>
        <v>6587.589476562498</v>
      </c>
      <c r="M28" s="41">
        <f t="shared" si="9"/>
        <v>6853.5634016787071</v>
      </c>
      <c r="N28" s="41">
        <f t="shared" si="9"/>
        <v>7130.2760240214839</v>
      </c>
      <c r="O28" s="41">
        <f t="shared" si="9"/>
        <v>7418.1609184913495</v>
      </c>
      <c r="P28" s="41">
        <f t="shared" si="9"/>
        <v>7717.6691655754366</v>
      </c>
      <c r="Q28" s="41">
        <f t="shared" si="9"/>
        <v>8029.2700581355439</v>
      </c>
      <c r="R28" s="41">
        <f t="shared" si="9"/>
        <v>8353.4518367327655</v>
      </c>
      <c r="S28" s="41">
        <f t="shared" si="9"/>
        <v>8690.7224546408488</v>
      </c>
      <c r="T28" s="41">
        <f t="shared" si="9"/>
        <v>9041.6103737469712</v>
      </c>
      <c r="U28" s="41">
        <f t="shared" si="9"/>
        <v>9406.6653925870032</v>
      </c>
      <c r="V28" s="41">
        <f t="shared" si="9"/>
        <v>9786.4595078127022</v>
      </c>
      <c r="W28" s="41">
        <f t="shared" si="9"/>
        <v>10181.587810440638</v>
      </c>
      <c r="X28" s="41">
        <f t="shared" si="9"/>
        <v>10592.669418287176</v>
      </c>
      <c r="Y28" s="41">
        <f t="shared" si="9"/>
        <v>11020.348446050519</v>
      </c>
      <c r="Z28" s="41">
        <f t="shared" si="9"/>
        <v>11465.295014559806</v>
      </c>
      <c r="AA28" s="41">
        <f t="shared" si="9"/>
        <v>11928.206300772657</v>
      </c>
      <c r="AB28" s="41">
        <f t="shared" si="8"/>
        <v>12409.807630166351</v>
      </c>
      <c r="AC28" s="41">
        <f t="shared" si="8"/>
        <v>12910.853613234316</v>
      </c>
      <c r="AD28" s="41">
        <f t="shared" si="8"/>
        <v>13432.129327868648</v>
      </c>
      <c r="AE28" s="41">
        <f t="shared" si="8"/>
        <v>13974.451549481342</v>
      </c>
      <c r="AF28" s="41">
        <f t="shared" si="8"/>
        <v>14538.670030791649</v>
      </c>
      <c r="AG28" s="41">
        <f t="shared" si="8"/>
        <v>15125.668833284859</v>
      </c>
      <c r="AH28" s="41">
        <f t="shared" si="8"/>
        <v>15736.367712428731</v>
      </c>
      <c r="AI28" s="41">
        <f t="shared" si="8"/>
        <v>16371.723558818039</v>
      </c>
      <c r="AJ28" s="41">
        <f t="shared" si="8"/>
        <v>17032.731897505313</v>
      </c>
      <c r="AK28" s="41">
        <f t="shared" si="8"/>
        <v>17720.428447867085</v>
      </c>
      <c r="AL28" s="41">
        <f t="shared" si="8"/>
        <v>18435.890746449717</v>
      </c>
      <c r="AM28" s="41">
        <f t="shared" si="8"/>
        <v>19180.239835337623</v>
      </c>
      <c r="AN28" s="41">
        <f t="shared" si="8"/>
        <v>19954.642018689377</v>
      </c>
      <c r="AO28" s="41">
        <f t="shared" si="8"/>
        <v>20760.310690193957</v>
      </c>
    </row>
    <row r="29" spans="2:41" x14ac:dyDescent="0.25">
      <c r="B29" s="33" t="s">
        <v>68</v>
      </c>
      <c r="C29" s="68">
        <v>0</v>
      </c>
      <c r="D29" s="67">
        <f>($D$19)*C29</f>
        <v>0</v>
      </c>
      <c r="E29" s="34"/>
      <c r="G29" s="36"/>
      <c r="H29" s="36" t="str">
        <f t="shared" si="6"/>
        <v>Other 1</v>
      </c>
      <c r="I29" s="36"/>
      <c r="J29" s="36"/>
      <c r="K29" s="41">
        <f t="shared" si="7"/>
        <v>0</v>
      </c>
      <c r="L29" s="41">
        <f t="shared" si="9"/>
        <v>0</v>
      </c>
      <c r="M29" s="41">
        <f t="shared" si="9"/>
        <v>0</v>
      </c>
      <c r="N29" s="41">
        <f t="shared" si="9"/>
        <v>0</v>
      </c>
      <c r="O29" s="41">
        <f t="shared" si="9"/>
        <v>0</v>
      </c>
      <c r="P29" s="41">
        <f t="shared" si="9"/>
        <v>0</v>
      </c>
      <c r="Q29" s="41">
        <f t="shared" si="9"/>
        <v>0</v>
      </c>
      <c r="R29" s="41">
        <f t="shared" si="9"/>
        <v>0</v>
      </c>
      <c r="S29" s="41">
        <f t="shared" si="9"/>
        <v>0</v>
      </c>
      <c r="T29" s="41">
        <f t="shared" si="9"/>
        <v>0</v>
      </c>
      <c r="U29" s="41">
        <f t="shared" si="9"/>
        <v>0</v>
      </c>
      <c r="V29" s="41">
        <f t="shared" si="9"/>
        <v>0</v>
      </c>
      <c r="W29" s="41">
        <f t="shared" si="9"/>
        <v>0</v>
      </c>
      <c r="X29" s="41">
        <f t="shared" si="9"/>
        <v>0</v>
      </c>
      <c r="Y29" s="41">
        <f t="shared" si="9"/>
        <v>0</v>
      </c>
      <c r="Z29" s="41">
        <f t="shared" si="9"/>
        <v>0</v>
      </c>
      <c r="AA29" s="41">
        <f t="shared" si="9"/>
        <v>0</v>
      </c>
      <c r="AB29" s="41">
        <f t="shared" si="8"/>
        <v>0</v>
      </c>
      <c r="AC29" s="41">
        <f t="shared" si="8"/>
        <v>0</v>
      </c>
      <c r="AD29" s="41">
        <f t="shared" si="8"/>
        <v>0</v>
      </c>
      <c r="AE29" s="41">
        <f t="shared" si="8"/>
        <v>0</v>
      </c>
      <c r="AF29" s="41">
        <f t="shared" si="8"/>
        <v>0</v>
      </c>
      <c r="AG29" s="41">
        <f t="shared" si="8"/>
        <v>0</v>
      </c>
      <c r="AH29" s="41">
        <f t="shared" si="8"/>
        <v>0</v>
      </c>
      <c r="AI29" s="41">
        <f t="shared" si="8"/>
        <v>0</v>
      </c>
      <c r="AJ29" s="41">
        <f t="shared" si="8"/>
        <v>0</v>
      </c>
      <c r="AK29" s="41">
        <f t="shared" si="8"/>
        <v>0</v>
      </c>
      <c r="AL29" s="41">
        <f t="shared" si="8"/>
        <v>0</v>
      </c>
      <c r="AM29" s="41">
        <f t="shared" si="8"/>
        <v>0</v>
      </c>
      <c r="AN29" s="41">
        <f t="shared" si="8"/>
        <v>0</v>
      </c>
      <c r="AO29" s="41">
        <f t="shared" si="8"/>
        <v>0</v>
      </c>
    </row>
    <row r="30" spans="2:41" x14ac:dyDescent="0.25">
      <c r="B30" s="33" t="s">
        <v>69</v>
      </c>
      <c r="C30" s="66">
        <f>D30/-J12</f>
        <v>0.34983110047846894</v>
      </c>
      <c r="D30" s="67">
        <f>D19-(D28+D29+D31+D32)</f>
        <v>1806700.7943500001</v>
      </c>
      <c r="E30" s="67"/>
      <c r="G30" s="36"/>
      <c r="H30" s="36" t="str">
        <f t="shared" si="6"/>
        <v>Other 2</v>
      </c>
      <c r="I30" s="36"/>
      <c r="J30" s="36"/>
      <c r="K30" s="41">
        <f t="shared" si="7"/>
        <v>0</v>
      </c>
      <c r="L30" s="41">
        <f t="shared" si="9"/>
        <v>0</v>
      </c>
      <c r="M30" s="41">
        <f t="shared" si="9"/>
        <v>0</v>
      </c>
      <c r="N30" s="41">
        <f t="shared" si="9"/>
        <v>0</v>
      </c>
      <c r="O30" s="41">
        <f t="shared" si="9"/>
        <v>0</v>
      </c>
      <c r="P30" s="41">
        <f t="shared" si="9"/>
        <v>0</v>
      </c>
      <c r="Q30" s="41">
        <f t="shared" si="9"/>
        <v>0</v>
      </c>
      <c r="R30" s="41">
        <f t="shared" si="9"/>
        <v>0</v>
      </c>
      <c r="S30" s="41">
        <f t="shared" si="9"/>
        <v>0</v>
      </c>
      <c r="T30" s="41">
        <f t="shared" si="9"/>
        <v>0</v>
      </c>
      <c r="U30" s="41">
        <f t="shared" si="9"/>
        <v>0</v>
      </c>
      <c r="V30" s="41">
        <f t="shared" si="9"/>
        <v>0</v>
      </c>
      <c r="W30" s="41">
        <f t="shared" si="9"/>
        <v>0</v>
      </c>
      <c r="X30" s="41">
        <f t="shared" si="9"/>
        <v>0</v>
      </c>
      <c r="Y30" s="41">
        <f t="shared" si="9"/>
        <v>0</v>
      </c>
      <c r="Z30" s="41">
        <f t="shared" si="9"/>
        <v>0</v>
      </c>
      <c r="AA30" s="41">
        <f t="shared" si="9"/>
        <v>0</v>
      </c>
      <c r="AB30" s="41">
        <f t="shared" si="8"/>
        <v>0</v>
      </c>
      <c r="AC30" s="41">
        <f t="shared" si="8"/>
        <v>0</v>
      </c>
      <c r="AD30" s="41">
        <f t="shared" si="8"/>
        <v>0</v>
      </c>
      <c r="AE30" s="41">
        <f t="shared" si="8"/>
        <v>0</v>
      </c>
      <c r="AF30" s="41">
        <f t="shared" si="8"/>
        <v>0</v>
      </c>
      <c r="AG30" s="41">
        <f t="shared" si="8"/>
        <v>0</v>
      </c>
      <c r="AH30" s="41">
        <f t="shared" si="8"/>
        <v>0</v>
      </c>
      <c r="AI30" s="41">
        <f t="shared" si="8"/>
        <v>0</v>
      </c>
      <c r="AJ30" s="41">
        <f t="shared" si="8"/>
        <v>0</v>
      </c>
      <c r="AK30" s="41">
        <f t="shared" si="8"/>
        <v>0</v>
      </c>
      <c r="AL30" s="41">
        <f t="shared" si="8"/>
        <v>0</v>
      </c>
      <c r="AM30" s="41">
        <f t="shared" si="8"/>
        <v>0</v>
      </c>
      <c r="AN30" s="41">
        <f t="shared" si="8"/>
        <v>0</v>
      </c>
      <c r="AO30" s="41">
        <f t="shared" si="8"/>
        <v>0</v>
      </c>
    </row>
    <row r="31" spans="2:41" x14ac:dyDescent="0.25">
      <c r="B31" s="33" t="s">
        <v>70</v>
      </c>
      <c r="C31" s="66">
        <f>J15/D19</f>
        <v>0.4784688995215311</v>
      </c>
      <c r="D31" s="67">
        <f>J15</f>
        <v>2471050</v>
      </c>
      <c r="E31" s="33"/>
      <c r="G31" s="36"/>
      <c r="H31" s="36" t="str">
        <f t="shared" si="6"/>
        <v>Other 3</v>
      </c>
      <c r="I31" s="36"/>
      <c r="J31" s="36"/>
      <c r="K31" s="41">
        <f t="shared" si="7"/>
        <v>0</v>
      </c>
      <c r="L31" s="41">
        <f t="shared" si="9"/>
        <v>0</v>
      </c>
      <c r="M31" s="41">
        <f t="shared" si="9"/>
        <v>0</v>
      </c>
      <c r="N31" s="41">
        <f t="shared" si="9"/>
        <v>0</v>
      </c>
      <c r="O31" s="41">
        <f t="shared" si="9"/>
        <v>0</v>
      </c>
      <c r="P31" s="41">
        <f t="shared" si="9"/>
        <v>0</v>
      </c>
      <c r="Q31" s="41">
        <f t="shared" si="9"/>
        <v>0</v>
      </c>
      <c r="R31" s="41">
        <f t="shared" si="9"/>
        <v>0</v>
      </c>
      <c r="S31" s="41">
        <f t="shared" si="9"/>
        <v>0</v>
      </c>
      <c r="T31" s="41">
        <f t="shared" si="9"/>
        <v>0</v>
      </c>
      <c r="U31" s="41">
        <f t="shared" si="9"/>
        <v>0</v>
      </c>
      <c r="V31" s="41">
        <f t="shared" si="9"/>
        <v>0</v>
      </c>
      <c r="W31" s="41">
        <f t="shared" si="9"/>
        <v>0</v>
      </c>
      <c r="X31" s="41">
        <f t="shared" si="9"/>
        <v>0</v>
      </c>
      <c r="Y31" s="41">
        <f t="shared" si="9"/>
        <v>0</v>
      </c>
      <c r="Z31" s="41">
        <f t="shared" si="9"/>
        <v>0</v>
      </c>
      <c r="AA31" s="41">
        <f t="shared" si="9"/>
        <v>0</v>
      </c>
      <c r="AB31" s="41">
        <f t="shared" si="8"/>
        <v>0</v>
      </c>
      <c r="AC31" s="41">
        <f t="shared" si="8"/>
        <v>0</v>
      </c>
      <c r="AD31" s="41">
        <f t="shared" si="8"/>
        <v>0</v>
      </c>
      <c r="AE31" s="41">
        <f t="shared" si="8"/>
        <v>0</v>
      </c>
      <c r="AF31" s="41">
        <f t="shared" si="8"/>
        <v>0</v>
      </c>
      <c r="AG31" s="41">
        <f t="shared" si="8"/>
        <v>0</v>
      </c>
      <c r="AH31" s="41">
        <f t="shared" si="8"/>
        <v>0</v>
      </c>
      <c r="AI31" s="41">
        <f t="shared" si="8"/>
        <v>0</v>
      </c>
      <c r="AJ31" s="41">
        <f t="shared" si="8"/>
        <v>0</v>
      </c>
      <c r="AK31" s="41">
        <f t="shared" si="8"/>
        <v>0</v>
      </c>
      <c r="AL31" s="41">
        <f t="shared" si="8"/>
        <v>0</v>
      </c>
      <c r="AM31" s="41">
        <f t="shared" si="8"/>
        <v>0</v>
      </c>
      <c r="AN31" s="41">
        <f t="shared" si="8"/>
        <v>0</v>
      </c>
      <c r="AO31" s="41">
        <f t="shared" si="8"/>
        <v>0</v>
      </c>
    </row>
    <row r="32" spans="2:41" x14ac:dyDescent="0.25">
      <c r="B32" s="69" t="s">
        <v>71</v>
      </c>
      <c r="C32" s="70">
        <f>D32/D19</f>
        <v>0</v>
      </c>
      <c r="D32" s="71">
        <v>0</v>
      </c>
      <c r="E32" s="72"/>
      <c r="G32" s="36"/>
      <c r="H32" s="35" t="s">
        <v>72</v>
      </c>
      <c r="I32" s="36"/>
      <c r="J32" s="36"/>
      <c r="K32" s="41">
        <f t="shared" si="7"/>
        <v>0</v>
      </c>
      <c r="L32" s="41">
        <f t="shared" si="9"/>
        <v>0</v>
      </c>
      <c r="M32" s="41">
        <f t="shared" si="9"/>
        <v>0</v>
      </c>
      <c r="N32" s="41">
        <f t="shared" si="9"/>
        <v>0</v>
      </c>
      <c r="O32" s="41">
        <f t="shared" si="9"/>
        <v>0</v>
      </c>
      <c r="P32" s="41">
        <f t="shared" si="9"/>
        <v>0</v>
      </c>
      <c r="Q32" s="41">
        <f t="shared" si="9"/>
        <v>0</v>
      </c>
      <c r="R32" s="41">
        <f t="shared" si="9"/>
        <v>0</v>
      </c>
      <c r="S32" s="41">
        <f t="shared" si="9"/>
        <v>0</v>
      </c>
      <c r="T32" s="41">
        <f t="shared" si="9"/>
        <v>0</v>
      </c>
      <c r="U32" s="41">
        <f t="shared" si="9"/>
        <v>0</v>
      </c>
      <c r="V32" s="41">
        <f t="shared" si="9"/>
        <v>0</v>
      </c>
      <c r="W32" s="41">
        <f t="shared" si="9"/>
        <v>0</v>
      </c>
      <c r="X32" s="41">
        <f t="shared" si="9"/>
        <v>0</v>
      </c>
      <c r="Y32" s="41">
        <f t="shared" si="9"/>
        <v>0</v>
      </c>
      <c r="Z32" s="41">
        <f t="shared" si="9"/>
        <v>0</v>
      </c>
      <c r="AA32" s="41">
        <f t="shared" si="9"/>
        <v>0</v>
      </c>
      <c r="AB32" s="41">
        <f t="shared" si="8"/>
        <v>0</v>
      </c>
      <c r="AC32" s="41">
        <f t="shared" si="8"/>
        <v>0</v>
      </c>
      <c r="AD32" s="41">
        <f t="shared" si="8"/>
        <v>0</v>
      </c>
      <c r="AE32" s="41">
        <f t="shared" si="8"/>
        <v>0</v>
      </c>
      <c r="AF32" s="41">
        <f t="shared" si="8"/>
        <v>0</v>
      </c>
      <c r="AG32" s="41">
        <f t="shared" si="8"/>
        <v>0</v>
      </c>
      <c r="AH32" s="41">
        <f t="shared" si="8"/>
        <v>0</v>
      </c>
      <c r="AI32" s="41">
        <f t="shared" si="8"/>
        <v>0</v>
      </c>
      <c r="AJ32" s="41">
        <f t="shared" si="8"/>
        <v>0</v>
      </c>
      <c r="AK32" s="41">
        <f t="shared" si="8"/>
        <v>0</v>
      </c>
      <c r="AL32" s="41">
        <f t="shared" si="8"/>
        <v>0</v>
      </c>
      <c r="AM32" s="41">
        <f t="shared" si="8"/>
        <v>0</v>
      </c>
      <c r="AN32" s="41">
        <f t="shared" si="8"/>
        <v>0</v>
      </c>
      <c r="AO32" s="41">
        <f t="shared" si="8"/>
        <v>0</v>
      </c>
    </row>
    <row r="33" spans="2:41" x14ac:dyDescent="0.25">
      <c r="B33" s="54" t="s">
        <v>73</v>
      </c>
      <c r="C33" s="73">
        <f>SUM(C28:C32)</f>
        <v>1</v>
      </c>
      <c r="D33" s="74">
        <f>SUM(D28:D32)</f>
        <v>5164494.5</v>
      </c>
      <c r="E33" s="75">
        <f>D19-D33</f>
        <v>0</v>
      </c>
      <c r="G33" s="36"/>
      <c r="H33" s="62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</row>
    <row r="34" spans="2:41" x14ac:dyDescent="0.25">
      <c r="B34" s="57"/>
      <c r="C34" s="76"/>
      <c r="D34" s="12"/>
      <c r="E34" s="12"/>
      <c r="G34" s="40" t="s">
        <v>74</v>
      </c>
    </row>
    <row r="35" spans="2:41" x14ac:dyDescent="0.25">
      <c r="B35" s="2" t="s">
        <v>44</v>
      </c>
      <c r="C35" s="2" t="s">
        <v>75</v>
      </c>
      <c r="D35" s="29"/>
      <c r="E35" s="2" t="s">
        <v>76</v>
      </c>
      <c r="G35" s="36"/>
      <c r="H35" s="36" t="str">
        <f t="shared" ref="H35:H40" si="10">B55</f>
        <v>Pre-Commercial Thinning</v>
      </c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</row>
    <row r="36" spans="2:41" x14ac:dyDescent="0.25">
      <c r="B36" s="33" t="s">
        <v>228</v>
      </c>
      <c r="C36" s="42">
        <v>0.5</v>
      </c>
      <c r="D36" s="67">
        <f>E36*D13</f>
        <v>1235.5250000000001</v>
      </c>
      <c r="E36" s="77">
        <f>1-C36</f>
        <v>0.5</v>
      </c>
      <c r="G36" s="36"/>
      <c r="H36" s="36" t="str">
        <f t="shared" si="10"/>
        <v>Timber Stand Improvement</v>
      </c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</row>
    <row r="37" spans="2:41" x14ac:dyDescent="0.25">
      <c r="B37" s="33" t="s">
        <v>78</v>
      </c>
      <c r="C37" s="78">
        <v>1</v>
      </c>
      <c r="E37" s="34"/>
      <c r="G37" s="36"/>
      <c r="H37" s="36" t="str">
        <f t="shared" si="10"/>
        <v>Herbicide</v>
      </c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</row>
    <row r="38" spans="2:41" x14ac:dyDescent="0.25">
      <c r="B38" s="33" t="s">
        <v>79</v>
      </c>
      <c r="C38" s="38">
        <v>0</v>
      </c>
      <c r="D38" s="78"/>
      <c r="E38" s="34"/>
      <c r="G38" s="36"/>
      <c r="H38" s="36" t="str">
        <f t="shared" si="10"/>
        <v>Pruning</v>
      </c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</row>
    <row r="39" spans="2:41" x14ac:dyDescent="0.25">
      <c r="B39" s="33" t="s">
        <v>80</v>
      </c>
      <c r="C39" s="42">
        <f>'[1]Output from Pool'!F11</f>
        <v>0</v>
      </c>
      <c r="D39" s="33"/>
      <c r="E39" s="33"/>
      <c r="G39" s="36"/>
      <c r="H39" s="36" t="str">
        <f t="shared" si="10"/>
        <v>Planted Trees</v>
      </c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</row>
    <row r="40" spans="2:41" x14ac:dyDescent="0.25">
      <c r="B40" s="33" t="s">
        <v>81</v>
      </c>
      <c r="C40" s="42">
        <f>'[1]Output from Pool'!G11</f>
        <v>0</v>
      </c>
      <c r="D40" s="33"/>
      <c r="E40" s="33"/>
      <c r="G40" s="36"/>
      <c r="H40" s="36" t="str">
        <f t="shared" si="10"/>
        <v>Planting Costs</v>
      </c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</row>
    <row r="41" spans="2:41" x14ac:dyDescent="0.25">
      <c r="B41" s="33" t="s">
        <v>82</v>
      </c>
      <c r="C41" s="42">
        <f>'[1]Output from Pool'!H11</f>
        <v>0</v>
      </c>
      <c r="D41" s="33"/>
      <c r="E41" s="33"/>
      <c r="G41" s="36"/>
      <c r="H41" s="62"/>
      <c r="I41" s="63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</row>
    <row r="42" spans="2:41" x14ac:dyDescent="0.25">
      <c r="B42" s="33" t="s">
        <v>83</v>
      </c>
      <c r="C42" s="79">
        <f>IF(C38=0,0,(1-(C39+C40+C41)))</f>
        <v>0</v>
      </c>
      <c r="D42" s="80">
        <f>(1-(C39+C40+C41))*MAX(K15:O15)</f>
        <v>0</v>
      </c>
      <c r="E42" s="33"/>
      <c r="G42" s="50" t="s">
        <v>238</v>
      </c>
      <c r="H42" s="59"/>
      <c r="I42" s="59"/>
      <c r="J42" s="60">
        <f t="shared" ref="J42:AO42" si="11">SUM(J24:J32)-SUM(J35:J41)</f>
        <v>0</v>
      </c>
      <c r="K42" s="60">
        <f t="shared" si="11"/>
        <v>41537.509999999995</v>
      </c>
      <c r="L42" s="60">
        <f t="shared" si="11"/>
        <v>43214.58696624999</v>
      </c>
      <c r="M42" s="60">
        <f t="shared" si="11"/>
        <v>44959.375915012322</v>
      </c>
      <c r="N42" s="60">
        <f t="shared" si="11"/>
        <v>46774.610717580937</v>
      </c>
      <c r="O42" s="60">
        <f t="shared" si="11"/>
        <v>48663.135625303257</v>
      </c>
      <c r="P42" s="60">
        <f t="shared" si="11"/>
        <v>50627.909726174868</v>
      </c>
      <c r="Q42" s="60">
        <f t="shared" si="11"/>
        <v>52672.011581369174</v>
      </c>
      <c r="R42" s="60">
        <f t="shared" si="11"/>
        <v>54798.644048966948</v>
      </c>
      <c r="S42" s="60">
        <f t="shared" si="11"/>
        <v>57011.139302443968</v>
      </c>
      <c r="T42" s="60">
        <f t="shared" si="11"/>
        <v>59312.964051780131</v>
      </c>
      <c r="U42" s="60">
        <f t="shared" si="11"/>
        <v>61707.724975370744</v>
      </c>
      <c r="V42" s="60">
        <f t="shared" si="11"/>
        <v>64199.174371251327</v>
      </c>
      <c r="W42" s="60">
        <f t="shared" si="11"/>
        <v>66791.216036490587</v>
      </c>
      <c r="X42" s="60">
        <f t="shared" si="11"/>
        <v>69487.911383963889</v>
      </c>
      <c r="Y42" s="60">
        <f t="shared" si="11"/>
        <v>72293.485806091398</v>
      </c>
      <c r="Z42" s="60">
        <f t="shared" si="11"/>
        <v>75212.335295512326</v>
      </c>
      <c r="AA42" s="60">
        <f t="shared" si="11"/>
        <v>78249.033333068626</v>
      </c>
      <c r="AB42" s="60">
        <f t="shared" si="11"/>
        <v>81408.338053891261</v>
      </c>
      <c r="AC42" s="60">
        <f t="shared" si="11"/>
        <v>84695.199702817103</v>
      </c>
      <c r="AD42" s="60">
        <f t="shared" si="11"/>
        <v>88114.768390818324</v>
      </c>
      <c r="AE42" s="60">
        <f t="shared" si="11"/>
        <v>91672.402164597588</v>
      </c>
      <c r="AF42" s="60">
        <f t="shared" si="11"/>
        <v>95373.675401993212</v>
      </c>
      <c r="AG42" s="60">
        <f t="shared" si="11"/>
        <v>99224.387546348677</v>
      </c>
      <c r="AH42" s="60">
        <f t="shared" si="11"/>
        <v>103230.57219353248</v>
      </c>
      <c r="AI42" s="60">
        <f t="shared" si="11"/>
        <v>107398.50654584634</v>
      </c>
      <c r="AJ42" s="60">
        <f t="shared" si="11"/>
        <v>111734.72124763488</v>
      </c>
      <c r="AK42" s="60">
        <f t="shared" si="11"/>
        <v>116246.01061800811</v>
      </c>
      <c r="AL42" s="60">
        <f t="shared" si="11"/>
        <v>120939.44329671016</v>
      </c>
      <c r="AM42" s="60">
        <f t="shared" si="11"/>
        <v>125822.37331981483</v>
      </c>
      <c r="AN42" s="60">
        <f t="shared" si="11"/>
        <v>130902.45164260232</v>
      </c>
      <c r="AO42" s="60">
        <f t="shared" si="11"/>
        <v>136187.63812767237</v>
      </c>
    </row>
    <row r="44" spans="2:41" x14ac:dyDescent="0.25">
      <c r="B44" s="2" t="s">
        <v>85</v>
      </c>
      <c r="C44" s="81" t="s">
        <v>86</v>
      </c>
      <c r="D44" s="81" t="s">
        <v>87</v>
      </c>
      <c r="E44" s="81" t="s">
        <v>88</v>
      </c>
      <c r="G44" s="82" t="s">
        <v>89</v>
      </c>
      <c r="H44" s="83"/>
      <c r="I44" s="83"/>
      <c r="J44" s="84">
        <f>J22-SUM(J24:J32)-SUM(J35:J41)</f>
        <v>-2693444.5</v>
      </c>
      <c r="K44" s="84">
        <f t="shared" ref="K44:AO44" si="12">K22-SUM(K25:K32)-SUM(K35:K41)</f>
        <v>402739.65578420792</v>
      </c>
      <c r="L44" s="84">
        <f t="shared" si="12"/>
        <v>122766.22476756251</v>
      </c>
      <c r="M44" s="84">
        <f t="shared" si="12"/>
        <v>138695.57336056777</v>
      </c>
      <c r="N44" s="84">
        <f t="shared" si="12"/>
        <v>156635.10459258338</v>
      </c>
      <c r="O44" s="84">
        <f t="shared" si="12"/>
        <v>176547.48052903346</v>
      </c>
      <c r="P44" s="84">
        <f t="shared" si="12"/>
        <v>198945.69864083268</v>
      </c>
      <c r="Q44" s="84">
        <f t="shared" si="12"/>
        <v>223460.82183348489</v>
      </c>
      <c r="R44" s="84">
        <f t="shared" si="12"/>
        <v>63462.086355343767</v>
      </c>
      <c r="S44" s="84">
        <f t="shared" si="12"/>
        <v>16984.141443516703</v>
      </c>
      <c r="T44" s="84">
        <f t="shared" si="12"/>
        <v>22722.60727849917</v>
      </c>
      <c r="U44" s="84">
        <f t="shared" si="12"/>
        <v>204325.81748966238</v>
      </c>
      <c r="V44" s="84">
        <f t="shared" si="12"/>
        <v>34588.26279936482</v>
      </c>
      <c r="W44" s="84">
        <f t="shared" si="12"/>
        <v>42111.863825587716</v>
      </c>
      <c r="X44" s="84">
        <f t="shared" si="12"/>
        <v>50574.57821145792</v>
      </c>
      <c r="Y44" s="84">
        <f t="shared" si="12"/>
        <v>60079.745496198564</v>
      </c>
      <c r="Z44" s="84">
        <f t="shared" si="12"/>
        <v>91344.896574594502</v>
      </c>
      <c r="AA44" s="84">
        <f t="shared" si="12"/>
        <v>82683.073747163173</v>
      </c>
      <c r="AB44" s="84">
        <f t="shared" si="12"/>
        <v>96051.975585744396</v>
      </c>
      <c r="AC44" s="84">
        <f t="shared" si="12"/>
        <v>110998.43675900873</v>
      </c>
      <c r="AD44" s="84">
        <f t="shared" si="12"/>
        <v>127696.84312315247</v>
      </c>
      <c r="AE44" s="84">
        <f t="shared" si="12"/>
        <v>994204.12845187308</v>
      </c>
      <c r="AF44" s="84">
        <f t="shared" si="12"/>
        <v>-91689.304511780821</v>
      </c>
      <c r="AG44" s="84">
        <f t="shared" si="12"/>
        <v>-95372.377780631621</v>
      </c>
      <c r="AH44" s="84">
        <f t="shared" si="12"/>
        <v>-99203.295983475298</v>
      </c>
      <c r="AI44" s="84">
        <f t="shared" si="12"/>
        <v>-103187.98926823155</v>
      </c>
      <c r="AJ44" s="84">
        <f t="shared" si="12"/>
        <v>671845.32468597312</v>
      </c>
      <c r="AK44" s="84">
        <f t="shared" si="12"/>
        <v>-111643.6194447364</v>
      </c>
      <c r="AL44" s="84">
        <f t="shared" si="12"/>
        <v>-116127.64332505458</v>
      </c>
      <c r="AM44" s="84">
        <f t="shared" si="12"/>
        <v>-120791.63644944892</v>
      </c>
      <c r="AN44" s="84">
        <f t="shared" si="12"/>
        <v>-125642.81624463477</v>
      </c>
      <c r="AO44" s="84">
        <f t="shared" si="12"/>
        <v>1700594.3883594624</v>
      </c>
    </row>
    <row r="45" spans="2:41" x14ac:dyDescent="0.25">
      <c r="B45" s="33" t="s">
        <v>90</v>
      </c>
      <c r="C45" s="85">
        <f>2.471*3.5</f>
        <v>8.6485000000000003</v>
      </c>
      <c r="D45" s="85" t="s">
        <v>225</v>
      </c>
      <c r="E45" s="85" t="s">
        <v>92</v>
      </c>
      <c r="G45" s="34"/>
      <c r="H45" s="33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</row>
    <row r="46" spans="2:41" x14ac:dyDescent="0.25">
      <c r="B46" s="33" t="s">
        <v>93</v>
      </c>
      <c r="C46" s="85">
        <f>2.471*2</f>
        <v>4.9420000000000002</v>
      </c>
      <c r="D46" s="85" t="s">
        <v>225</v>
      </c>
      <c r="E46" s="85" t="s">
        <v>92</v>
      </c>
      <c r="G46" s="86" t="s">
        <v>6</v>
      </c>
      <c r="H46" s="34"/>
      <c r="I46" s="34"/>
      <c r="J46" s="43">
        <f>IF(J11=$C$85,MEDIAN(K115,K120),0)*((1+$C$23)^J11)</f>
        <v>0</v>
      </c>
      <c r="K46" s="43">
        <f t="shared" ref="K46:AO46" si="13">IF(K11=$C$85,MEDIAN(L115,L120),0)*((1+$C$23)^K11)</f>
        <v>0</v>
      </c>
      <c r="L46" s="43">
        <f t="shared" si="13"/>
        <v>0</v>
      </c>
      <c r="M46" s="43">
        <f t="shared" si="13"/>
        <v>0</v>
      </c>
      <c r="N46" s="43">
        <f t="shared" si="13"/>
        <v>0</v>
      </c>
      <c r="O46" s="43">
        <f t="shared" si="13"/>
        <v>0</v>
      </c>
      <c r="P46" s="43">
        <f t="shared" si="13"/>
        <v>0</v>
      </c>
      <c r="Q46" s="43">
        <f t="shared" si="13"/>
        <v>0</v>
      </c>
      <c r="R46" s="43">
        <f t="shared" si="13"/>
        <v>0</v>
      </c>
      <c r="S46" s="43">
        <f t="shared" si="13"/>
        <v>0</v>
      </c>
      <c r="T46" s="43">
        <f t="shared" si="13"/>
        <v>0</v>
      </c>
      <c r="U46" s="43">
        <f t="shared" si="13"/>
        <v>0</v>
      </c>
      <c r="V46" s="43">
        <f t="shared" si="13"/>
        <v>0</v>
      </c>
      <c r="W46" s="43">
        <f t="shared" si="13"/>
        <v>0</v>
      </c>
      <c r="X46" s="43">
        <f t="shared" si="13"/>
        <v>0</v>
      </c>
      <c r="Y46" s="43">
        <f t="shared" si="13"/>
        <v>4334797.7633416811</v>
      </c>
      <c r="Z46" s="43">
        <f t="shared" si="13"/>
        <v>0</v>
      </c>
      <c r="AA46" s="43">
        <f t="shared" si="13"/>
        <v>0</v>
      </c>
      <c r="AB46" s="43">
        <f t="shared" si="13"/>
        <v>0</v>
      </c>
      <c r="AC46" s="43">
        <f t="shared" si="13"/>
        <v>0</v>
      </c>
      <c r="AD46" s="43">
        <f t="shared" si="13"/>
        <v>0</v>
      </c>
      <c r="AE46" s="43">
        <f t="shared" si="13"/>
        <v>0</v>
      </c>
      <c r="AF46" s="43">
        <f t="shared" si="13"/>
        <v>0</v>
      </c>
      <c r="AG46" s="43">
        <f t="shared" si="13"/>
        <v>0</v>
      </c>
      <c r="AH46" s="43">
        <f t="shared" si="13"/>
        <v>0</v>
      </c>
      <c r="AI46" s="43">
        <f t="shared" si="13"/>
        <v>0</v>
      </c>
      <c r="AJ46" s="43">
        <f t="shared" si="13"/>
        <v>0</v>
      </c>
      <c r="AK46" s="43">
        <f t="shared" si="13"/>
        <v>0</v>
      </c>
      <c r="AL46" s="43">
        <f t="shared" si="13"/>
        <v>0</v>
      </c>
      <c r="AM46" s="43">
        <f t="shared" si="13"/>
        <v>0</v>
      </c>
      <c r="AN46" s="43">
        <f t="shared" si="13"/>
        <v>0</v>
      </c>
      <c r="AO46" s="43">
        <f t="shared" si="13"/>
        <v>0</v>
      </c>
    </row>
    <row r="47" spans="2:41" x14ac:dyDescent="0.25">
      <c r="B47" s="33" t="s">
        <v>94</v>
      </c>
      <c r="C47" s="85">
        <f>2.471*1.45</f>
        <v>3.5829499999999999</v>
      </c>
      <c r="D47" s="85" t="s">
        <v>225</v>
      </c>
      <c r="E47" s="85" t="s">
        <v>92</v>
      </c>
      <c r="G47" s="34"/>
      <c r="H47" s="33"/>
      <c r="I47" s="34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</row>
    <row r="48" spans="2:41" x14ac:dyDescent="0.25">
      <c r="B48" s="33" t="s">
        <v>95</v>
      </c>
      <c r="C48" s="85">
        <f>2.471*1.25</f>
        <v>3.0887500000000001</v>
      </c>
      <c r="D48" s="85" t="s">
        <v>225</v>
      </c>
      <c r="E48" s="85" t="s">
        <v>92</v>
      </c>
      <c r="G48" s="87" t="s">
        <v>96</v>
      </c>
      <c r="H48" s="88"/>
      <c r="I48" s="89"/>
      <c r="J48" s="72">
        <f>SUM(J44:J47)</f>
        <v>-2693444.5</v>
      </c>
      <c r="K48" s="72">
        <f t="shared" ref="K48:AO48" si="14">SUM(K44:K47)</f>
        <v>402739.65578420792</v>
      </c>
      <c r="L48" s="72">
        <f t="shared" si="14"/>
        <v>122766.22476756251</v>
      </c>
      <c r="M48" s="72">
        <f t="shared" si="14"/>
        <v>138695.57336056777</v>
      </c>
      <c r="N48" s="72">
        <f t="shared" si="14"/>
        <v>156635.10459258338</v>
      </c>
      <c r="O48" s="72">
        <f t="shared" si="14"/>
        <v>176547.48052903346</v>
      </c>
      <c r="P48" s="72">
        <f t="shared" si="14"/>
        <v>198945.69864083268</v>
      </c>
      <c r="Q48" s="72">
        <f t="shared" si="14"/>
        <v>223460.82183348489</v>
      </c>
      <c r="R48" s="72">
        <f t="shared" si="14"/>
        <v>63462.086355343767</v>
      </c>
      <c r="S48" s="72">
        <f t="shared" si="14"/>
        <v>16984.141443516703</v>
      </c>
      <c r="T48" s="72">
        <f t="shared" si="14"/>
        <v>22722.60727849917</v>
      </c>
      <c r="U48" s="72">
        <f t="shared" si="14"/>
        <v>204325.81748966238</v>
      </c>
      <c r="V48" s="72">
        <f t="shared" si="14"/>
        <v>34588.26279936482</v>
      </c>
      <c r="W48" s="72">
        <f t="shared" si="14"/>
        <v>42111.863825587716</v>
      </c>
      <c r="X48" s="72">
        <f t="shared" si="14"/>
        <v>50574.57821145792</v>
      </c>
      <c r="Y48" s="72">
        <f t="shared" si="14"/>
        <v>4394877.5088378796</v>
      </c>
      <c r="Z48" s="72">
        <f t="shared" si="14"/>
        <v>91344.896574594502</v>
      </c>
      <c r="AA48" s="72">
        <f t="shared" si="14"/>
        <v>82683.073747163173</v>
      </c>
      <c r="AB48" s="72">
        <f t="shared" si="14"/>
        <v>96051.975585744396</v>
      </c>
      <c r="AC48" s="72">
        <f t="shared" si="14"/>
        <v>110998.43675900873</v>
      </c>
      <c r="AD48" s="72">
        <f t="shared" si="14"/>
        <v>127696.84312315247</v>
      </c>
      <c r="AE48" s="72">
        <f t="shared" si="14"/>
        <v>994204.12845187308</v>
      </c>
      <c r="AF48" s="72">
        <f t="shared" si="14"/>
        <v>-91689.304511780821</v>
      </c>
      <c r="AG48" s="72">
        <f t="shared" si="14"/>
        <v>-95372.377780631621</v>
      </c>
      <c r="AH48" s="72">
        <f t="shared" si="14"/>
        <v>-99203.295983475298</v>
      </c>
      <c r="AI48" s="72">
        <f t="shared" si="14"/>
        <v>-103187.98926823155</v>
      </c>
      <c r="AJ48" s="72">
        <f t="shared" si="14"/>
        <v>671845.32468597312</v>
      </c>
      <c r="AK48" s="72">
        <f t="shared" si="14"/>
        <v>-111643.6194447364</v>
      </c>
      <c r="AL48" s="72">
        <f t="shared" si="14"/>
        <v>-116127.64332505458</v>
      </c>
      <c r="AM48" s="72">
        <f t="shared" si="14"/>
        <v>-120791.63644944892</v>
      </c>
      <c r="AN48" s="72">
        <f t="shared" si="14"/>
        <v>-125642.81624463477</v>
      </c>
      <c r="AO48" s="72">
        <f t="shared" si="14"/>
        <v>1700594.3883594624</v>
      </c>
    </row>
    <row r="49" spans="2:41" x14ac:dyDescent="0.25">
      <c r="B49" s="33" t="s">
        <v>97</v>
      </c>
      <c r="C49" s="85"/>
      <c r="D49" s="85"/>
      <c r="E49" s="85"/>
      <c r="G49" s="90"/>
      <c r="H49" s="91" t="s">
        <v>98</v>
      </c>
      <c r="I49" s="90"/>
      <c r="J49" s="92">
        <f>J90</f>
        <v>0</v>
      </c>
      <c r="K49" s="93">
        <f>K92</f>
        <v>0</v>
      </c>
      <c r="L49" s="93">
        <f t="shared" ref="L49:AO49" si="15">L92</f>
        <v>0</v>
      </c>
      <c r="M49" s="93">
        <f t="shared" si="15"/>
        <v>0</v>
      </c>
      <c r="N49" s="93">
        <f t="shared" si="15"/>
        <v>0</v>
      </c>
      <c r="O49" s="93">
        <f t="shared" si="15"/>
        <v>0</v>
      </c>
      <c r="P49" s="93">
        <f t="shared" si="15"/>
        <v>0</v>
      </c>
      <c r="Q49" s="93">
        <f t="shared" si="15"/>
        <v>0</v>
      </c>
      <c r="R49" s="93">
        <f t="shared" si="15"/>
        <v>0</v>
      </c>
      <c r="S49" s="93">
        <f t="shared" si="15"/>
        <v>0</v>
      </c>
      <c r="T49" s="93">
        <f t="shared" si="15"/>
        <v>0</v>
      </c>
      <c r="U49" s="93">
        <f t="shared" si="15"/>
        <v>0</v>
      </c>
      <c r="V49" s="93">
        <f t="shared" si="15"/>
        <v>0</v>
      </c>
      <c r="W49" s="93">
        <f t="shared" si="15"/>
        <v>0</v>
      </c>
      <c r="X49" s="93">
        <f t="shared" si="15"/>
        <v>0</v>
      </c>
      <c r="Y49" s="93">
        <f t="shared" si="15"/>
        <v>0</v>
      </c>
      <c r="Z49" s="93">
        <f t="shared" si="15"/>
        <v>0</v>
      </c>
      <c r="AA49" s="93">
        <f t="shared" si="15"/>
        <v>0</v>
      </c>
      <c r="AB49" s="93">
        <f t="shared" si="15"/>
        <v>0</v>
      </c>
      <c r="AC49" s="93">
        <f t="shared" si="15"/>
        <v>0</v>
      </c>
      <c r="AD49" s="93">
        <f t="shared" si="15"/>
        <v>0</v>
      </c>
      <c r="AE49" s="93">
        <f t="shared" si="15"/>
        <v>0</v>
      </c>
      <c r="AF49" s="93">
        <f t="shared" si="15"/>
        <v>0</v>
      </c>
      <c r="AG49" s="93">
        <f t="shared" si="15"/>
        <v>0</v>
      </c>
      <c r="AH49" s="93">
        <f t="shared" si="15"/>
        <v>0</v>
      </c>
      <c r="AI49" s="93">
        <f t="shared" si="15"/>
        <v>0</v>
      </c>
      <c r="AJ49" s="93">
        <f t="shared" si="15"/>
        <v>0</v>
      </c>
      <c r="AK49" s="93">
        <f t="shared" si="15"/>
        <v>0</v>
      </c>
      <c r="AL49" s="93">
        <f t="shared" si="15"/>
        <v>0</v>
      </c>
      <c r="AM49" s="93">
        <f t="shared" si="15"/>
        <v>0</v>
      </c>
      <c r="AN49" s="93">
        <f t="shared" si="15"/>
        <v>0</v>
      </c>
      <c r="AO49" s="93">
        <f t="shared" si="15"/>
        <v>0</v>
      </c>
    </row>
    <row r="50" spans="2:41" x14ac:dyDescent="0.25">
      <c r="B50" s="33" t="s">
        <v>99</v>
      </c>
      <c r="C50" s="85"/>
      <c r="D50" s="85"/>
      <c r="E50" s="85"/>
      <c r="G50" s="36"/>
      <c r="H50" s="35" t="s">
        <v>100</v>
      </c>
      <c r="I50" s="36"/>
      <c r="J50" s="94">
        <f>J97</f>
        <v>886743.70565000002</v>
      </c>
      <c r="K50" s="41">
        <f t="shared" ref="K50:AO50" si="16">IF(K11=$C$70,-SUM(K101:K102),-K102)</f>
        <v>-17734.874113000002</v>
      </c>
      <c r="L50" s="41">
        <f t="shared" si="16"/>
        <v>-17734.874113000002</v>
      </c>
      <c r="M50" s="41">
        <f t="shared" si="16"/>
        <v>-17734.874113000002</v>
      </c>
      <c r="N50" s="41">
        <f t="shared" si="16"/>
        <v>-232879.9596354466</v>
      </c>
      <c r="O50" s="41">
        <f t="shared" si="16"/>
        <v>-232879.9596354466</v>
      </c>
      <c r="P50" s="41">
        <f t="shared" si="16"/>
        <v>-232879.9596354466</v>
      </c>
      <c r="Q50" s="41">
        <f t="shared" si="16"/>
        <v>-228313.68591710433</v>
      </c>
      <c r="R50" s="41">
        <f t="shared" si="16"/>
        <v>0</v>
      </c>
      <c r="S50" s="41">
        <f t="shared" si="16"/>
        <v>0</v>
      </c>
      <c r="T50" s="41">
        <f t="shared" si="16"/>
        <v>0</v>
      </c>
      <c r="U50" s="41">
        <f t="shared" si="16"/>
        <v>0</v>
      </c>
      <c r="V50" s="41">
        <f t="shared" si="16"/>
        <v>0</v>
      </c>
      <c r="W50" s="41">
        <f t="shared" si="16"/>
        <v>0</v>
      </c>
      <c r="X50" s="41">
        <f t="shared" si="16"/>
        <v>0</v>
      </c>
      <c r="Y50" s="41">
        <f t="shared" si="16"/>
        <v>0</v>
      </c>
      <c r="Z50" s="41">
        <f t="shared" si="16"/>
        <v>0</v>
      </c>
      <c r="AA50" s="41">
        <f t="shared" si="16"/>
        <v>0</v>
      </c>
      <c r="AB50" s="41">
        <f t="shared" si="16"/>
        <v>0</v>
      </c>
      <c r="AC50" s="41">
        <f t="shared" si="16"/>
        <v>0</v>
      </c>
      <c r="AD50" s="41">
        <f t="shared" si="16"/>
        <v>0</v>
      </c>
      <c r="AE50" s="41">
        <f t="shared" si="16"/>
        <v>0</v>
      </c>
      <c r="AF50" s="41">
        <f t="shared" si="16"/>
        <v>0</v>
      </c>
      <c r="AG50" s="41">
        <f t="shared" si="16"/>
        <v>0</v>
      </c>
      <c r="AH50" s="41">
        <f t="shared" si="16"/>
        <v>0</v>
      </c>
      <c r="AI50" s="41">
        <f t="shared" si="16"/>
        <v>0</v>
      </c>
      <c r="AJ50" s="41">
        <f t="shared" si="16"/>
        <v>0</v>
      </c>
      <c r="AK50" s="41">
        <f t="shared" si="16"/>
        <v>0</v>
      </c>
      <c r="AL50" s="41">
        <f t="shared" si="16"/>
        <v>0</v>
      </c>
      <c r="AM50" s="41">
        <f t="shared" si="16"/>
        <v>0</v>
      </c>
      <c r="AN50" s="41">
        <f t="shared" si="16"/>
        <v>0</v>
      </c>
      <c r="AO50" s="41">
        <f t="shared" si="16"/>
        <v>0</v>
      </c>
    </row>
    <row r="51" spans="2:41" x14ac:dyDescent="0.25">
      <c r="B51" s="33" t="s">
        <v>101</v>
      </c>
      <c r="C51" s="95"/>
      <c r="D51" s="85"/>
      <c r="E51" s="85"/>
      <c r="G51" s="36"/>
      <c r="H51" s="62" t="s">
        <v>102</v>
      </c>
      <c r="I51" s="62"/>
      <c r="J51" s="96"/>
      <c r="K51" s="96">
        <f t="shared" ref="K51:AO51" si="17">-IF(SUM(K48:K50)&gt;0,SUM(K48:K50)*$C$63,IF(K11=$C$85,K46+J56,0))-(K15*$C$39)</f>
        <v>0</v>
      </c>
      <c r="L51" s="96">
        <f t="shared" si="17"/>
        <v>0</v>
      </c>
      <c r="M51" s="96">
        <f t="shared" si="17"/>
        <v>0</v>
      </c>
      <c r="N51" s="96">
        <f t="shared" si="17"/>
        <v>0</v>
      </c>
      <c r="O51" s="96">
        <f t="shared" si="17"/>
        <v>0</v>
      </c>
      <c r="P51" s="96">
        <f t="shared" si="17"/>
        <v>0</v>
      </c>
      <c r="Q51" s="96">
        <f t="shared" si="17"/>
        <v>0</v>
      </c>
      <c r="R51" s="96">
        <f t="shared" si="17"/>
        <v>0</v>
      </c>
      <c r="S51" s="96">
        <f t="shared" si="17"/>
        <v>0</v>
      </c>
      <c r="T51" s="96">
        <f t="shared" si="17"/>
        <v>0</v>
      </c>
      <c r="U51" s="96">
        <f t="shared" si="17"/>
        <v>0</v>
      </c>
      <c r="V51" s="96">
        <f t="shared" si="17"/>
        <v>0</v>
      </c>
      <c r="W51" s="96">
        <f t="shared" si="17"/>
        <v>0</v>
      </c>
      <c r="X51" s="96">
        <f t="shared" si="17"/>
        <v>0</v>
      </c>
      <c r="Y51" s="96">
        <f t="shared" si="17"/>
        <v>0</v>
      </c>
      <c r="Z51" s="96">
        <f t="shared" si="17"/>
        <v>0</v>
      </c>
      <c r="AA51" s="96">
        <f t="shared" si="17"/>
        <v>0</v>
      </c>
      <c r="AB51" s="96">
        <f t="shared" si="17"/>
        <v>0</v>
      </c>
      <c r="AC51" s="96">
        <f t="shared" si="17"/>
        <v>0</v>
      </c>
      <c r="AD51" s="96">
        <f t="shared" si="17"/>
        <v>0</v>
      </c>
      <c r="AE51" s="96">
        <f t="shared" si="17"/>
        <v>0</v>
      </c>
      <c r="AF51" s="96">
        <f t="shared" si="17"/>
        <v>0</v>
      </c>
      <c r="AG51" s="96">
        <f t="shared" si="17"/>
        <v>0</v>
      </c>
      <c r="AH51" s="96">
        <f t="shared" si="17"/>
        <v>0</v>
      </c>
      <c r="AI51" s="96">
        <f t="shared" si="17"/>
        <v>0</v>
      </c>
      <c r="AJ51" s="96">
        <f t="shared" si="17"/>
        <v>0</v>
      </c>
      <c r="AK51" s="96">
        <f t="shared" si="17"/>
        <v>0</v>
      </c>
      <c r="AL51" s="96">
        <f t="shared" si="17"/>
        <v>0</v>
      </c>
      <c r="AM51" s="96">
        <f t="shared" si="17"/>
        <v>0</v>
      </c>
      <c r="AN51" s="96">
        <f t="shared" si="17"/>
        <v>0</v>
      </c>
      <c r="AO51" s="96">
        <f t="shared" si="17"/>
        <v>0</v>
      </c>
    </row>
    <row r="52" spans="2:41" x14ac:dyDescent="0.25">
      <c r="B52" s="33" t="s">
        <v>72</v>
      </c>
      <c r="C52" s="97">
        <v>0</v>
      </c>
      <c r="D52" s="85"/>
      <c r="E52" s="85" t="s">
        <v>103</v>
      </c>
      <c r="G52" s="36"/>
      <c r="H52" s="62" t="s">
        <v>104</v>
      </c>
      <c r="I52" s="62"/>
      <c r="J52" s="96">
        <v>0</v>
      </c>
      <c r="K52" s="96">
        <f>-SUM(K105:K106)</f>
        <v>-18067.007943500001</v>
      </c>
      <c r="L52" s="96">
        <f t="shared" ref="L52:AE52" si="18">-SUM(L105:L106)</f>
        <v>-18067.007943500001</v>
      </c>
      <c r="M52" s="96">
        <f t="shared" si="18"/>
        <v>-18067.007943500001</v>
      </c>
      <c r="N52" s="96">
        <f t="shared" si="18"/>
        <v>-18067.007943500001</v>
      </c>
      <c r="O52" s="96">
        <f t="shared" si="18"/>
        <v>-18067.007943500001</v>
      </c>
      <c r="P52" s="96">
        <f t="shared" si="18"/>
        <v>-18067.007943500001</v>
      </c>
      <c r="Q52" s="96">
        <f t="shared" si="18"/>
        <v>-18067.007943500001</v>
      </c>
      <c r="R52" s="96">
        <f t="shared" si="18"/>
        <v>-18067.007943500001</v>
      </c>
      <c r="S52" s="96">
        <f t="shared" si="18"/>
        <v>-18067.007943500001</v>
      </c>
      <c r="T52" s="96">
        <f t="shared" si="18"/>
        <v>-18067.007943500001</v>
      </c>
      <c r="U52" s="96">
        <f t="shared" si="18"/>
        <v>-18067.007943500001</v>
      </c>
      <c r="V52" s="96">
        <f t="shared" si="18"/>
        <v>-18067.007943500001</v>
      </c>
      <c r="W52" s="96">
        <f t="shared" si="18"/>
        <v>-18067.007943500001</v>
      </c>
      <c r="X52" s="96">
        <f t="shared" si="18"/>
        <v>-18067.007943500001</v>
      </c>
      <c r="Y52" s="96">
        <f t="shared" si="18"/>
        <v>-18067.007943500001</v>
      </c>
      <c r="Z52" s="96">
        <f t="shared" si="18"/>
        <v>0</v>
      </c>
      <c r="AA52" s="96">
        <f t="shared" si="18"/>
        <v>0</v>
      </c>
      <c r="AB52" s="96">
        <f t="shared" si="18"/>
        <v>0</v>
      </c>
      <c r="AC52" s="96">
        <f t="shared" si="18"/>
        <v>0</v>
      </c>
      <c r="AD52" s="96">
        <f t="shared" si="18"/>
        <v>0</v>
      </c>
      <c r="AE52" s="96">
        <f t="shared" si="18"/>
        <v>0</v>
      </c>
      <c r="AF52" s="96">
        <f t="shared" ref="AF52:AO52" si="19">-SUM(AF105:AF106)</f>
        <v>0</v>
      </c>
      <c r="AG52" s="96">
        <f t="shared" si="19"/>
        <v>0</v>
      </c>
      <c r="AH52" s="96">
        <f t="shared" si="19"/>
        <v>0</v>
      </c>
      <c r="AI52" s="96">
        <f t="shared" si="19"/>
        <v>0</v>
      </c>
      <c r="AJ52" s="96">
        <f t="shared" si="19"/>
        <v>0</v>
      </c>
      <c r="AK52" s="96">
        <f t="shared" si="19"/>
        <v>0</v>
      </c>
      <c r="AL52" s="96">
        <f t="shared" si="19"/>
        <v>0</v>
      </c>
      <c r="AM52" s="96">
        <f t="shared" si="19"/>
        <v>0</v>
      </c>
      <c r="AN52" s="96">
        <f t="shared" si="19"/>
        <v>0</v>
      </c>
      <c r="AO52" s="96">
        <f t="shared" si="19"/>
        <v>0</v>
      </c>
    </row>
    <row r="53" spans="2:41" x14ac:dyDescent="0.25">
      <c r="G53" s="36"/>
      <c r="H53" s="62" t="s">
        <v>105</v>
      </c>
      <c r="I53" s="62"/>
      <c r="J53" s="96">
        <f t="shared" ref="J53:AO53" si="20">-($C$42*J15)</f>
        <v>0</v>
      </c>
      <c r="K53" s="96">
        <f t="shared" si="20"/>
        <v>0</v>
      </c>
      <c r="L53" s="96">
        <f t="shared" si="20"/>
        <v>0</v>
      </c>
      <c r="M53" s="96">
        <f t="shared" si="20"/>
        <v>0</v>
      </c>
      <c r="N53" s="96">
        <f t="shared" si="20"/>
        <v>0</v>
      </c>
      <c r="O53" s="96">
        <f t="shared" si="20"/>
        <v>0</v>
      </c>
      <c r="P53" s="96">
        <f t="shared" si="20"/>
        <v>0</v>
      </c>
      <c r="Q53" s="96">
        <f t="shared" si="20"/>
        <v>0</v>
      </c>
      <c r="R53" s="96">
        <f t="shared" si="20"/>
        <v>0</v>
      </c>
      <c r="S53" s="96">
        <f t="shared" si="20"/>
        <v>0</v>
      </c>
      <c r="T53" s="96">
        <f t="shared" si="20"/>
        <v>0</v>
      </c>
      <c r="U53" s="96">
        <f t="shared" si="20"/>
        <v>0</v>
      </c>
      <c r="V53" s="96">
        <f t="shared" si="20"/>
        <v>0</v>
      </c>
      <c r="W53" s="96">
        <f t="shared" si="20"/>
        <v>0</v>
      </c>
      <c r="X53" s="96">
        <f t="shared" si="20"/>
        <v>0</v>
      </c>
      <c r="Y53" s="96">
        <f t="shared" si="20"/>
        <v>0</v>
      </c>
      <c r="Z53" s="96">
        <f t="shared" si="20"/>
        <v>0</v>
      </c>
      <c r="AA53" s="96">
        <f t="shared" si="20"/>
        <v>0</v>
      </c>
      <c r="AB53" s="96">
        <f t="shared" si="20"/>
        <v>0</v>
      </c>
      <c r="AC53" s="96">
        <f t="shared" si="20"/>
        <v>0</v>
      </c>
      <c r="AD53" s="96">
        <f t="shared" si="20"/>
        <v>0</v>
      </c>
      <c r="AE53" s="96">
        <f t="shared" si="20"/>
        <v>0</v>
      </c>
      <c r="AF53" s="96">
        <f t="shared" si="20"/>
        <v>0</v>
      </c>
      <c r="AG53" s="96">
        <f t="shared" si="20"/>
        <v>0</v>
      </c>
      <c r="AH53" s="96">
        <f t="shared" si="20"/>
        <v>0</v>
      </c>
      <c r="AI53" s="96">
        <f t="shared" si="20"/>
        <v>0</v>
      </c>
      <c r="AJ53" s="96">
        <f t="shared" si="20"/>
        <v>0</v>
      </c>
      <c r="AK53" s="96">
        <f t="shared" si="20"/>
        <v>0</v>
      </c>
      <c r="AL53" s="96">
        <f t="shared" si="20"/>
        <v>0</v>
      </c>
      <c r="AM53" s="96">
        <f t="shared" si="20"/>
        <v>0</v>
      </c>
      <c r="AN53" s="96">
        <f t="shared" si="20"/>
        <v>0</v>
      </c>
      <c r="AO53" s="96">
        <f t="shared" si="20"/>
        <v>0</v>
      </c>
    </row>
    <row r="54" spans="2:41" x14ac:dyDescent="0.25">
      <c r="B54" s="2" t="s">
        <v>74</v>
      </c>
      <c r="C54" s="81" t="s">
        <v>86</v>
      </c>
      <c r="D54" s="81" t="s">
        <v>87</v>
      </c>
      <c r="E54" s="29"/>
      <c r="H54" s="98"/>
      <c r="I54" s="98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</row>
    <row r="55" spans="2:41" x14ac:dyDescent="0.25">
      <c r="B55" s="33" t="s">
        <v>106</v>
      </c>
      <c r="C55" s="100">
        <f>2.47105*150</f>
        <v>370.65749999999997</v>
      </c>
      <c r="D55" s="85" t="s">
        <v>225</v>
      </c>
      <c r="E55" s="34"/>
      <c r="G55" s="101" t="s">
        <v>107</v>
      </c>
      <c r="H55" s="102"/>
      <c r="I55" s="103"/>
      <c r="J55" s="104">
        <f>SUM(J48:J53)</f>
        <v>-1806700.7943500001</v>
      </c>
      <c r="K55" s="104">
        <f t="shared" ref="K55:AO55" si="21">SUM(K48:K53)</f>
        <v>366937.77372770791</v>
      </c>
      <c r="L55" s="104">
        <f t="shared" si="21"/>
        <v>86964.34271106252</v>
      </c>
      <c r="M55" s="104">
        <f t="shared" si="21"/>
        <v>102893.69130406776</v>
      </c>
      <c r="N55" s="104">
        <f t="shared" si="21"/>
        <v>-94311.862986363238</v>
      </c>
      <c r="O55" s="104">
        <f t="shared" si="21"/>
        <v>-74399.48704991315</v>
      </c>
      <c r="P55" s="104">
        <f t="shared" si="21"/>
        <v>-52001.268938113928</v>
      </c>
      <c r="Q55" s="104">
        <f t="shared" si="21"/>
        <v>-22919.87202711944</v>
      </c>
      <c r="R55" s="104">
        <f t="shared" si="21"/>
        <v>45395.078411843766</v>
      </c>
      <c r="S55" s="104">
        <f t="shared" si="21"/>
        <v>-1082.8664999832981</v>
      </c>
      <c r="T55" s="104">
        <f t="shared" si="21"/>
        <v>4655.5993349991695</v>
      </c>
      <c r="U55" s="104">
        <f t="shared" si="21"/>
        <v>186258.80954616237</v>
      </c>
      <c r="V55" s="104">
        <f t="shared" si="21"/>
        <v>16521.25485586482</v>
      </c>
      <c r="W55" s="104">
        <f t="shared" si="21"/>
        <v>24044.855882087715</v>
      </c>
      <c r="X55" s="104">
        <f t="shared" si="21"/>
        <v>32507.570267957919</v>
      </c>
      <c r="Y55" s="104">
        <f t="shared" si="21"/>
        <v>4376810.5008943798</v>
      </c>
      <c r="Z55" s="104">
        <f t="shared" si="21"/>
        <v>91344.896574594502</v>
      </c>
      <c r="AA55" s="104">
        <f t="shared" si="21"/>
        <v>82683.073747163173</v>
      </c>
      <c r="AB55" s="104">
        <f t="shared" si="21"/>
        <v>96051.975585744396</v>
      </c>
      <c r="AC55" s="104">
        <f t="shared" si="21"/>
        <v>110998.43675900873</v>
      </c>
      <c r="AD55" s="104">
        <f t="shared" si="21"/>
        <v>127696.84312315247</v>
      </c>
      <c r="AE55" s="104">
        <f t="shared" si="21"/>
        <v>994204.12845187308</v>
      </c>
      <c r="AF55" s="104">
        <f t="shared" si="21"/>
        <v>-91689.304511780821</v>
      </c>
      <c r="AG55" s="104">
        <f t="shared" si="21"/>
        <v>-95372.377780631621</v>
      </c>
      <c r="AH55" s="104">
        <f t="shared" si="21"/>
        <v>-99203.295983475298</v>
      </c>
      <c r="AI55" s="104">
        <f t="shared" si="21"/>
        <v>-103187.98926823155</v>
      </c>
      <c r="AJ55" s="104">
        <f t="shared" si="21"/>
        <v>671845.32468597312</v>
      </c>
      <c r="AK55" s="104">
        <f t="shared" si="21"/>
        <v>-111643.6194447364</v>
      </c>
      <c r="AL55" s="104">
        <f t="shared" si="21"/>
        <v>-116127.64332505458</v>
      </c>
      <c r="AM55" s="104">
        <f t="shared" si="21"/>
        <v>-120791.63644944892</v>
      </c>
      <c r="AN55" s="104">
        <f t="shared" si="21"/>
        <v>-125642.81624463477</v>
      </c>
      <c r="AO55" s="104">
        <f t="shared" si="21"/>
        <v>1700594.3883594624</v>
      </c>
    </row>
    <row r="56" spans="2:41" x14ac:dyDescent="0.25">
      <c r="B56" s="33" t="s">
        <v>108</v>
      </c>
      <c r="C56" s="100"/>
      <c r="D56" s="85"/>
      <c r="E56" s="34"/>
      <c r="G56" s="90"/>
      <c r="H56" s="105" t="s">
        <v>109</v>
      </c>
      <c r="I56" s="105"/>
      <c r="J56" s="106">
        <f>D17</f>
        <v>49421</v>
      </c>
      <c r="K56" s="105">
        <f>J56+K55</f>
        <v>416358.77372770791</v>
      </c>
      <c r="L56" s="105">
        <f t="shared" ref="L56:AO56" si="22">K56+L55</f>
        <v>503323.11643877043</v>
      </c>
      <c r="M56" s="105">
        <f t="shared" si="22"/>
        <v>606216.80774283817</v>
      </c>
      <c r="N56" s="105">
        <f t="shared" si="22"/>
        <v>511904.94475647493</v>
      </c>
      <c r="O56" s="105">
        <f t="shared" si="22"/>
        <v>437505.45770656178</v>
      </c>
      <c r="P56" s="105">
        <f t="shared" si="22"/>
        <v>385504.18876844784</v>
      </c>
      <c r="Q56" s="105">
        <f t="shared" si="22"/>
        <v>362584.3167413284</v>
      </c>
      <c r="R56" s="105">
        <f t="shared" si="22"/>
        <v>407979.39515317214</v>
      </c>
      <c r="S56" s="105">
        <f t="shared" si="22"/>
        <v>406896.52865318884</v>
      </c>
      <c r="T56" s="105">
        <f t="shared" si="22"/>
        <v>411552.127988188</v>
      </c>
      <c r="U56" s="105">
        <f t="shared" si="22"/>
        <v>597810.93753435044</v>
      </c>
      <c r="V56" s="105">
        <f t="shared" si="22"/>
        <v>614332.19239021523</v>
      </c>
      <c r="W56" s="105">
        <f t="shared" si="22"/>
        <v>638377.04827230296</v>
      </c>
      <c r="X56" s="105">
        <f t="shared" si="22"/>
        <v>670884.61854026082</v>
      </c>
      <c r="Y56" s="105">
        <f t="shared" si="22"/>
        <v>5047695.1194346407</v>
      </c>
      <c r="Z56" s="105">
        <f t="shared" si="22"/>
        <v>5139040.0160092348</v>
      </c>
      <c r="AA56" s="105">
        <f t="shared" si="22"/>
        <v>5221723.0897563975</v>
      </c>
      <c r="AB56" s="105">
        <f t="shared" si="22"/>
        <v>5317775.0653421422</v>
      </c>
      <c r="AC56" s="105">
        <f t="shared" si="22"/>
        <v>5428773.5021011513</v>
      </c>
      <c r="AD56" s="105">
        <f t="shared" si="22"/>
        <v>5556470.3452243041</v>
      </c>
      <c r="AE56" s="105">
        <f t="shared" si="22"/>
        <v>6550674.4736761767</v>
      </c>
      <c r="AF56" s="105">
        <f t="shared" si="22"/>
        <v>6458985.1691643959</v>
      </c>
      <c r="AG56" s="105">
        <f t="shared" si="22"/>
        <v>6363612.7913837647</v>
      </c>
      <c r="AH56" s="105">
        <f t="shared" si="22"/>
        <v>6264409.4954002891</v>
      </c>
      <c r="AI56" s="105">
        <f t="shared" si="22"/>
        <v>6161221.5061320579</v>
      </c>
      <c r="AJ56" s="105">
        <f t="shared" si="22"/>
        <v>6833066.830818031</v>
      </c>
      <c r="AK56" s="105">
        <f t="shared" si="22"/>
        <v>6721423.2113732947</v>
      </c>
      <c r="AL56" s="105">
        <f t="shared" si="22"/>
        <v>6605295.5680482397</v>
      </c>
      <c r="AM56" s="105">
        <f t="shared" si="22"/>
        <v>6484503.9315987909</v>
      </c>
      <c r="AN56" s="105">
        <f t="shared" si="22"/>
        <v>6358861.1153541561</v>
      </c>
      <c r="AO56" s="105">
        <f t="shared" si="22"/>
        <v>8059455.503713619</v>
      </c>
    </row>
    <row r="57" spans="2:41" x14ac:dyDescent="0.25">
      <c r="B57" s="33" t="s">
        <v>110</v>
      </c>
      <c r="C57" s="100">
        <f>2.47105*125</f>
        <v>308.88125000000002</v>
      </c>
      <c r="D57" s="85" t="s">
        <v>225</v>
      </c>
      <c r="E57" s="34"/>
      <c r="H57" s="107"/>
      <c r="I57" s="107"/>
      <c r="J57" s="108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</row>
    <row r="58" spans="2:41" x14ac:dyDescent="0.25">
      <c r="B58" s="33" t="s">
        <v>111</v>
      </c>
      <c r="C58" s="100"/>
      <c r="D58" s="85"/>
      <c r="E58" s="34"/>
      <c r="G58" s="2" t="s">
        <v>112</v>
      </c>
      <c r="H58" s="2"/>
      <c r="I58" s="2"/>
      <c r="J58" s="32"/>
      <c r="K58" s="32">
        <v>1</v>
      </c>
      <c r="L58" s="32">
        <v>2</v>
      </c>
      <c r="M58" s="32">
        <v>3</v>
      </c>
      <c r="N58" s="32">
        <v>4</v>
      </c>
      <c r="O58" s="32">
        <v>5</v>
      </c>
      <c r="P58" s="32">
        <v>6</v>
      </c>
      <c r="Q58" s="32">
        <v>7</v>
      </c>
      <c r="R58" s="32">
        <v>8</v>
      </c>
      <c r="S58" s="32">
        <v>9</v>
      </c>
      <c r="T58" s="32">
        <v>10</v>
      </c>
      <c r="U58" s="32">
        <v>11</v>
      </c>
      <c r="V58" s="32">
        <v>12</v>
      </c>
      <c r="W58" s="32">
        <v>13</v>
      </c>
      <c r="X58" s="32">
        <v>14</v>
      </c>
      <c r="Y58" s="32">
        <v>15</v>
      </c>
      <c r="Z58" s="32">
        <v>16</v>
      </c>
      <c r="AA58" s="32">
        <v>17</v>
      </c>
      <c r="AB58" s="32">
        <v>18</v>
      </c>
      <c r="AC58" s="32">
        <v>19</v>
      </c>
      <c r="AD58" s="32">
        <v>20</v>
      </c>
      <c r="AE58" s="32">
        <v>21</v>
      </c>
      <c r="AF58" s="32">
        <v>22</v>
      </c>
      <c r="AG58" s="32">
        <v>23</v>
      </c>
      <c r="AH58" s="32">
        <v>24</v>
      </c>
      <c r="AI58" s="32">
        <v>25</v>
      </c>
      <c r="AJ58" s="32">
        <v>26</v>
      </c>
      <c r="AK58" s="32">
        <v>27</v>
      </c>
      <c r="AL58" s="32">
        <v>28</v>
      </c>
      <c r="AM58" s="32">
        <v>29</v>
      </c>
      <c r="AN58" s="32">
        <v>30</v>
      </c>
      <c r="AO58" s="32">
        <v>31</v>
      </c>
    </row>
    <row r="59" spans="2:41" x14ac:dyDescent="0.25">
      <c r="B59" s="33" t="s">
        <v>113</v>
      </c>
      <c r="C59" s="100">
        <f>2.47105*650</f>
        <v>1606.1824999999999</v>
      </c>
      <c r="D59" s="85" t="s">
        <v>225</v>
      </c>
      <c r="E59" s="34"/>
      <c r="G59" t="s">
        <v>114</v>
      </c>
      <c r="J59">
        <v>1</v>
      </c>
      <c r="K59" s="27">
        <f>J59*(1+$C$23)</f>
        <v>1.0249999999999999</v>
      </c>
      <c r="L59" s="27">
        <f t="shared" ref="L59:AO59" si="23">K59*(1+$C$23)</f>
        <v>1.0506249999999999</v>
      </c>
      <c r="M59" s="27">
        <f t="shared" si="23"/>
        <v>1.0768906249999999</v>
      </c>
      <c r="N59" s="27">
        <f t="shared" si="23"/>
        <v>1.1038128906249998</v>
      </c>
      <c r="O59" s="27">
        <f t="shared" si="23"/>
        <v>1.1314082128906247</v>
      </c>
      <c r="P59" s="27">
        <f t="shared" si="23"/>
        <v>1.1596934182128902</v>
      </c>
      <c r="Q59" s="27">
        <f t="shared" si="23"/>
        <v>1.1886857536682123</v>
      </c>
      <c r="R59" s="27">
        <f t="shared" si="23"/>
        <v>1.2184028975099175</v>
      </c>
      <c r="S59" s="27">
        <f t="shared" si="23"/>
        <v>1.2488629699476652</v>
      </c>
      <c r="T59" s="27">
        <f t="shared" si="23"/>
        <v>1.2800845441963566</v>
      </c>
      <c r="U59" s="27">
        <f t="shared" si="23"/>
        <v>1.3120866578012655</v>
      </c>
      <c r="V59" s="27">
        <f t="shared" si="23"/>
        <v>1.3448888242462971</v>
      </c>
      <c r="W59" s="27">
        <f t="shared" si="23"/>
        <v>1.3785110448524545</v>
      </c>
      <c r="X59" s="27">
        <f t="shared" si="23"/>
        <v>1.4129738209737657</v>
      </c>
      <c r="Y59" s="27">
        <f t="shared" si="23"/>
        <v>1.4482981664981096</v>
      </c>
      <c r="Z59" s="27">
        <f t="shared" si="23"/>
        <v>1.4845056206605622</v>
      </c>
      <c r="AA59" s="27">
        <f t="shared" si="23"/>
        <v>1.5216182611770761</v>
      </c>
      <c r="AB59" s="27">
        <f t="shared" si="23"/>
        <v>1.5596587177065029</v>
      </c>
      <c r="AC59" s="27">
        <f t="shared" si="23"/>
        <v>1.5986501856491653</v>
      </c>
      <c r="AD59" s="27">
        <f t="shared" si="23"/>
        <v>1.6386164402903942</v>
      </c>
      <c r="AE59" s="27">
        <f t="shared" si="23"/>
        <v>1.6795818512976539</v>
      </c>
      <c r="AF59" s="27">
        <f t="shared" si="23"/>
        <v>1.721571397580095</v>
      </c>
      <c r="AG59" s="27">
        <f t="shared" si="23"/>
        <v>1.7646106825195973</v>
      </c>
      <c r="AH59" s="27">
        <f t="shared" si="23"/>
        <v>1.8087259495825871</v>
      </c>
      <c r="AI59" s="27">
        <f t="shared" si="23"/>
        <v>1.8539440983221516</v>
      </c>
      <c r="AJ59" s="27">
        <f t="shared" si="23"/>
        <v>1.9002927007802053</v>
      </c>
      <c r="AK59" s="27">
        <f t="shared" si="23"/>
        <v>1.9478000182997102</v>
      </c>
      <c r="AL59" s="27">
        <f t="shared" si="23"/>
        <v>1.9964950187572028</v>
      </c>
      <c r="AM59" s="27">
        <f t="shared" si="23"/>
        <v>2.0464073942261325</v>
      </c>
      <c r="AN59" s="27">
        <f t="shared" si="23"/>
        <v>2.0975675790817858</v>
      </c>
      <c r="AO59" s="27">
        <f t="shared" si="23"/>
        <v>2.1500067685588302</v>
      </c>
    </row>
    <row r="60" spans="2:41" x14ac:dyDescent="0.25">
      <c r="B60" s="33" t="s">
        <v>115</v>
      </c>
      <c r="C60" s="100">
        <v>0.25</v>
      </c>
      <c r="D60" s="85" t="s">
        <v>116</v>
      </c>
      <c r="E60" s="34"/>
      <c r="G60" s="50" t="s">
        <v>117</v>
      </c>
      <c r="H60" s="50"/>
      <c r="I60" s="50"/>
      <c r="J60" s="60">
        <f t="shared" ref="J60:AO60" si="24">J22/J59</f>
        <v>-2693444.5</v>
      </c>
      <c r="K60" s="60">
        <f t="shared" si="24"/>
        <v>433441.13735044678</v>
      </c>
      <c r="L60" s="60">
        <f t="shared" si="24"/>
        <v>157982.92610000001</v>
      </c>
      <c r="M60" s="60">
        <f t="shared" si="24"/>
        <v>170541.87770980003</v>
      </c>
      <c r="N60" s="60">
        <f t="shared" si="24"/>
        <v>184279.16274377797</v>
      </c>
      <c r="O60" s="60">
        <f t="shared" si="24"/>
        <v>199053.36870319169</v>
      </c>
      <c r="P60" s="60">
        <f t="shared" si="24"/>
        <v>215206.54032132498</v>
      </c>
      <c r="Q60" s="60">
        <f t="shared" si="24"/>
        <v>232300.95301699787</v>
      </c>
      <c r="R60" s="60">
        <f t="shared" si="24"/>
        <v>97062.088941189591</v>
      </c>
      <c r="S60" s="60">
        <f t="shared" si="24"/>
        <v>59250.119930340727</v>
      </c>
      <c r="T60" s="60">
        <f t="shared" si="24"/>
        <v>64086.05720787109</v>
      </c>
      <c r="U60" s="60">
        <f t="shared" si="24"/>
        <v>202756.07627230955</v>
      </c>
      <c r="V60" s="60">
        <f t="shared" si="24"/>
        <v>73453.980276755319</v>
      </c>
      <c r="W60" s="60">
        <f t="shared" si="24"/>
        <v>79000.51310342201</v>
      </c>
      <c r="X60" s="60">
        <f t="shared" si="24"/>
        <v>84971.489077327336</v>
      </c>
      <c r="Y60" s="60">
        <f t="shared" si="24"/>
        <v>91399.156861711555</v>
      </c>
      <c r="Z60" s="60">
        <f t="shared" si="24"/>
        <v>112197.1042426863</v>
      </c>
      <c r="AA60" s="60">
        <f t="shared" si="24"/>
        <v>105763.78529772624</v>
      </c>
      <c r="AB60" s="60">
        <f t="shared" si="24"/>
        <v>113781.50336670653</v>
      </c>
      <c r="AC60" s="60">
        <f t="shared" si="24"/>
        <v>122411.79353590752</v>
      </c>
      <c r="AD60" s="60">
        <f t="shared" si="24"/>
        <v>131703.55563851466</v>
      </c>
      <c r="AE60" s="60">
        <f t="shared" si="24"/>
        <v>646515.99430984363</v>
      </c>
      <c r="AF60" s="60">
        <f t="shared" si="24"/>
        <v>2140.1208775838663</v>
      </c>
      <c r="AG60" s="60">
        <f t="shared" si="24"/>
        <v>2182.9232951355448</v>
      </c>
      <c r="AH60" s="60">
        <f t="shared" si="24"/>
        <v>2226.5817610382551</v>
      </c>
      <c r="AI60" s="60">
        <f t="shared" si="24"/>
        <v>2271.1133962590202</v>
      </c>
      <c r="AJ60" s="60">
        <f t="shared" si="24"/>
        <v>412347.02717738831</v>
      </c>
      <c r="AK60" s="60">
        <f t="shared" si="24"/>
        <v>2362.8663774678848</v>
      </c>
      <c r="AL60" s="60">
        <f t="shared" si="24"/>
        <v>2410.1237050172422</v>
      </c>
      <c r="AM60" s="60">
        <f t="shared" si="24"/>
        <v>2458.3261791175878</v>
      </c>
      <c r="AN60" s="60">
        <f t="shared" si="24"/>
        <v>2507.4927026999389</v>
      </c>
      <c r="AO60" s="60">
        <f t="shared" si="24"/>
        <v>854314.53209719283</v>
      </c>
    </row>
    <row r="61" spans="2:41" x14ac:dyDescent="0.25">
      <c r="G61" s="50" t="s">
        <v>118</v>
      </c>
      <c r="H61" s="50"/>
      <c r="I61" s="50"/>
      <c r="J61" s="60">
        <f t="shared" ref="J61:AO61" si="25">J42/J59</f>
        <v>0</v>
      </c>
      <c r="K61" s="60">
        <f t="shared" si="25"/>
        <v>40524.400000000001</v>
      </c>
      <c r="L61" s="60">
        <f t="shared" si="25"/>
        <v>41132.265999999996</v>
      </c>
      <c r="M61" s="60">
        <f t="shared" si="25"/>
        <v>41749.249989999982</v>
      </c>
      <c r="N61" s="60">
        <f t="shared" si="25"/>
        <v>42375.488739849985</v>
      </c>
      <c r="O61" s="60">
        <f t="shared" si="25"/>
        <v>43011.121070947724</v>
      </c>
      <c r="P61" s="60">
        <f t="shared" si="25"/>
        <v>43656.287887011938</v>
      </c>
      <c r="Q61" s="60">
        <f t="shared" si="25"/>
        <v>44311.132205317117</v>
      </c>
      <c r="R61" s="60">
        <f t="shared" si="25"/>
        <v>44975.799188396872</v>
      </c>
      <c r="S61" s="60">
        <f t="shared" si="25"/>
        <v>45650.436176222822</v>
      </c>
      <c r="T61" s="60">
        <f t="shared" si="25"/>
        <v>46335.192718866158</v>
      </c>
      <c r="U61" s="60">
        <f t="shared" si="25"/>
        <v>47030.220609649143</v>
      </c>
      <c r="V61" s="60">
        <f t="shared" si="25"/>
        <v>47735.67391879388</v>
      </c>
      <c r="W61" s="60">
        <f t="shared" si="25"/>
        <v>48451.70902757578</v>
      </c>
      <c r="X61" s="60">
        <f t="shared" si="25"/>
        <v>49178.484662989416</v>
      </c>
      <c r="Y61" s="60">
        <f t="shared" si="25"/>
        <v>49916.161932934243</v>
      </c>
      <c r="Z61" s="60">
        <f t="shared" si="25"/>
        <v>50664.904361928253</v>
      </c>
      <c r="AA61" s="60">
        <f t="shared" si="25"/>
        <v>51424.877927357178</v>
      </c>
      <c r="AB61" s="60">
        <f t="shared" si="25"/>
        <v>52196.25109626753</v>
      </c>
      <c r="AC61" s="60">
        <f t="shared" si="25"/>
        <v>52979.194862711534</v>
      </c>
      <c r="AD61" s="60">
        <f t="shared" si="25"/>
        <v>53773.882785652204</v>
      </c>
      <c r="AE61" s="60">
        <f t="shared" si="25"/>
        <v>54580.491027436976</v>
      </c>
      <c r="AF61" s="60">
        <f t="shared" si="25"/>
        <v>55399.198392848535</v>
      </c>
      <c r="AG61" s="60">
        <f t="shared" si="25"/>
        <v>56230.186368741262</v>
      </c>
      <c r="AH61" s="60">
        <f t="shared" si="25"/>
        <v>57073.639164272376</v>
      </c>
      <c r="AI61" s="60">
        <f t="shared" si="25"/>
        <v>57929.743751736452</v>
      </c>
      <c r="AJ61" s="60">
        <f t="shared" si="25"/>
        <v>58798.6899080125</v>
      </c>
      <c r="AK61" s="60">
        <f t="shared" si="25"/>
        <v>59680.670256632679</v>
      </c>
      <c r="AL61" s="60">
        <f t="shared" si="25"/>
        <v>60575.880310482164</v>
      </c>
      <c r="AM61" s="60">
        <f t="shared" si="25"/>
        <v>61484.518515139403</v>
      </c>
      <c r="AN61" s="60">
        <f t="shared" si="25"/>
        <v>62406.786292866484</v>
      </c>
      <c r="AO61" s="60">
        <f t="shared" si="25"/>
        <v>63342.888087259475</v>
      </c>
    </row>
    <row r="62" spans="2:41" x14ac:dyDescent="0.25">
      <c r="B62" s="2" t="s">
        <v>119</v>
      </c>
      <c r="C62" s="81"/>
      <c r="D62" s="81"/>
      <c r="E62" s="29"/>
      <c r="G62" s="40" t="s">
        <v>120</v>
      </c>
      <c r="H62" s="40"/>
      <c r="I62" s="40"/>
      <c r="J62" s="12">
        <f t="shared" ref="J62:AO62" si="26">J60-J61</f>
        <v>-2693444.5</v>
      </c>
      <c r="K62" s="12">
        <f t="shared" si="26"/>
        <v>392916.73735044675</v>
      </c>
      <c r="L62" s="12">
        <f t="shared" si="26"/>
        <v>116850.66010000001</v>
      </c>
      <c r="M62" s="12">
        <f t="shared" si="26"/>
        <v>128792.62771980005</v>
      </c>
      <c r="N62" s="12">
        <f t="shared" si="26"/>
        <v>141903.67400392797</v>
      </c>
      <c r="O62" s="12">
        <f t="shared" si="26"/>
        <v>156042.24763224396</v>
      </c>
      <c r="P62" s="12">
        <f t="shared" si="26"/>
        <v>171550.25243431304</v>
      </c>
      <c r="Q62" s="12">
        <f t="shared" si="26"/>
        <v>187989.82081168075</v>
      </c>
      <c r="R62" s="12">
        <f t="shared" si="26"/>
        <v>52086.28975279272</v>
      </c>
      <c r="S62" s="12">
        <f t="shared" si="26"/>
        <v>13599.683754117905</v>
      </c>
      <c r="T62" s="12">
        <f t="shared" si="26"/>
        <v>17750.864489004933</v>
      </c>
      <c r="U62" s="12">
        <f t="shared" si="26"/>
        <v>155725.85566266041</v>
      </c>
      <c r="V62" s="12">
        <f t="shared" si="26"/>
        <v>25718.306357961439</v>
      </c>
      <c r="W62" s="12">
        <f t="shared" si="26"/>
        <v>30548.80407584623</v>
      </c>
      <c r="X62" s="12">
        <f t="shared" si="26"/>
        <v>35793.00441433792</v>
      </c>
      <c r="Y62" s="12">
        <f t="shared" si="26"/>
        <v>41482.994928777312</v>
      </c>
      <c r="Z62" s="12">
        <f t="shared" si="26"/>
        <v>61532.199880758046</v>
      </c>
      <c r="AA62" s="12">
        <f t="shared" si="26"/>
        <v>54338.907370369059</v>
      </c>
      <c r="AB62" s="12">
        <f t="shared" si="26"/>
        <v>61585.252270438999</v>
      </c>
      <c r="AC62" s="12">
        <f t="shared" si="26"/>
        <v>69432.598673195986</v>
      </c>
      <c r="AD62" s="12">
        <f t="shared" si="26"/>
        <v>77929.672852862452</v>
      </c>
      <c r="AE62" s="12">
        <f t="shared" si="26"/>
        <v>591935.5032824066</v>
      </c>
      <c r="AF62" s="12">
        <f t="shared" si="26"/>
        <v>-53259.077515264667</v>
      </c>
      <c r="AG62" s="12">
        <f t="shared" si="26"/>
        <v>-54047.263073605718</v>
      </c>
      <c r="AH62" s="12">
        <f t="shared" si="26"/>
        <v>-54847.057403234117</v>
      </c>
      <c r="AI62" s="12">
        <f t="shared" si="26"/>
        <v>-55658.630355477435</v>
      </c>
      <c r="AJ62" s="12">
        <f t="shared" si="26"/>
        <v>353548.3372693758</v>
      </c>
      <c r="AK62" s="12">
        <f t="shared" si="26"/>
        <v>-57317.803879164792</v>
      </c>
      <c r="AL62" s="12">
        <f t="shared" si="26"/>
        <v>-58165.756605464921</v>
      </c>
      <c r="AM62" s="12">
        <f t="shared" si="26"/>
        <v>-59026.192336021813</v>
      </c>
      <c r="AN62" s="12">
        <f t="shared" si="26"/>
        <v>-59899.293590166548</v>
      </c>
      <c r="AO62" s="12">
        <f t="shared" si="26"/>
        <v>790971.64400993334</v>
      </c>
    </row>
    <row r="63" spans="2:41" x14ac:dyDescent="0.25">
      <c r="B63" s="33" t="s">
        <v>121</v>
      </c>
      <c r="C63" s="42">
        <v>0</v>
      </c>
      <c r="D63" s="67"/>
      <c r="E63" s="34"/>
      <c r="G63" s="86" t="s">
        <v>6</v>
      </c>
      <c r="H63" s="34"/>
      <c r="I63" s="34"/>
      <c r="J63" s="43">
        <f>IF(J11=$C$85,MEDIAN(K115,K120),0)</f>
        <v>0</v>
      </c>
      <c r="K63" s="43">
        <f t="shared" ref="K63:AO63" si="27">IF(K11=$C$85,MEDIAN(L115,L120),0)</f>
        <v>0</v>
      </c>
      <c r="L63" s="43">
        <f t="shared" si="27"/>
        <v>0</v>
      </c>
      <c r="M63" s="43">
        <f t="shared" si="27"/>
        <v>0</v>
      </c>
      <c r="N63" s="43">
        <f t="shared" si="27"/>
        <v>0</v>
      </c>
      <c r="O63" s="43">
        <f t="shared" si="27"/>
        <v>0</v>
      </c>
      <c r="P63" s="43">
        <f t="shared" si="27"/>
        <v>0</v>
      </c>
      <c r="Q63" s="43">
        <f t="shared" si="27"/>
        <v>0</v>
      </c>
      <c r="R63" s="43">
        <f t="shared" si="27"/>
        <v>0</v>
      </c>
      <c r="S63" s="43">
        <f t="shared" si="27"/>
        <v>0</v>
      </c>
      <c r="T63" s="43">
        <f t="shared" si="27"/>
        <v>0</v>
      </c>
      <c r="U63" s="43">
        <f t="shared" si="27"/>
        <v>0</v>
      </c>
      <c r="V63" s="43">
        <f t="shared" si="27"/>
        <v>0</v>
      </c>
      <c r="W63" s="43">
        <f t="shared" si="27"/>
        <v>0</v>
      </c>
      <c r="X63" s="43">
        <f t="shared" si="27"/>
        <v>0</v>
      </c>
      <c r="Y63" s="43">
        <f t="shared" si="27"/>
        <v>2993028.551450104</v>
      </c>
      <c r="Z63" s="43">
        <f t="shared" si="27"/>
        <v>0</v>
      </c>
      <c r="AA63" s="43">
        <f t="shared" si="27"/>
        <v>0</v>
      </c>
      <c r="AB63" s="43">
        <f t="shared" si="27"/>
        <v>0</v>
      </c>
      <c r="AC63" s="43">
        <f t="shared" si="27"/>
        <v>0</v>
      </c>
      <c r="AD63" s="43">
        <f t="shared" si="27"/>
        <v>0</v>
      </c>
      <c r="AE63" s="43">
        <f t="shared" si="27"/>
        <v>0</v>
      </c>
      <c r="AF63" s="43">
        <f t="shared" si="27"/>
        <v>0</v>
      </c>
      <c r="AG63" s="43">
        <f t="shared" si="27"/>
        <v>0</v>
      </c>
      <c r="AH63" s="43">
        <f t="shared" si="27"/>
        <v>0</v>
      </c>
      <c r="AI63" s="43">
        <f t="shared" si="27"/>
        <v>0</v>
      </c>
      <c r="AJ63" s="43">
        <f t="shared" si="27"/>
        <v>0</v>
      </c>
      <c r="AK63" s="43">
        <f t="shared" si="27"/>
        <v>0</v>
      </c>
      <c r="AL63" s="43">
        <f t="shared" si="27"/>
        <v>0</v>
      </c>
      <c r="AM63" s="43">
        <f t="shared" si="27"/>
        <v>0</v>
      </c>
      <c r="AN63" s="43">
        <f t="shared" si="27"/>
        <v>0</v>
      </c>
      <c r="AO63" s="43">
        <f t="shared" si="27"/>
        <v>0</v>
      </c>
    </row>
    <row r="64" spans="2:41" x14ac:dyDescent="0.25">
      <c r="B64" s="57"/>
      <c r="C64" s="109"/>
      <c r="D64" s="12"/>
      <c r="G64" s="40" t="s">
        <v>122</v>
      </c>
      <c r="H64" s="40"/>
      <c r="I64" s="40"/>
      <c r="J64" s="12">
        <f>J62+J63</f>
        <v>-2693444.5</v>
      </c>
      <c r="K64" s="12">
        <f t="shared" ref="K64:AO64" si="28">K62+K63</f>
        <v>392916.73735044675</v>
      </c>
      <c r="L64" s="12">
        <f t="shared" si="28"/>
        <v>116850.66010000001</v>
      </c>
      <c r="M64" s="12">
        <f t="shared" si="28"/>
        <v>128792.62771980005</v>
      </c>
      <c r="N64" s="12">
        <f t="shared" si="28"/>
        <v>141903.67400392797</v>
      </c>
      <c r="O64" s="12">
        <f t="shared" si="28"/>
        <v>156042.24763224396</v>
      </c>
      <c r="P64" s="12">
        <f t="shared" si="28"/>
        <v>171550.25243431304</v>
      </c>
      <c r="Q64" s="12">
        <f t="shared" si="28"/>
        <v>187989.82081168075</v>
      </c>
      <c r="R64" s="12">
        <f t="shared" si="28"/>
        <v>52086.28975279272</v>
      </c>
      <c r="S64" s="12">
        <f t="shared" si="28"/>
        <v>13599.683754117905</v>
      </c>
      <c r="T64" s="12">
        <f t="shared" si="28"/>
        <v>17750.864489004933</v>
      </c>
      <c r="U64" s="12">
        <f t="shared" si="28"/>
        <v>155725.85566266041</v>
      </c>
      <c r="V64" s="12">
        <f t="shared" si="28"/>
        <v>25718.306357961439</v>
      </c>
      <c r="W64" s="12">
        <f t="shared" si="28"/>
        <v>30548.80407584623</v>
      </c>
      <c r="X64" s="12">
        <f t="shared" si="28"/>
        <v>35793.00441433792</v>
      </c>
      <c r="Y64" s="12">
        <f t="shared" si="28"/>
        <v>3034511.5463788812</v>
      </c>
      <c r="Z64" s="12">
        <f t="shared" si="28"/>
        <v>61532.199880758046</v>
      </c>
      <c r="AA64" s="12">
        <f t="shared" si="28"/>
        <v>54338.907370369059</v>
      </c>
      <c r="AB64" s="12">
        <f t="shared" si="28"/>
        <v>61585.252270438999</v>
      </c>
      <c r="AC64" s="12">
        <f t="shared" si="28"/>
        <v>69432.598673195986</v>
      </c>
      <c r="AD64" s="12">
        <f t="shared" si="28"/>
        <v>77929.672852862452</v>
      </c>
      <c r="AE64" s="12">
        <f t="shared" si="28"/>
        <v>591935.5032824066</v>
      </c>
      <c r="AF64" s="12">
        <f t="shared" si="28"/>
        <v>-53259.077515264667</v>
      </c>
      <c r="AG64" s="12">
        <f t="shared" si="28"/>
        <v>-54047.263073605718</v>
      </c>
      <c r="AH64" s="12">
        <f t="shared" si="28"/>
        <v>-54847.057403234117</v>
      </c>
      <c r="AI64" s="12">
        <f t="shared" si="28"/>
        <v>-55658.630355477435</v>
      </c>
      <c r="AJ64" s="12">
        <f t="shared" si="28"/>
        <v>353548.3372693758</v>
      </c>
      <c r="AK64" s="12">
        <f t="shared" si="28"/>
        <v>-57317.803879164792</v>
      </c>
      <c r="AL64" s="12">
        <f t="shared" si="28"/>
        <v>-58165.756605464921</v>
      </c>
      <c r="AM64" s="12">
        <f t="shared" si="28"/>
        <v>-59026.192336021813</v>
      </c>
      <c r="AN64" s="12">
        <f t="shared" si="28"/>
        <v>-59899.293590166548</v>
      </c>
      <c r="AO64" s="12">
        <f t="shared" si="28"/>
        <v>790971.64400993334</v>
      </c>
    </row>
    <row r="65" spans="2:41" x14ac:dyDescent="0.25">
      <c r="B65" s="2" t="s">
        <v>123</v>
      </c>
      <c r="C65" s="81"/>
      <c r="D65" s="81"/>
      <c r="E65" s="29"/>
      <c r="G65" s="101" t="s">
        <v>124</v>
      </c>
      <c r="H65" s="102"/>
      <c r="I65" s="103"/>
      <c r="J65" s="104">
        <f>J64+SUM(J49:J53)</f>
        <v>-1806700.7943500001</v>
      </c>
      <c r="K65" s="104">
        <f t="shared" ref="K65:AO65" si="29">K64+SUM(K49:K53)</f>
        <v>357114.85529394675</v>
      </c>
      <c r="L65" s="104">
        <f t="shared" si="29"/>
        <v>81048.778043500002</v>
      </c>
      <c r="M65" s="104">
        <f t="shared" si="29"/>
        <v>92990.74566330004</v>
      </c>
      <c r="N65" s="104">
        <f t="shared" si="29"/>
        <v>-109043.29357501864</v>
      </c>
      <c r="O65" s="104">
        <f t="shared" si="29"/>
        <v>-94904.719946702651</v>
      </c>
      <c r="P65" s="104">
        <f t="shared" si="29"/>
        <v>-79396.715144633577</v>
      </c>
      <c r="Q65" s="104">
        <f t="shared" si="29"/>
        <v>-58390.87304892359</v>
      </c>
      <c r="R65" s="104">
        <f t="shared" si="29"/>
        <v>34019.281809292719</v>
      </c>
      <c r="S65" s="104">
        <f t="shared" si="29"/>
        <v>-4467.3241893820959</v>
      </c>
      <c r="T65" s="104">
        <f t="shared" si="29"/>
        <v>-316.143454495068</v>
      </c>
      <c r="U65" s="104">
        <f t="shared" si="29"/>
        <v>137658.8477191604</v>
      </c>
      <c r="V65" s="104">
        <f t="shared" si="29"/>
        <v>7651.2984144614384</v>
      </c>
      <c r="W65" s="104">
        <f t="shared" si="29"/>
        <v>12481.79613234623</v>
      </c>
      <c r="X65" s="104">
        <f t="shared" si="29"/>
        <v>17725.996470837919</v>
      </c>
      <c r="Y65" s="104">
        <f t="shared" si="29"/>
        <v>3016444.5384353814</v>
      </c>
      <c r="Z65" s="104">
        <f t="shared" si="29"/>
        <v>61532.199880758046</v>
      </c>
      <c r="AA65" s="104">
        <f t="shared" si="29"/>
        <v>54338.907370369059</v>
      </c>
      <c r="AB65" s="104">
        <f t="shared" si="29"/>
        <v>61585.252270438999</v>
      </c>
      <c r="AC65" s="104">
        <f t="shared" si="29"/>
        <v>69432.598673195986</v>
      </c>
      <c r="AD65" s="104">
        <f t="shared" si="29"/>
        <v>77929.672852862452</v>
      </c>
      <c r="AE65" s="104">
        <f t="shared" si="29"/>
        <v>591935.5032824066</v>
      </c>
      <c r="AF65" s="104">
        <f t="shared" si="29"/>
        <v>-53259.077515264667</v>
      </c>
      <c r="AG65" s="104">
        <f t="shared" si="29"/>
        <v>-54047.263073605718</v>
      </c>
      <c r="AH65" s="104">
        <f t="shared" si="29"/>
        <v>-54847.057403234117</v>
      </c>
      <c r="AI65" s="104">
        <f t="shared" si="29"/>
        <v>-55658.630355477435</v>
      </c>
      <c r="AJ65" s="104">
        <f t="shared" si="29"/>
        <v>353548.3372693758</v>
      </c>
      <c r="AK65" s="104">
        <f t="shared" si="29"/>
        <v>-57317.803879164792</v>
      </c>
      <c r="AL65" s="104">
        <f t="shared" si="29"/>
        <v>-58165.756605464921</v>
      </c>
      <c r="AM65" s="104">
        <f t="shared" si="29"/>
        <v>-59026.192336021813</v>
      </c>
      <c r="AN65" s="104">
        <f t="shared" si="29"/>
        <v>-59899.293590166548</v>
      </c>
      <c r="AO65" s="104">
        <f t="shared" si="29"/>
        <v>790971.64400993334</v>
      </c>
    </row>
    <row r="66" spans="2:41" x14ac:dyDescent="0.25">
      <c r="B66" s="33" t="s">
        <v>125</v>
      </c>
      <c r="C66" s="97">
        <v>0.17</v>
      </c>
      <c r="D66" s="67">
        <f>C66*D19</f>
        <v>877964.06500000006</v>
      </c>
      <c r="E66" s="34"/>
      <c r="G66" s="90"/>
      <c r="H66" s="105" t="s">
        <v>109</v>
      </c>
      <c r="I66" s="105"/>
      <c r="J66" s="106">
        <f>D17</f>
        <v>49421</v>
      </c>
      <c r="K66" s="105">
        <f>J66+K65</f>
        <v>406535.85529394675</v>
      </c>
      <c r="L66" s="105">
        <f t="shared" ref="L66:AO66" si="30">K66+L65</f>
        <v>487584.63333744672</v>
      </c>
      <c r="M66" s="105">
        <f t="shared" si="30"/>
        <v>580575.37900074676</v>
      </c>
      <c r="N66" s="105">
        <f t="shared" si="30"/>
        <v>471532.08542572812</v>
      </c>
      <c r="O66" s="105">
        <f t="shared" si="30"/>
        <v>376627.36547902547</v>
      </c>
      <c r="P66" s="105">
        <f t="shared" si="30"/>
        <v>297230.65033439186</v>
      </c>
      <c r="Q66" s="105">
        <f t="shared" si="30"/>
        <v>238839.77728546827</v>
      </c>
      <c r="R66" s="105">
        <f t="shared" si="30"/>
        <v>272859.05909476097</v>
      </c>
      <c r="S66" s="105">
        <f t="shared" si="30"/>
        <v>268391.73490537889</v>
      </c>
      <c r="T66" s="105">
        <f t="shared" si="30"/>
        <v>268075.59145088383</v>
      </c>
      <c r="U66" s="105">
        <f t="shared" si="30"/>
        <v>405734.43917004426</v>
      </c>
      <c r="V66" s="105">
        <f t="shared" si="30"/>
        <v>413385.7375845057</v>
      </c>
      <c r="W66" s="105">
        <f t="shared" si="30"/>
        <v>425867.5337168519</v>
      </c>
      <c r="X66" s="105">
        <f t="shared" si="30"/>
        <v>443593.53018768982</v>
      </c>
      <c r="Y66" s="105">
        <f t="shared" si="30"/>
        <v>3460038.0686230711</v>
      </c>
      <c r="Z66" s="105">
        <f t="shared" si="30"/>
        <v>3521570.2685038289</v>
      </c>
      <c r="AA66" s="105">
        <f t="shared" si="30"/>
        <v>3575909.1758741979</v>
      </c>
      <c r="AB66" s="105">
        <f t="shared" si="30"/>
        <v>3637494.428144637</v>
      </c>
      <c r="AC66" s="105">
        <f t="shared" si="30"/>
        <v>3706927.0268178331</v>
      </c>
      <c r="AD66" s="105">
        <f t="shared" si="30"/>
        <v>3784856.6996706957</v>
      </c>
      <c r="AE66" s="105">
        <f t="shared" si="30"/>
        <v>4376792.2029531021</v>
      </c>
      <c r="AF66" s="105">
        <f t="shared" si="30"/>
        <v>4323533.1254378371</v>
      </c>
      <c r="AG66" s="105">
        <f t="shared" si="30"/>
        <v>4269485.8623642316</v>
      </c>
      <c r="AH66" s="105">
        <f t="shared" si="30"/>
        <v>4214638.8049609978</v>
      </c>
      <c r="AI66" s="105">
        <f t="shared" si="30"/>
        <v>4158980.1746055204</v>
      </c>
      <c r="AJ66" s="105">
        <f t="shared" si="30"/>
        <v>4512528.5118748965</v>
      </c>
      <c r="AK66" s="105">
        <f t="shared" si="30"/>
        <v>4455210.7079957314</v>
      </c>
      <c r="AL66" s="105">
        <f t="shared" si="30"/>
        <v>4397044.9513902664</v>
      </c>
      <c r="AM66" s="105">
        <f t="shared" si="30"/>
        <v>4338018.7590542445</v>
      </c>
      <c r="AN66" s="105">
        <f t="shared" si="30"/>
        <v>4278119.4654640779</v>
      </c>
      <c r="AO66" s="105">
        <f t="shared" si="30"/>
        <v>5069091.1094740108</v>
      </c>
    </row>
    <row r="67" spans="2:41" x14ac:dyDescent="0.25">
      <c r="B67" s="33" t="s">
        <v>126</v>
      </c>
      <c r="C67" s="42"/>
      <c r="D67" s="67">
        <f>C40*SUM(J15:O15)</f>
        <v>0</v>
      </c>
      <c r="E67" s="34"/>
      <c r="H67" s="107"/>
      <c r="I67" s="107"/>
      <c r="J67" s="108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</row>
    <row r="68" spans="2:41" x14ac:dyDescent="0.25">
      <c r="B68" s="33" t="s">
        <v>127</v>
      </c>
      <c r="C68" s="110">
        <v>3</v>
      </c>
      <c r="D68" s="34"/>
      <c r="E68" s="34"/>
      <c r="G68" s="2" t="s">
        <v>128</v>
      </c>
      <c r="H68" s="2"/>
      <c r="I68" s="2"/>
      <c r="J68" s="32"/>
      <c r="K68" s="32">
        <v>1</v>
      </c>
      <c r="L68" s="32">
        <v>2</v>
      </c>
      <c r="M68" s="32">
        <v>3</v>
      </c>
      <c r="N68" s="32">
        <v>4</v>
      </c>
      <c r="O68" s="32">
        <v>5</v>
      </c>
      <c r="P68" s="32">
        <v>6</v>
      </c>
      <c r="Q68" s="32">
        <v>7</v>
      </c>
      <c r="R68" s="32">
        <v>8</v>
      </c>
      <c r="S68" s="32">
        <v>9</v>
      </c>
      <c r="T68" s="32">
        <v>10</v>
      </c>
      <c r="U68" s="32">
        <v>11</v>
      </c>
      <c r="V68" s="32">
        <v>12</v>
      </c>
      <c r="W68" s="32">
        <v>13</v>
      </c>
      <c r="X68" s="32">
        <v>14</v>
      </c>
      <c r="Y68" s="32">
        <v>15</v>
      </c>
      <c r="Z68" s="32">
        <v>16</v>
      </c>
      <c r="AA68" s="32">
        <v>17</v>
      </c>
      <c r="AB68" s="32">
        <v>18</v>
      </c>
      <c r="AC68" s="32">
        <v>19</v>
      </c>
      <c r="AD68" s="32">
        <v>20</v>
      </c>
      <c r="AE68" s="32">
        <v>21</v>
      </c>
      <c r="AF68" s="32">
        <v>22</v>
      </c>
      <c r="AG68" s="32">
        <v>23</v>
      </c>
      <c r="AH68" s="32">
        <v>24</v>
      </c>
      <c r="AI68" s="32">
        <v>25</v>
      </c>
      <c r="AJ68" s="32">
        <v>26</v>
      </c>
      <c r="AK68" s="32">
        <v>27</v>
      </c>
      <c r="AL68" s="32">
        <v>28</v>
      </c>
      <c r="AM68" s="32">
        <v>29</v>
      </c>
      <c r="AN68" s="32">
        <v>30</v>
      </c>
      <c r="AO68" s="32">
        <v>31</v>
      </c>
    </row>
    <row r="69" spans="2:41" x14ac:dyDescent="0.25">
      <c r="B69" s="33" t="s">
        <v>129</v>
      </c>
      <c r="C69" s="111">
        <v>0.02</v>
      </c>
      <c r="D69" s="34"/>
      <c r="E69" s="34"/>
      <c r="G69" s="50" t="s">
        <v>130</v>
      </c>
      <c r="H69" s="59"/>
      <c r="I69" s="59"/>
      <c r="J69" s="60">
        <f>J55</f>
        <v>-1806700.7943500001</v>
      </c>
      <c r="K69" s="60">
        <f t="shared" ref="K69:AO69" si="31">IF(K11&lt;$C$85,-K51,IF(K11=$C$85,SUM(-K51,K56),0))</f>
        <v>0</v>
      </c>
      <c r="L69" s="60">
        <f t="shared" si="31"/>
        <v>0</v>
      </c>
      <c r="M69" s="60">
        <f t="shared" si="31"/>
        <v>0</v>
      </c>
      <c r="N69" s="60">
        <f t="shared" si="31"/>
        <v>0</v>
      </c>
      <c r="O69" s="60">
        <f t="shared" si="31"/>
        <v>0</v>
      </c>
      <c r="P69" s="60">
        <f t="shared" si="31"/>
        <v>0</v>
      </c>
      <c r="Q69" s="60">
        <f t="shared" si="31"/>
        <v>0</v>
      </c>
      <c r="R69" s="60">
        <f t="shared" si="31"/>
        <v>0</v>
      </c>
      <c r="S69" s="60">
        <f t="shared" si="31"/>
        <v>0</v>
      </c>
      <c r="T69" s="60">
        <f t="shared" si="31"/>
        <v>0</v>
      </c>
      <c r="U69" s="60">
        <f t="shared" si="31"/>
        <v>0</v>
      </c>
      <c r="V69" s="60">
        <f t="shared" si="31"/>
        <v>0</v>
      </c>
      <c r="W69" s="60">
        <f t="shared" si="31"/>
        <v>0</v>
      </c>
      <c r="X69" s="60">
        <f t="shared" si="31"/>
        <v>0</v>
      </c>
      <c r="Y69" s="60">
        <f t="shared" si="31"/>
        <v>5047695.1194346407</v>
      </c>
      <c r="Z69" s="60">
        <f t="shared" si="31"/>
        <v>0</v>
      </c>
      <c r="AA69" s="60">
        <f t="shared" si="31"/>
        <v>0</v>
      </c>
      <c r="AB69" s="60">
        <f t="shared" si="31"/>
        <v>0</v>
      </c>
      <c r="AC69" s="60">
        <f t="shared" si="31"/>
        <v>0</v>
      </c>
      <c r="AD69" s="60">
        <f t="shared" si="31"/>
        <v>0</v>
      </c>
      <c r="AE69" s="60">
        <f t="shared" si="31"/>
        <v>0</v>
      </c>
      <c r="AF69" s="60">
        <f t="shared" si="31"/>
        <v>0</v>
      </c>
      <c r="AG69" s="60">
        <f t="shared" si="31"/>
        <v>0</v>
      </c>
      <c r="AH69" s="60">
        <f t="shared" si="31"/>
        <v>0</v>
      </c>
      <c r="AI69" s="60">
        <f t="shared" si="31"/>
        <v>0</v>
      </c>
      <c r="AJ69" s="60">
        <f t="shared" si="31"/>
        <v>0</v>
      </c>
      <c r="AK69" s="60">
        <f t="shared" si="31"/>
        <v>0</v>
      </c>
      <c r="AL69" s="60">
        <f t="shared" si="31"/>
        <v>0</v>
      </c>
      <c r="AM69" s="60">
        <f t="shared" si="31"/>
        <v>0</v>
      </c>
      <c r="AN69" s="60">
        <f t="shared" si="31"/>
        <v>0</v>
      </c>
      <c r="AO69" s="60">
        <f t="shared" si="31"/>
        <v>0</v>
      </c>
    </row>
    <row r="70" spans="2:41" ht="13.8" thickBot="1" x14ac:dyDescent="0.3">
      <c r="B70" s="33" t="s">
        <v>131</v>
      </c>
      <c r="C70" s="110">
        <v>7</v>
      </c>
      <c r="D70" s="34"/>
      <c r="E70" s="34"/>
      <c r="K70" s="112">
        <f>K69/-$J$69</f>
        <v>0</v>
      </c>
      <c r="L70" s="112">
        <f>L69/-$J$69</f>
        <v>0</v>
      </c>
      <c r="M70" s="112">
        <f>M69/-$J$69</f>
        <v>0</v>
      </c>
      <c r="N70" s="112">
        <f t="shared" ref="N70:AO70" si="32">N69/-$J$69</f>
        <v>0</v>
      </c>
      <c r="O70" s="112">
        <f t="shared" si="32"/>
        <v>0</v>
      </c>
      <c r="P70" s="112">
        <f t="shared" si="32"/>
        <v>0</v>
      </c>
      <c r="Q70" s="112">
        <f>Q69/-$J$69</f>
        <v>0</v>
      </c>
      <c r="R70" s="112">
        <f t="shared" si="32"/>
        <v>0</v>
      </c>
      <c r="S70" s="112">
        <f t="shared" si="32"/>
        <v>0</v>
      </c>
      <c r="T70" s="112">
        <f t="shared" si="32"/>
        <v>0</v>
      </c>
      <c r="U70" s="112">
        <f t="shared" si="32"/>
        <v>0</v>
      </c>
      <c r="V70" s="112">
        <f t="shared" si="32"/>
        <v>0</v>
      </c>
      <c r="W70" s="112">
        <f t="shared" si="32"/>
        <v>0</v>
      </c>
      <c r="X70" s="112">
        <f t="shared" si="32"/>
        <v>0</v>
      </c>
      <c r="Y70" s="112">
        <f t="shared" si="32"/>
        <v>2.7938744119779164</v>
      </c>
      <c r="Z70" s="112">
        <f t="shared" si="32"/>
        <v>0</v>
      </c>
      <c r="AA70" s="112">
        <f t="shared" si="32"/>
        <v>0</v>
      </c>
      <c r="AB70" s="112">
        <f t="shared" si="32"/>
        <v>0</v>
      </c>
      <c r="AC70" s="112">
        <f t="shared" si="32"/>
        <v>0</v>
      </c>
      <c r="AD70" s="112">
        <f t="shared" si="32"/>
        <v>0</v>
      </c>
      <c r="AE70" s="112">
        <f t="shared" si="32"/>
        <v>0</v>
      </c>
      <c r="AF70" s="112">
        <f t="shared" si="32"/>
        <v>0</v>
      </c>
      <c r="AG70" s="112">
        <f t="shared" si="32"/>
        <v>0</v>
      </c>
      <c r="AH70" s="112">
        <f t="shared" si="32"/>
        <v>0</v>
      </c>
      <c r="AI70" s="112">
        <f t="shared" si="32"/>
        <v>0</v>
      </c>
      <c r="AJ70" s="112">
        <f t="shared" si="32"/>
        <v>0</v>
      </c>
      <c r="AK70" s="112">
        <f t="shared" si="32"/>
        <v>0</v>
      </c>
      <c r="AL70" s="112">
        <f t="shared" si="32"/>
        <v>0</v>
      </c>
      <c r="AM70" s="112">
        <f t="shared" si="32"/>
        <v>0</v>
      </c>
      <c r="AN70" s="112">
        <f t="shared" si="32"/>
        <v>0</v>
      </c>
      <c r="AO70" s="112">
        <f t="shared" si="32"/>
        <v>0</v>
      </c>
    </row>
    <row r="71" spans="2:41" x14ac:dyDescent="0.25">
      <c r="B71" s="33" t="s">
        <v>132</v>
      </c>
      <c r="C71" s="110">
        <v>4</v>
      </c>
      <c r="D71" s="34"/>
      <c r="E71" s="34"/>
      <c r="G71" s="113"/>
      <c r="H71" s="114" t="s">
        <v>133</v>
      </c>
      <c r="I71" s="115">
        <f>IRR(J69:AO69)</f>
        <v>7.0895578210871557E-2</v>
      </c>
    </row>
    <row r="72" spans="2:41" x14ac:dyDescent="0.25">
      <c r="B72" s="33" t="s">
        <v>134</v>
      </c>
      <c r="C72" s="42">
        <v>0.01</v>
      </c>
      <c r="D72" s="67">
        <f>D66*C72</f>
        <v>8779.6406500000012</v>
      </c>
      <c r="E72" s="34"/>
      <c r="G72" s="116"/>
      <c r="H72" s="40" t="s">
        <v>135</v>
      </c>
      <c r="I72" s="117">
        <f>SUM(K69:AO69)/-J69</f>
        <v>2.7938744119779164</v>
      </c>
      <c r="Y72" s="118"/>
    </row>
    <row r="73" spans="2:41" ht="13.8" thickBot="1" x14ac:dyDescent="0.3">
      <c r="G73" s="119"/>
      <c r="H73" s="120" t="s">
        <v>136</v>
      </c>
      <c r="I73" s="121">
        <f>J69+NPV(0.05,K69:AO69)</f>
        <v>621326.86404840322</v>
      </c>
    </row>
    <row r="74" spans="2:41" x14ac:dyDescent="0.25">
      <c r="B74" s="2" t="s">
        <v>137</v>
      </c>
      <c r="C74" s="81"/>
      <c r="D74" s="81"/>
      <c r="E74" s="29"/>
      <c r="H74" s="40"/>
      <c r="I74" s="122"/>
      <c r="J74" s="12"/>
    </row>
    <row r="75" spans="2:41" x14ac:dyDescent="0.25">
      <c r="B75" s="33" t="s">
        <v>125</v>
      </c>
      <c r="C75" s="34"/>
      <c r="D75" s="67">
        <f>D29</f>
        <v>0</v>
      </c>
      <c r="E75" s="34"/>
      <c r="G75" s="2" t="s">
        <v>138</v>
      </c>
      <c r="H75" s="2"/>
      <c r="I75" s="2"/>
      <c r="J75" s="32"/>
      <c r="K75" s="32">
        <v>1</v>
      </c>
      <c r="L75" s="32">
        <v>2</v>
      </c>
      <c r="M75" s="32">
        <v>3</v>
      </c>
      <c r="N75" s="32">
        <v>4</v>
      </c>
      <c r="O75" s="32">
        <v>5</v>
      </c>
      <c r="P75" s="32">
        <v>6</v>
      </c>
      <c r="Q75" s="32">
        <v>7</v>
      </c>
      <c r="R75" s="32">
        <v>8</v>
      </c>
      <c r="S75" s="32">
        <v>9</v>
      </c>
      <c r="T75" s="32">
        <v>10</v>
      </c>
      <c r="U75" s="32">
        <v>11</v>
      </c>
      <c r="V75" s="32">
        <v>12</v>
      </c>
      <c r="W75" s="32">
        <v>13</v>
      </c>
      <c r="X75" s="32">
        <v>14</v>
      </c>
      <c r="Y75" s="32">
        <v>15</v>
      </c>
      <c r="Z75" s="32">
        <v>16</v>
      </c>
      <c r="AA75" s="32">
        <v>17</v>
      </c>
      <c r="AB75" s="32">
        <v>18</v>
      </c>
      <c r="AC75" s="32">
        <v>19</v>
      </c>
      <c r="AD75" s="32">
        <v>20</v>
      </c>
      <c r="AE75" s="32">
        <v>21</v>
      </c>
      <c r="AF75" s="32">
        <v>22</v>
      </c>
      <c r="AG75" s="32">
        <v>23</v>
      </c>
      <c r="AH75" s="32">
        <v>24</v>
      </c>
      <c r="AI75" s="32">
        <v>25</v>
      </c>
      <c r="AJ75" s="32">
        <v>26</v>
      </c>
      <c r="AK75" s="32">
        <v>27</v>
      </c>
      <c r="AL75" s="32">
        <v>28</v>
      </c>
      <c r="AM75" s="32">
        <v>29</v>
      </c>
      <c r="AN75" s="32">
        <v>30</v>
      </c>
      <c r="AO75" s="32">
        <v>31</v>
      </c>
    </row>
    <row r="76" spans="2:41" x14ac:dyDescent="0.25">
      <c r="B76" s="33" t="s">
        <v>139</v>
      </c>
      <c r="C76" s="42">
        <v>1.2500000000000001E-2</v>
      </c>
      <c r="D76" s="123"/>
      <c r="E76" s="34"/>
      <c r="G76" s="50" t="s">
        <v>130</v>
      </c>
      <c r="H76" s="59"/>
      <c r="I76" s="59"/>
      <c r="J76" s="60">
        <f>J55</f>
        <v>-1806700.7943500001</v>
      </c>
      <c r="K76" s="60">
        <f>IF(K11&lt;$C$85,-K51,IF(K11=$C$85,SUM(-K51,K66),0))</f>
        <v>0</v>
      </c>
      <c r="L76" s="60">
        <f t="shared" ref="L76:AO76" si="33">IF(L11&lt;$C$85,-L51,IF(L11=$C$85,SUM(-L51,L66),0))</f>
        <v>0</v>
      </c>
      <c r="M76" s="60">
        <f t="shared" si="33"/>
        <v>0</v>
      </c>
      <c r="N76" s="60">
        <f t="shared" si="33"/>
        <v>0</v>
      </c>
      <c r="O76" s="60">
        <f t="shared" si="33"/>
        <v>0</v>
      </c>
      <c r="P76" s="60">
        <f t="shared" si="33"/>
        <v>0</v>
      </c>
      <c r="Q76" s="60">
        <f t="shared" si="33"/>
        <v>0</v>
      </c>
      <c r="R76" s="60">
        <f t="shared" si="33"/>
        <v>0</v>
      </c>
      <c r="S76" s="60">
        <f t="shared" si="33"/>
        <v>0</v>
      </c>
      <c r="T76" s="60">
        <f t="shared" si="33"/>
        <v>0</v>
      </c>
      <c r="U76" s="60">
        <f t="shared" si="33"/>
        <v>0</v>
      </c>
      <c r="V76" s="60">
        <f t="shared" si="33"/>
        <v>0</v>
      </c>
      <c r="W76" s="60">
        <f t="shared" si="33"/>
        <v>0</v>
      </c>
      <c r="X76" s="60">
        <f t="shared" si="33"/>
        <v>0</v>
      </c>
      <c r="Y76" s="60">
        <f>IF(Y11&lt;$C$85,-Y51,IF(Y11=$C$85,SUM(-Y51,Y66),0))</f>
        <v>3460038.0686230711</v>
      </c>
      <c r="Z76" s="60">
        <f t="shared" si="33"/>
        <v>0</v>
      </c>
      <c r="AA76" s="60">
        <f t="shared" si="33"/>
        <v>0</v>
      </c>
      <c r="AB76" s="60">
        <f t="shared" si="33"/>
        <v>0</v>
      </c>
      <c r="AC76" s="60">
        <f t="shared" si="33"/>
        <v>0</v>
      </c>
      <c r="AD76" s="60">
        <f t="shared" si="33"/>
        <v>0</v>
      </c>
      <c r="AE76" s="60">
        <f t="shared" si="33"/>
        <v>0</v>
      </c>
      <c r="AF76" s="60">
        <f t="shared" si="33"/>
        <v>0</v>
      </c>
      <c r="AG76" s="60">
        <f t="shared" si="33"/>
        <v>0</v>
      </c>
      <c r="AH76" s="60">
        <f t="shared" si="33"/>
        <v>0</v>
      </c>
      <c r="AI76" s="60">
        <f t="shared" si="33"/>
        <v>0</v>
      </c>
      <c r="AJ76" s="60">
        <f t="shared" si="33"/>
        <v>0</v>
      </c>
      <c r="AK76" s="60">
        <f t="shared" si="33"/>
        <v>0</v>
      </c>
      <c r="AL76" s="60">
        <f t="shared" si="33"/>
        <v>0</v>
      </c>
      <c r="AM76" s="60">
        <f t="shared" si="33"/>
        <v>0</v>
      </c>
      <c r="AN76" s="60">
        <f t="shared" si="33"/>
        <v>0</v>
      </c>
      <c r="AO76" s="60">
        <f t="shared" si="33"/>
        <v>0</v>
      </c>
    </row>
    <row r="77" spans="2:41" ht="13.8" thickBot="1" x14ac:dyDescent="0.3">
      <c r="K77" s="112">
        <f t="shared" ref="K77:AO77" si="34">K76/-$J$69</f>
        <v>0</v>
      </c>
      <c r="L77" s="112">
        <f t="shared" si="34"/>
        <v>0</v>
      </c>
      <c r="M77" s="112">
        <f t="shared" si="34"/>
        <v>0</v>
      </c>
      <c r="N77" s="112">
        <f t="shared" si="34"/>
        <v>0</v>
      </c>
      <c r="O77" s="112">
        <f t="shared" si="34"/>
        <v>0</v>
      </c>
      <c r="P77" s="112">
        <f t="shared" si="34"/>
        <v>0</v>
      </c>
      <c r="Q77" s="112">
        <f t="shared" si="34"/>
        <v>0</v>
      </c>
      <c r="R77" s="112">
        <f t="shared" si="34"/>
        <v>0</v>
      </c>
      <c r="S77" s="112">
        <f t="shared" si="34"/>
        <v>0</v>
      </c>
      <c r="T77" s="112">
        <f t="shared" si="34"/>
        <v>0</v>
      </c>
      <c r="U77" s="112">
        <f t="shared" si="34"/>
        <v>0</v>
      </c>
      <c r="V77" s="112">
        <f t="shared" si="34"/>
        <v>0</v>
      </c>
      <c r="W77" s="112">
        <f t="shared" si="34"/>
        <v>0</v>
      </c>
      <c r="X77" s="112">
        <f t="shared" si="34"/>
        <v>0</v>
      </c>
      <c r="Y77" s="112">
        <f t="shared" si="34"/>
        <v>1.9151140462457676</v>
      </c>
      <c r="Z77" s="112">
        <f t="shared" si="34"/>
        <v>0</v>
      </c>
      <c r="AA77" s="112">
        <f t="shared" si="34"/>
        <v>0</v>
      </c>
      <c r="AB77" s="112">
        <f t="shared" si="34"/>
        <v>0</v>
      </c>
      <c r="AC77" s="112">
        <f t="shared" si="34"/>
        <v>0</v>
      </c>
      <c r="AD77" s="112">
        <f t="shared" si="34"/>
        <v>0</v>
      </c>
      <c r="AE77" s="112">
        <f t="shared" si="34"/>
        <v>0</v>
      </c>
      <c r="AF77" s="112">
        <f t="shared" si="34"/>
        <v>0</v>
      </c>
      <c r="AG77" s="112">
        <f t="shared" si="34"/>
        <v>0</v>
      </c>
      <c r="AH77" s="112">
        <f t="shared" si="34"/>
        <v>0</v>
      </c>
      <c r="AI77" s="112">
        <f t="shared" si="34"/>
        <v>0</v>
      </c>
      <c r="AJ77" s="112">
        <f t="shared" si="34"/>
        <v>0</v>
      </c>
      <c r="AK77" s="112">
        <f t="shared" si="34"/>
        <v>0</v>
      </c>
      <c r="AL77" s="112">
        <f t="shared" si="34"/>
        <v>0</v>
      </c>
      <c r="AM77" s="112">
        <f t="shared" si="34"/>
        <v>0</v>
      </c>
      <c r="AN77" s="112">
        <f t="shared" si="34"/>
        <v>0</v>
      </c>
      <c r="AO77" s="112">
        <f t="shared" si="34"/>
        <v>0</v>
      </c>
    </row>
    <row r="78" spans="2:41" x14ac:dyDescent="0.25">
      <c r="B78" s="2" t="s">
        <v>140</v>
      </c>
      <c r="C78" s="81"/>
      <c r="D78" s="81"/>
      <c r="E78" s="29"/>
      <c r="G78" s="113"/>
      <c r="H78" s="114" t="s">
        <v>133</v>
      </c>
      <c r="I78" s="115">
        <f>IRR(J76:AO76)</f>
        <v>4.4270419402002936E-2</v>
      </c>
    </row>
    <row r="79" spans="2:41" x14ac:dyDescent="0.25">
      <c r="B79" s="33" t="s">
        <v>141</v>
      </c>
      <c r="C79" s="42">
        <v>0.01</v>
      </c>
      <c r="D79" s="34"/>
      <c r="E79" s="34"/>
      <c r="G79" s="116"/>
      <c r="H79" s="40" t="s">
        <v>135</v>
      </c>
      <c r="I79" s="117">
        <f>SUM(K76:AO76)/-J76</f>
        <v>1.9151140462457676</v>
      </c>
      <c r="X79" s="124" t="s">
        <v>142</v>
      </c>
      <c r="Y79" s="124">
        <v>2159202</v>
      </c>
    </row>
    <row r="80" spans="2:41" ht="13.8" thickBot="1" x14ac:dyDescent="0.3">
      <c r="B80" s="33" t="s">
        <v>143</v>
      </c>
      <c r="C80" s="42">
        <v>0</v>
      </c>
      <c r="D80" s="34"/>
      <c r="E80" s="34"/>
      <c r="G80" s="119"/>
      <c r="H80" s="120" t="s">
        <v>136</v>
      </c>
      <c r="I80" s="121">
        <f>J76+NPV(0.05,K76:AO76)</f>
        <v>-142363.32329664589</v>
      </c>
      <c r="X80" s="124" t="s">
        <v>144</v>
      </c>
      <c r="Y80" s="124">
        <v>2008115</v>
      </c>
    </row>
    <row r="81" spans="1:41" x14ac:dyDescent="0.25">
      <c r="B81" s="33" t="s">
        <v>145</v>
      </c>
      <c r="D81" s="125">
        <f>C18</f>
        <v>2.5000000000000001E-2</v>
      </c>
      <c r="E81" s="34"/>
      <c r="H81" s="40"/>
      <c r="I81" s="122"/>
      <c r="J81" s="12"/>
    </row>
    <row r="82" spans="1:41" x14ac:dyDescent="0.25">
      <c r="B82" s="33" t="s">
        <v>146</v>
      </c>
      <c r="C82" s="85" t="s">
        <v>147</v>
      </c>
      <c r="D82" s="34"/>
      <c r="E82" s="34"/>
      <c r="G82" s="2" t="s">
        <v>148</v>
      </c>
      <c r="H82" s="2"/>
      <c r="I82" s="2"/>
      <c r="J82" s="32"/>
      <c r="K82" s="32">
        <v>1</v>
      </c>
      <c r="L82" s="32">
        <v>2</v>
      </c>
      <c r="M82" s="32">
        <v>3</v>
      </c>
      <c r="N82" s="32">
        <v>4</v>
      </c>
      <c r="O82" s="32">
        <v>5</v>
      </c>
      <c r="P82" s="32">
        <v>6</v>
      </c>
      <c r="Q82" s="32">
        <v>7</v>
      </c>
      <c r="R82" s="32">
        <v>8</v>
      </c>
      <c r="S82" s="32">
        <v>9</v>
      </c>
      <c r="T82" s="32">
        <v>10</v>
      </c>
      <c r="U82" s="32">
        <v>11</v>
      </c>
      <c r="V82" s="32">
        <v>12</v>
      </c>
      <c r="W82" s="32">
        <v>13</v>
      </c>
      <c r="X82" s="32">
        <v>14</v>
      </c>
      <c r="Y82" s="32">
        <v>15</v>
      </c>
      <c r="Z82" s="32">
        <v>16</v>
      </c>
      <c r="AA82" s="32">
        <v>17</v>
      </c>
      <c r="AB82" s="32">
        <v>18</v>
      </c>
      <c r="AC82" s="32">
        <v>19</v>
      </c>
      <c r="AD82" s="32">
        <v>20</v>
      </c>
      <c r="AE82" s="32">
        <v>21</v>
      </c>
      <c r="AF82" s="32">
        <v>22</v>
      </c>
      <c r="AG82" s="32">
        <v>23</v>
      </c>
      <c r="AH82" s="32">
        <v>24</v>
      </c>
      <c r="AI82" s="32">
        <v>25</v>
      </c>
      <c r="AJ82" s="32">
        <v>26</v>
      </c>
      <c r="AK82" s="32">
        <v>27</v>
      </c>
      <c r="AL82" s="32">
        <v>28</v>
      </c>
      <c r="AM82" s="32">
        <v>29</v>
      </c>
      <c r="AN82" s="32">
        <v>30</v>
      </c>
      <c r="AO82" s="32">
        <v>31</v>
      </c>
    </row>
    <row r="83" spans="1:41" x14ac:dyDescent="0.25">
      <c r="G83" s="50" t="s">
        <v>149</v>
      </c>
      <c r="H83" s="59"/>
      <c r="I83" s="59"/>
      <c r="J83" s="60">
        <f>-J97</f>
        <v>-886743.70565000002</v>
      </c>
      <c r="K83" s="60">
        <f>K102</f>
        <v>17734.874113000002</v>
      </c>
      <c r="L83" s="60">
        <f t="shared" ref="L83:AO83" si="35">L102</f>
        <v>17734.874113000002</v>
      </c>
      <c r="M83" s="60">
        <f t="shared" si="35"/>
        <v>17734.874113000002</v>
      </c>
      <c r="N83" s="60">
        <f t="shared" si="35"/>
        <v>232879.9596354466</v>
      </c>
      <c r="O83" s="60">
        <f t="shared" si="35"/>
        <v>232879.9596354466</v>
      </c>
      <c r="P83" s="60">
        <f t="shared" si="35"/>
        <v>232879.9596354466</v>
      </c>
      <c r="Q83" s="60">
        <f t="shared" si="35"/>
        <v>228313.68591710433</v>
      </c>
      <c r="R83" s="60">
        <f t="shared" si="35"/>
        <v>0</v>
      </c>
      <c r="S83" s="60">
        <f t="shared" si="35"/>
        <v>0</v>
      </c>
      <c r="T83" s="60">
        <f t="shared" si="35"/>
        <v>0</v>
      </c>
      <c r="U83" s="60">
        <f t="shared" si="35"/>
        <v>0</v>
      </c>
      <c r="V83" s="60">
        <f t="shared" si="35"/>
        <v>0</v>
      </c>
      <c r="W83" s="60">
        <f t="shared" si="35"/>
        <v>0</v>
      </c>
      <c r="X83" s="60">
        <f t="shared" si="35"/>
        <v>0</v>
      </c>
      <c r="Y83" s="60">
        <f t="shared" si="35"/>
        <v>0</v>
      </c>
      <c r="Z83" s="60">
        <f t="shared" si="35"/>
        <v>0</v>
      </c>
      <c r="AA83" s="60">
        <f t="shared" si="35"/>
        <v>0</v>
      </c>
      <c r="AB83" s="60">
        <f t="shared" si="35"/>
        <v>0</v>
      </c>
      <c r="AC83" s="60">
        <f t="shared" si="35"/>
        <v>0</v>
      </c>
      <c r="AD83" s="60">
        <f t="shared" si="35"/>
        <v>0</v>
      </c>
      <c r="AE83" s="60">
        <f t="shared" si="35"/>
        <v>0</v>
      </c>
      <c r="AF83" s="60">
        <f t="shared" si="35"/>
        <v>0</v>
      </c>
      <c r="AG83" s="60">
        <f t="shared" si="35"/>
        <v>0</v>
      </c>
      <c r="AH83" s="60">
        <f t="shared" si="35"/>
        <v>0</v>
      </c>
      <c r="AI83" s="60">
        <f t="shared" si="35"/>
        <v>0</v>
      </c>
      <c r="AJ83" s="60">
        <f t="shared" si="35"/>
        <v>0</v>
      </c>
      <c r="AK83" s="60">
        <f t="shared" si="35"/>
        <v>0</v>
      </c>
      <c r="AL83" s="60">
        <f t="shared" si="35"/>
        <v>0</v>
      </c>
      <c r="AM83" s="60">
        <f t="shared" si="35"/>
        <v>0</v>
      </c>
      <c r="AN83" s="60">
        <f t="shared" si="35"/>
        <v>0</v>
      </c>
      <c r="AO83" s="60">
        <f t="shared" si="35"/>
        <v>0</v>
      </c>
    </row>
    <row r="84" spans="1:41" ht="13.8" thickBot="1" x14ac:dyDescent="0.3">
      <c r="B84" s="2" t="s">
        <v>6</v>
      </c>
      <c r="C84" s="81"/>
      <c r="D84" s="81"/>
      <c r="E84" s="29"/>
      <c r="K84" s="112">
        <f>K83/-$J$69</f>
        <v>9.8161655590462658E-3</v>
      </c>
      <c r="L84" s="112">
        <f>L83/-$J$69</f>
        <v>9.8161655590462658E-3</v>
      </c>
      <c r="M84" s="112">
        <f>M83/-$J$69</f>
        <v>9.8161655590462658E-3</v>
      </c>
      <c r="N84" s="112">
        <f t="shared" ref="N84:P84" si="36">N83/-$J$69</f>
        <v>0.12889791179796886</v>
      </c>
      <c r="O84" s="112">
        <f t="shared" si="36"/>
        <v>0.12889791179796886</v>
      </c>
      <c r="P84" s="112">
        <f t="shared" si="36"/>
        <v>0.12889791179796886</v>
      </c>
      <c r="Q84" s="112">
        <f>Q83/-$J$69</f>
        <v>0.12637050176271447</v>
      </c>
      <c r="R84" s="112">
        <f t="shared" ref="R84:AO84" si="37">R83/-$J$69</f>
        <v>0</v>
      </c>
      <c r="S84" s="112">
        <f t="shared" si="37"/>
        <v>0</v>
      </c>
      <c r="T84" s="112">
        <f t="shared" si="37"/>
        <v>0</v>
      </c>
      <c r="U84" s="112">
        <f t="shared" si="37"/>
        <v>0</v>
      </c>
      <c r="V84" s="112">
        <f t="shared" si="37"/>
        <v>0</v>
      </c>
      <c r="W84" s="112">
        <f t="shared" si="37"/>
        <v>0</v>
      </c>
      <c r="X84" s="112">
        <f t="shared" si="37"/>
        <v>0</v>
      </c>
      <c r="Y84" s="112">
        <f t="shared" si="37"/>
        <v>0</v>
      </c>
      <c r="Z84" s="112">
        <f t="shared" si="37"/>
        <v>0</v>
      </c>
      <c r="AA84" s="112">
        <f t="shared" si="37"/>
        <v>0</v>
      </c>
      <c r="AB84" s="112">
        <f t="shared" si="37"/>
        <v>0</v>
      </c>
      <c r="AC84" s="112">
        <f t="shared" si="37"/>
        <v>0</v>
      </c>
      <c r="AD84" s="112">
        <f t="shared" si="37"/>
        <v>0</v>
      </c>
      <c r="AE84" s="112">
        <f t="shared" si="37"/>
        <v>0</v>
      </c>
      <c r="AF84" s="112">
        <f t="shared" si="37"/>
        <v>0</v>
      </c>
      <c r="AG84" s="112">
        <f t="shared" si="37"/>
        <v>0</v>
      </c>
      <c r="AH84" s="112">
        <f t="shared" si="37"/>
        <v>0</v>
      </c>
      <c r="AI84" s="112">
        <f t="shared" si="37"/>
        <v>0</v>
      </c>
      <c r="AJ84" s="112">
        <f t="shared" si="37"/>
        <v>0</v>
      </c>
      <c r="AK84" s="112">
        <f t="shared" si="37"/>
        <v>0</v>
      </c>
      <c r="AL84" s="112">
        <f t="shared" si="37"/>
        <v>0</v>
      </c>
      <c r="AM84" s="112">
        <f t="shared" si="37"/>
        <v>0</v>
      </c>
      <c r="AN84" s="112">
        <f t="shared" si="37"/>
        <v>0</v>
      </c>
      <c r="AO84" s="112">
        <f t="shared" si="37"/>
        <v>0</v>
      </c>
    </row>
    <row r="85" spans="1:41" x14ac:dyDescent="0.25">
      <c r="B85" s="33" t="s">
        <v>150</v>
      </c>
      <c r="C85" s="110">
        <v>15</v>
      </c>
      <c r="D85" s="34"/>
      <c r="E85" s="34"/>
      <c r="G85" s="113"/>
      <c r="H85" s="114" t="s">
        <v>133</v>
      </c>
      <c r="I85" s="115">
        <f>IRR(J83:AE83)</f>
        <v>1.9130271372206575E-2</v>
      </c>
    </row>
    <row r="86" spans="1:41" ht="13.8" thickBot="1" x14ac:dyDescent="0.3">
      <c r="B86" s="33" t="s">
        <v>151</v>
      </c>
      <c r="C86" s="42">
        <v>0.06</v>
      </c>
      <c r="D86" s="34"/>
      <c r="E86" s="34"/>
      <c r="G86" s="119"/>
      <c r="H86" s="120" t="s">
        <v>136</v>
      </c>
      <c r="I86" s="121">
        <f>J83+NPV(0.05,K83:AE83)</f>
        <v>-128351.89808606787</v>
      </c>
    </row>
    <row r="87" spans="1:41" x14ac:dyDescent="0.25">
      <c r="B87" s="33" t="s">
        <v>152</v>
      </c>
      <c r="C87" s="42">
        <f>C36+10%</f>
        <v>0.6</v>
      </c>
      <c r="D87" s="34"/>
      <c r="E87" s="34"/>
      <c r="H87" s="40"/>
      <c r="I87" s="122"/>
      <c r="J87" s="12"/>
    </row>
    <row r="88" spans="1:41" x14ac:dyDescent="0.25">
      <c r="B88" s="33" t="s">
        <v>153</v>
      </c>
      <c r="C88" s="42">
        <v>0.5</v>
      </c>
      <c r="D88" s="34"/>
      <c r="E88" s="34"/>
      <c r="J88" s="12"/>
    </row>
    <row r="89" spans="1:41" x14ac:dyDescent="0.25">
      <c r="B89" s="33" t="s">
        <v>154</v>
      </c>
      <c r="C89" s="42">
        <v>0.05</v>
      </c>
      <c r="D89" s="34"/>
      <c r="E89" s="34"/>
      <c r="G89" s="2" t="s">
        <v>155</v>
      </c>
      <c r="H89" s="2"/>
      <c r="I89" s="2"/>
      <c r="J89" s="32"/>
      <c r="K89" s="32">
        <v>1</v>
      </c>
      <c r="L89" s="32">
        <v>2</v>
      </c>
      <c r="M89" s="32">
        <v>3</v>
      </c>
      <c r="N89" s="32">
        <v>4</v>
      </c>
      <c r="O89" s="32">
        <v>5</v>
      </c>
      <c r="P89" s="32">
        <v>6</v>
      </c>
      <c r="Q89" s="32">
        <v>7</v>
      </c>
      <c r="R89" s="32">
        <v>8</v>
      </c>
      <c r="S89" s="32">
        <v>9</v>
      </c>
      <c r="T89" s="32">
        <v>10</v>
      </c>
      <c r="U89" s="32">
        <v>11</v>
      </c>
      <c r="V89" s="32">
        <v>12</v>
      </c>
      <c r="W89" s="32">
        <v>13</v>
      </c>
      <c r="X89" s="32">
        <v>14</v>
      </c>
      <c r="Y89" s="32">
        <v>15</v>
      </c>
      <c r="Z89" s="32">
        <v>16</v>
      </c>
      <c r="AA89" s="32">
        <v>17</v>
      </c>
      <c r="AB89" s="32">
        <v>18</v>
      </c>
      <c r="AC89" s="32">
        <v>19</v>
      </c>
      <c r="AD89" s="32">
        <v>20</v>
      </c>
      <c r="AE89" s="32">
        <v>21</v>
      </c>
      <c r="AF89" s="32">
        <v>22</v>
      </c>
      <c r="AG89" s="32">
        <v>23</v>
      </c>
      <c r="AH89" s="32">
        <v>24</v>
      </c>
      <c r="AI89" s="32">
        <v>25</v>
      </c>
      <c r="AJ89" s="32">
        <v>26</v>
      </c>
      <c r="AK89" s="32">
        <v>27</v>
      </c>
      <c r="AL89" s="32">
        <v>28</v>
      </c>
      <c r="AM89" s="32">
        <v>29</v>
      </c>
      <c r="AN89" s="32">
        <v>30</v>
      </c>
      <c r="AO89" s="32">
        <v>31</v>
      </c>
    </row>
    <row r="90" spans="1:41" x14ac:dyDescent="0.25">
      <c r="A90" s="126"/>
      <c r="B90" s="33" t="s">
        <v>156</v>
      </c>
      <c r="C90" s="42">
        <v>0.01</v>
      </c>
      <c r="D90" s="34"/>
      <c r="E90" s="34"/>
      <c r="G90" s="40" t="s">
        <v>157</v>
      </c>
      <c r="J90" s="12">
        <f>$D$75</f>
        <v>0</v>
      </c>
      <c r="K90" s="12">
        <f>J94</f>
        <v>0</v>
      </c>
      <c r="L90" s="12">
        <f t="shared" ref="L90:AO90" si="38">K94</f>
        <v>0</v>
      </c>
      <c r="M90" s="12">
        <f t="shared" si="38"/>
        <v>0</v>
      </c>
      <c r="N90" s="12">
        <f t="shared" si="38"/>
        <v>0</v>
      </c>
      <c r="O90" s="12">
        <f t="shared" si="38"/>
        <v>0</v>
      </c>
      <c r="P90" s="12">
        <f t="shared" si="38"/>
        <v>0</v>
      </c>
      <c r="Q90" s="12">
        <f t="shared" si="38"/>
        <v>0</v>
      </c>
      <c r="R90" s="12">
        <f t="shared" si="38"/>
        <v>0</v>
      </c>
      <c r="S90" s="12">
        <f t="shared" si="38"/>
        <v>0</v>
      </c>
      <c r="T90" s="12">
        <f t="shared" si="38"/>
        <v>0</v>
      </c>
      <c r="U90" s="12">
        <f t="shared" si="38"/>
        <v>0</v>
      </c>
      <c r="V90" s="12">
        <f t="shared" si="38"/>
        <v>0</v>
      </c>
      <c r="W90" s="12">
        <f t="shared" si="38"/>
        <v>0</v>
      </c>
      <c r="X90" s="12">
        <f t="shared" si="38"/>
        <v>0</v>
      </c>
      <c r="Y90" s="12">
        <f t="shared" si="38"/>
        <v>0</v>
      </c>
      <c r="Z90" s="12">
        <f t="shared" si="38"/>
        <v>0</v>
      </c>
      <c r="AA90" s="12">
        <f t="shared" si="38"/>
        <v>0</v>
      </c>
      <c r="AB90" s="12">
        <f t="shared" si="38"/>
        <v>0</v>
      </c>
      <c r="AC90" s="12">
        <f t="shared" si="38"/>
        <v>0</v>
      </c>
      <c r="AD90" s="12">
        <f t="shared" si="38"/>
        <v>0</v>
      </c>
      <c r="AE90" s="12">
        <f t="shared" si="38"/>
        <v>0</v>
      </c>
      <c r="AF90" s="12">
        <f t="shared" si="38"/>
        <v>0</v>
      </c>
      <c r="AG90" s="12">
        <f t="shared" si="38"/>
        <v>0</v>
      </c>
      <c r="AH90" s="12">
        <f t="shared" si="38"/>
        <v>0</v>
      </c>
      <c r="AI90" s="12">
        <f t="shared" si="38"/>
        <v>0</v>
      </c>
      <c r="AJ90" s="12">
        <f t="shared" si="38"/>
        <v>0</v>
      </c>
      <c r="AK90" s="12">
        <f t="shared" si="38"/>
        <v>0</v>
      </c>
      <c r="AL90" s="12">
        <f t="shared" si="38"/>
        <v>0</v>
      </c>
      <c r="AM90" s="12">
        <f t="shared" si="38"/>
        <v>0</v>
      </c>
      <c r="AN90" s="12">
        <f t="shared" si="38"/>
        <v>0</v>
      </c>
      <c r="AO90" s="12">
        <f t="shared" si="38"/>
        <v>0</v>
      </c>
    </row>
    <row r="91" spans="1:41" x14ac:dyDescent="0.25">
      <c r="A91" s="126"/>
      <c r="B91" s="33" t="s">
        <v>121</v>
      </c>
      <c r="C91" s="42"/>
      <c r="D91" s="34"/>
      <c r="E91" s="34"/>
      <c r="G91" s="36"/>
      <c r="H91" s="35" t="s">
        <v>158</v>
      </c>
      <c r="I91" s="36"/>
      <c r="J91" s="36"/>
      <c r="K91" s="94">
        <f t="shared" ref="K91:AO91" si="39">J94*$C$76</f>
        <v>0</v>
      </c>
      <c r="L91" s="94">
        <f t="shared" si="39"/>
        <v>0</v>
      </c>
      <c r="M91" s="94">
        <f t="shared" si="39"/>
        <v>0</v>
      </c>
      <c r="N91" s="94">
        <f t="shared" si="39"/>
        <v>0</v>
      </c>
      <c r="O91" s="94">
        <f t="shared" si="39"/>
        <v>0</v>
      </c>
      <c r="P91" s="94">
        <f t="shared" si="39"/>
        <v>0</v>
      </c>
      <c r="Q91" s="94">
        <f t="shared" si="39"/>
        <v>0</v>
      </c>
      <c r="R91" s="94">
        <f t="shared" si="39"/>
        <v>0</v>
      </c>
      <c r="S91" s="94">
        <f t="shared" si="39"/>
        <v>0</v>
      </c>
      <c r="T91" s="94">
        <f t="shared" si="39"/>
        <v>0</v>
      </c>
      <c r="U91" s="94">
        <f t="shared" si="39"/>
        <v>0</v>
      </c>
      <c r="V91" s="94">
        <f t="shared" si="39"/>
        <v>0</v>
      </c>
      <c r="W91" s="94">
        <f t="shared" si="39"/>
        <v>0</v>
      </c>
      <c r="X91" s="94">
        <f t="shared" si="39"/>
        <v>0</v>
      </c>
      <c r="Y91" s="94">
        <f t="shared" si="39"/>
        <v>0</v>
      </c>
      <c r="Z91" s="94">
        <f t="shared" si="39"/>
        <v>0</v>
      </c>
      <c r="AA91" s="94">
        <f t="shared" si="39"/>
        <v>0</v>
      </c>
      <c r="AB91" s="94">
        <f t="shared" si="39"/>
        <v>0</v>
      </c>
      <c r="AC91" s="94">
        <f t="shared" si="39"/>
        <v>0</v>
      </c>
      <c r="AD91" s="94">
        <f t="shared" si="39"/>
        <v>0</v>
      </c>
      <c r="AE91" s="94">
        <f t="shared" si="39"/>
        <v>0</v>
      </c>
      <c r="AF91" s="94">
        <f t="shared" si="39"/>
        <v>0</v>
      </c>
      <c r="AG91" s="94">
        <f t="shared" si="39"/>
        <v>0</v>
      </c>
      <c r="AH91" s="94">
        <f t="shared" si="39"/>
        <v>0</v>
      </c>
      <c r="AI91" s="94">
        <f t="shared" si="39"/>
        <v>0</v>
      </c>
      <c r="AJ91" s="94">
        <f t="shared" si="39"/>
        <v>0</v>
      </c>
      <c r="AK91" s="94">
        <f t="shared" si="39"/>
        <v>0</v>
      </c>
      <c r="AL91" s="94">
        <f t="shared" si="39"/>
        <v>0</v>
      </c>
      <c r="AM91" s="94">
        <f t="shared" si="39"/>
        <v>0</v>
      </c>
      <c r="AN91" s="94">
        <f t="shared" si="39"/>
        <v>0</v>
      </c>
      <c r="AO91" s="94">
        <f t="shared" si="39"/>
        <v>0</v>
      </c>
    </row>
    <row r="92" spans="1:41" x14ac:dyDescent="0.25">
      <c r="A92" s="126"/>
      <c r="G92" s="36"/>
      <c r="H92" s="35" t="s">
        <v>159</v>
      </c>
      <c r="I92" s="36"/>
      <c r="J92" s="41">
        <f t="shared" ref="J92:AO92" si="40">IF(J11=$C$85,-SUM(J90:J91),-IF(J18&gt;0,(J90+J91)*0.5))</f>
        <v>0</v>
      </c>
      <c r="K92" s="41">
        <f t="shared" si="40"/>
        <v>0</v>
      </c>
      <c r="L92" s="41">
        <f t="shared" si="40"/>
        <v>0</v>
      </c>
      <c r="M92" s="41">
        <f t="shared" si="40"/>
        <v>0</v>
      </c>
      <c r="N92" s="41">
        <f t="shared" si="40"/>
        <v>0</v>
      </c>
      <c r="O92" s="41">
        <f t="shared" si="40"/>
        <v>0</v>
      </c>
      <c r="P92" s="41">
        <f t="shared" si="40"/>
        <v>0</v>
      </c>
      <c r="Q92" s="41">
        <f t="shared" si="40"/>
        <v>0</v>
      </c>
      <c r="R92" s="41">
        <f t="shared" si="40"/>
        <v>0</v>
      </c>
      <c r="S92" s="41">
        <f t="shared" si="40"/>
        <v>0</v>
      </c>
      <c r="T92" s="41">
        <f t="shared" si="40"/>
        <v>0</v>
      </c>
      <c r="U92" s="41">
        <f t="shared" si="40"/>
        <v>0</v>
      </c>
      <c r="V92" s="41">
        <f t="shared" si="40"/>
        <v>0</v>
      </c>
      <c r="W92" s="41">
        <f t="shared" si="40"/>
        <v>0</v>
      </c>
      <c r="X92" s="41">
        <f t="shared" si="40"/>
        <v>0</v>
      </c>
      <c r="Y92" s="41">
        <f t="shared" si="40"/>
        <v>0</v>
      </c>
      <c r="Z92" s="41">
        <f t="shared" si="40"/>
        <v>0</v>
      </c>
      <c r="AA92" s="41">
        <f t="shared" si="40"/>
        <v>0</v>
      </c>
      <c r="AB92" s="41">
        <f t="shared" si="40"/>
        <v>0</v>
      </c>
      <c r="AC92" s="41">
        <f t="shared" si="40"/>
        <v>0</v>
      </c>
      <c r="AD92" s="41">
        <f t="shared" si="40"/>
        <v>0</v>
      </c>
      <c r="AE92" s="41">
        <f t="shared" si="40"/>
        <v>0</v>
      </c>
      <c r="AF92" s="41">
        <f t="shared" si="40"/>
        <v>0</v>
      </c>
      <c r="AG92" s="41">
        <f t="shared" si="40"/>
        <v>0</v>
      </c>
      <c r="AH92" s="41">
        <f t="shared" si="40"/>
        <v>0</v>
      </c>
      <c r="AI92" s="41">
        <f t="shared" si="40"/>
        <v>0</v>
      </c>
      <c r="AJ92" s="41">
        <f t="shared" si="40"/>
        <v>0</v>
      </c>
      <c r="AK92" s="41">
        <f t="shared" si="40"/>
        <v>0</v>
      </c>
      <c r="AL92" s="41">
        <f t="shared" si="40"/>
        <v>0</v>
      </c>
      <c r="AM92" s="41">
        <f t="shared" si="40"/>
        <v>0</v>
      </c>
      <c r="AN92" s="41">
        <f t="shared" si="40"/>
        <v>0</v>
      </c>
      <c r="AO92" s="41">
        <f t="shared" si="40"/>
        <v>0</v>
      </c>
    </row>
    <row r="93" spans="1:41" x14ac:dyDescent="0.25">
      <c r="B93" s="2" t="s">
        <v>54</v>
      </c>
      <c r="C93" s="81"/>
      <c r="D93" s="81"/>
      <c r="E93" s="29"/>
      <c r="G93" s="36"/>
      <c r="H93" s="35" t="s">
        <v>139</v>
      </c>
      <c r="I93" s="36"/>
      <c r="J93" s="36"/>
      <c r="K93" s="94">
        <f>SUM(K91:K92)</f>
        <v>0</v>
      </c>
      <c r="L93" s="94">
        <f t="shared" ref="L93:AO93" si="41">SUM(L91:L92)</f>
        <v>0</v>
      </c>
      <c r="M93" s="94">
        <f t="shared" si="41"/>
        <v>0</v>
      </c>
      <c r="N93" s="94">
        <f t="shared" si="41"/>
        <v>0</v>
      </c>
      <c r="O93" s="94">
        <f t="shared" si="41"/>
        <v>0</v>
      </c>
      <c r="P93" s="94">
        <f t="shared" si="41"/>
        <v>0</v>
      </c>
      <c r="Q93" s="94">
        <f t="shared" si="41"/>
        <v>0</v>
      </c>
      <c r="R93" s="94">
        <f t="shared" si="41"/>
        <v>0</v>
      </c>
      <c r="S93" s="94">
        <f t="shared" si="41"/>
        <v>0</v>
      </c>
      <c r="T93" s="94">
        <f t="shared" si="41"/>
        <v>0</v>
      </c>
      <c r="U93" s="94">
        <f>SUM(U91:U92)</f>
        <v>0</v>
      </c>
      <c r="V93" s="94">
        <f t="shared" si="41"/>
        <v>0</v>
      </c>
      <c r="W93" s="94">
        <f t="shared" si="41"/>
        <v>0</v>
      </c>
      <c r="X93" s="94">
        <f t="shared" si="41"/>
        <v>0</v>
      </c>
      <c r="Y93" s="94">
        <f t="shared" si="41"/>
        <v>0</v>
      </c>
      <c r="Z93" s="94">
        <f t="shared" si="41"/>
        <v>0</v>
      </c>
      <c r="AA93" s="94">
        <f t="shared" si="41"/>
        <v>0</v>
      </c>
      <c r="AB93" s="94">
        <f t="shared" si="41"/>
        <v>0</v>
      </c>
      <c r="AC93" s="94">
        <f t="shared" si="41"/>
        <v>0</v>
      </c>
      <c r="AD93" s="94">
        <f t="shared" si="41"/>
        <v>0</v>
      </c>
      <c r="AE93" s="94">
        <f t="shared" si="41"/>
        <v>0</v>
      </c>
      <c r="AF93" s="94">
        <f t="shared" si="41"/>
        <v>0</v>
      </c>
      <c r="AG93" s="94">
        <f t="shared" si="41"/>
        <v>0</v>
      </c>
      <c r="AH93" s="94">
        <f t="shared" si="41"/>
        <v>0</v>
      </c>
      <c r="AI93" s="94">
        <f t="shared" si="41"/>
        <v>0</v>
      </c>
      <c r="AJ93" s="94">
        <f t="shared" si="41"/>
        <v>0</v>
      </c>
      <c r="AK93" s="94">
        <f t="shared" si="41"/>
        <v>0</v>
      </c>
      <c r="AL93" s="94">
        <f t="shared" si="41"/>
        <v>0</v>
      </c>
      <c r="AM93" s="94">
        <f t="shared" si="41"/>
        <v>0</v>
      </c>
      <c r="AN93" s="94">
        <f t="shared" si="41"/>
        <v>0</v>
      </c>
      <c r="AO93" s="94">
        <f t="shared" si="41"/>
        <v>0</v>
      </c>
    </row>
    <row r="94" spans="1:41" x14ac:dyDescent="0.25">
      <c r="B94" s="33" t="s">
        <v>160</v>
      </c>
      <c r="C94" s="78">
        <v>1</v>
      </c>
      <c r="D94" s="34"/>
      <c r="E94" s="34"/>
      <c r="G94" s="36"/>
      <c r="H94" s="35" t="s">
        <v>161</v>
      </c>
      <c r="I94" s="36"/>
      <c r="J94" s="94">
        <f>J90+J91</f>
        <v>0</v>
      </c>
      <c r="K94" s="94">
        <f>K90+K93</f>
        <v>0</v>
      </c>
      <c r="L94" s="94">
        <f t="shared" ref="L94:AO94" si="42">L90+L93</f>
        <v>0</v>
      </c>
      <c r="M94" s="94">
        <f t="shared" si="42"/>
        <v>0</v>
      </c>
      <c r="N94" s="94">
        <f t="shared" si="42"/>
        <v>0</v>
      </c>
      <c r="O94" s="94">
        <f t="shared" si="42"/>
        <v>0</v>
      </c>
      <c r="P94" s="94">
        <f t="shared" si="42"/>
        <v>0</v>
      </c>
      <c r="Q94" s="94">
        <f t="shared" si="42"/>
        <v>0</v>
      </c>
      <c r="R94" s="94">
        <f t="shared" si="42"/>
        <v>0</v>
      </c>
      <c r="S94" s="94">
        <f t="shared" si="42"/>
        <v>0</v>
      </c>
      <c r="T94" s="94">
        <f t="shared" si="42"/>
        <v>0</v>
      </c>
      <c r="U94" s="94">
        <f>U90+U93</f>
        <v>0</v>
      </c>
      <c r="V94" s="94">
        <f t="shared" si="42"/>
        <v>0</v>
      </c>
      <c r="W94" s="94">
        <f t="shared" si="42"/>
        <v>0</v>
      </c>
      <c r="X94" s="94">
        <f t="shared" si="42"/>
        <v>0</v>
      </c>
      <c r="Y94" s="94">
        <f t="shared" si="42"/>
        <v>0</v>
      </c>
      <c r="Z94" s="94">
        <f t="shared" si="42"/>
        <v>0</v>
      </c>
      <c r="AA94" s="94">
        <f t="shared" si="42"/>
        <v>0</v>
      </c>
      <c r="AB94" s="94">
        <f t="shared" si="42"/>
        <v>0</v>
      </c>
      <c r="AC94" s="94">
        <f t="shared" si="42"/>
        <v>0</v>
      </c>
      <c r="AD94" s="94">
        <f t="shared" si="42"/>
        <v>0</v>
      </c>
      <c r="AE94" s="94">
        <f t="shared" si="42"/>
        <v>0</v>
      </c>
      <c r="AF94" s="94">
        <f t="shared" si="42"/>
        <v>0</v>
      </c>
      <c r="AG94" s="94">
        <f t="shared" si="42"/>
        <v>0</v>
      </c>
      <c r="AH94" s="94">
        <f t="shared" si="42"/>
        <v>0</v>
      </c>
      <c r="AI94" s="94">
        <f t="shared" si="42"/>
        <v>0</v>
      </c>
      <c r="AJ94" s="94">
        <f t="shared" si="42"/>
        <v>0</v>
      </c>
      <c r="AK94" s="94">
        <f t="shared" si="42"/>
        <v>0</v>
      </c>
      <c r="AL94" s="94">
        <f t="shared" si="42"/>
        <v>0</v>
      </c>
      <c r="AM94" s="94">
        <f t="shared" si="42"/>
        <v>0</v>
      </c>
      <c r="AN94" s="94">
        <f t="shared" si="42"/>
        <v>0</v>
      </c>
      <c r="AO94" s="94">
        <f t="shared" si="42"/>
        <v>0</v>
      </c>
    </row>
    <row r="95" spans="1:41" x14ac:dyDescent="0.25">
      <c r="B95" s="57"/>
      <c r="C95" s="127"/>
    </row>
    <row r="96" spans="1:41" x14ac:dyDescent="0.25">
      <c r="G96" s="40" t="s">
        <v>162</v>
      </c>
    </row>
    <row r="97" spans="7:41" x14ac:dyDescent="0.25">
      <c r="G97" s="36"/>
      <c r="H97" s="35" t="s">
        <v>163</v>
      </c>
      <c r="I97" s="36"/>
      <c r="J97" s="41">
        <f>SUM(D66:D72)</f>
        <v>886743.70565000002</v>
      </c>
      <c r="K97" s="41">
        <f>J101</f>
        <v>886743.70565000002</v>
      </c>
      <c r="L97" s="41">
        <f>K101</f>
        <v>886743.70565000002</v>
      </c>
      <c r="M97" s="41">
        <f>L101</f>
        <v>886743.70565000002</v>
      </c>
      <c r="N97" s="41">
        <f>M101</f>
        <v>886743.70565000002</v>
      </c>
      <c r="O97" s="41">
        <f>N101</f>
        <v>671598.62012755335</v>
      </c>
      <c r="P97" s="41">
        <f t="shared" ref="P97:AO97" si="43">O101</f>
        <v>452150.63289465779</v>
      </c>
      <c r="Q97" s="41">
        <f t="shared" si="43"/>
        <v>228313.68591710433</v>
      </c>
      <c r="R97" s="41">
        <f t="shared" si="43"/>
        <v>0</v>
      </c>
      <c r="S97" s="41">
        <f t="shared" si="43"/>
        <v>0</v>
      </c>
      <c r="T97" s="41">
        <f t="shared" si="43"/>
        <v>0</v>
      </c>
      <c r="U97" s="41">
        <f t="shared" si="43"/>
        <v>0</v>
      </c>
      <c r="V97" s="41">
        <f t="shared" si="43"/>
        <v>0</v>
      </c>
      <c r="W97" s="41">
        <f t="shared" si="43"/>
        <v>0</v>
      </c>
      <c r="X97" s="41">
        <f t="shared" si="43"/>
        <v>0</v>
      </c>
      <c r="Y97" s="41">
        <f t="shared" si="43"/>
        <v>0</v>
      </c>
      <c r="Z97" s="41">
        <f t="shared" si="43"/>
        <v>0</v>
      </c>
      <c r="AA97" s="41">
        <f t="shared" si="43"/>
        <v>0</v>
      </c>
      <c r="AB97" s="41">
        <f t="shared" si="43"/>
        <v>0</v>
      </c>
      <c r="AC97" s="41">
        <f t="shared" si="43"/>
        <v>0</v>
      </c>
      <c r="AD97" s="41">
        <f t="shared" si="43"/>
        <v>0</v>
      </c>
      <c r="AE97" s="41">
        <f t="shared" si="43"/>
        <v>0</v>
      </c>
      <c r="AF97" s="41">
        <f t="shared" si="43"/>
        <v>0</v>
      </c>
      <c r="AG97" s="41">
        <f t="shared" si="43"/>
        <v>0</v>
      </c>
      <c r="AH97" s="41">
        <f t="shared" si="43"/>
        <v>0</v>
      </c>
      <c r="AI97" s="41">
        <f t="shared" si="43"/>
        <v>0</v>
      </c>
      <c r="AJ97" s="41">
        <f t="shared" si="43"/>
        <v>0</v>
      </c>
      <c r="AK97" s="41">
        <f t="shared" si="43"/>
        <v>0</v>
      </c>
      <c r="AL97" s="41">
        <f t="shared" si="43"/>
        <v>0</v>
      </c>
      <c r="AM97" s="41">
        <f t="shared" si="43"/>
        <v>0</v>
      </c>
      <c r="AN97" s="41">
        <f t="shared" si="43"/>
        <v>0</v>
      </c>
      <c r="AO97" s="41">
        <f t="shared" si="43"/>
        <v>0</v>
      </c>
    </row>
    <row r="98" spans="7:41" x14ac:dyDescent="0.25">
      <c r="G98" s="36"/>
      <c r="H98" s="35" t="s">
        <v>164</v>
      </c>
      <c r="I98" s="36"/>
      <c r="J98" s="41">
        <f t="shared" ref="J98:AO98" si="44">IF(J11&lt;=$C$68,0,IF(J11&gt;$C$70,0,PMT($C$69,$C$71,-($D$66+$D$72),0,0)-J99))</f>
        <v>0</v>
      </c>
      <c r="K98" s="41">
        <f t="shared" si="44"/>
        <v>0</v>
      </c>
      <c r="L98" s="41">
        <f t="shared" si="44"/>
        <v>0</v>
      </c>
      <c r="M98" s="41">
        <f t="shared" si="44"/>
        <v>0</v>
      </c>
      <c r="N98" s="41">
        <f t="shared" si="44"/>
        <v>215145.08552244661</v>
      </c>
      <c r="O98" s="41">
        <f t="shared" si="44"/>
        <v>219447.98723289554</v>
      </c>
      <c r="P98" s="41">
        <f t="shared" si="44"/>
        <v>223836.94697755345</v>
      </c>
      <c r="Q98" s="41">
        <f t="shared" si="44"/>
        <v>228313.68591710451</v>
      </c>
      <c r="R98" s="41">
        <f t="shared" si="44"/>
        <v>0</v>
      </c>
      <c r="S98" s="41">
        <f t="shared" si="44"/>
        <v>0</v>
      </c>
      <c r="T98" s="41">
        <f t="shared" si="44"/>
        <v>0</v>
      </c>
      <c r="U98" s="41">
        <f t="shared" si="44"/>
        <v>0</v>
      </c>
      <c r="V98" s="41">
        <f t="shared" si="44"/>
        <v>0</v>
      </c>
      <c r="W98" s="41">
        <f t="shared" si="44"/>
        <v>0</v>
      </c>
      <c r="X98" s="41">
        <f t="shared" si="44"/>
        <v>0</v>
      </c>
      <c r="Y98" s="41">
        <f t="shared" si="44"/>
        <v>0</v>
      </c>
      <c r="Z98" s="41">
        <f t="shared" si="44"/>
        <v>0</v>
      </c>
      <c r="AA98" s="41">
        <f t="shared" si="44"/>
        <v>0</v>
      </c>
      <c r="AB98" s="41">
        <f t="shared" si="44"/>
        <v>0</v>
      </c>
      <c r="AC98" s="41">
        <f t="shared" si="44"/>
        <v>0</v>
      </c>
      <c r="AD98" s="41">
        <f t="shared" si="44"/>
        <v>0</v>
      </c>
      <c r="AE98" s="41">
        <f t="shared" si="44"/>
        <v>0</v>
      </c>
      <c r="AF98" s="41">
        <f t="shared" si="44"/>
        <v>0</v>
      </c>
      <c r="AG98" s="41">
        <f t="shared" si="44"/>
        <v>0</v>
      </c>
      <c r="AH98" s="41">
        <f t="shared" si="44"/>
        <v>0</v>
      </c>
      <c r="AI98" s="41">
        <f t="shared" si="44"/>
        <v>0</v>
      </c>
      <c r="AJ98" s="41">
        <f t="shared" si="44"/>
        <v>0</v>
      </c>
      <c r="AK98" s="41">
        <f t="shared" si="44"/>
        <v>0</v>
      </c>
      <c r="AL98" s="41">
        <f t="shared" si="44"/>
        <v>0</v>
      </c>
      <c r="AM98" s="41">
        <f t="shared" si="44"/>
        <v>0</v>
      </c>
      <c r="AN98" s="41">
        <f t="shared" si="44"/>
        <v>0</v>
      </c>
      <c r="AO98" s="41">
        <f t="shared" si="44"/>
        <v>0</v>
      </c>
    </row>
    <row r="99" spans="7:41" x14ac:dyDescent="0.25">
      <c r="G99" s="36"/>
      <c r="H99" s="35" t="s">
        <v>165</v>
      </c>
      <c r="I99" s="36"/>
      <c r="J99" s="41">
        <f>IF(J12&lt;=$C$68,0,PMT($C$69,$C$71,-$J$97,0,0)-K101)</f>
        <v>0</v>
      </c>
      <c r="K99" s="41">
        <f t="shared" ref="K99:AO99" si="45">K97*$C$69</f>
        <v>17734.874113000002</v>
      </c>
      <c r="L99" s="41">
        <f t="shared" si="45"/>
        <v>17734.874113000002</v>
      </c>
      <c r="M99" s="41">
        <f t="shared" si="45"/>
        <v>17734.874113000002</v>
      </c>
      <c r="N99" s="41">
        <f t="shared" si="45"/>
        <v>17734.874113000002</v>
      </c>
      <c r="O99" s="41">
        <f t="shared" si="45"/>
        <v>13431.972402551068</v>
      </c>
      <c r="P99" s="41">
        <f t="shared" si="45"/>
        <v>9043.0126578931558</v>
      </c>
      <c r="Q99" s="41">
        <f t="shared" si="45"/>
        <v>4566.2737183420868</v>
      </c>
      <c r="R99" s="41">
        <f t="shared" si="45"/>
        <v>0</v>
      </c>
      <c r="S99" s="41">
        <f t="shared" si="45"/>
        <v>0</v>
      </c>
      <c r="T99" s="41">
        <f t="shared" si="45"/>
        <v>0</v>
      </c>
      <c r="U99" s="41">
        <f t="shared" si="45"/>
        <v>0</v>
      </c>
      <c r="V99" s="41">
        <f t="shared" si="45"/>
        <v>0</v>
      </c>
      <c r="W99" s="41">
        <f t="shared" si="45"/>
        <v>0</v>
      </c>
      <c r="X99" s="41">
        <f t="shared" si="45"/>
        <v>0</v>
      </c>
      <c r="Y99" s="41">
        <f t="shared" si="45"/>
        <v>0</v>
      </c>
      <c r="Z99" s="41">
        <f t="shared" si="45"/>
        <v>0</v>
      </c>
      <c r="AA99" s="41">
        <f t="shared" si="45"/>
        <v>0</v>
      </c>
      <c r="AB99" s="41">
        <f t="shared" si="45"/>
        <v>0</v>
      </c>
      <c r="AC99" s="41">
        <f t="shared" si="45"/>
        <v>0</v>
      </c>
      <c r="AD99" s="41">
        <f t="shared" si="45"/>
        <v>0</v>
      </c>
      <c r="AE99" s="41">
        <f t="shared" si="45"/>
        <v>0</v>
      </c>
      <c r="AF99" s="41">
        <f t="shared" si="45"/>
        <v>0</v>
      </c>
      <c r="AG99" s="41">
        <f t="shared" si="45"/>
        <v>0</v>
      </c>
      <c r="AH99" s="41">
        <f t="shared" si="45"/>
        <v>0</v>
      </c>
      <c r="AI99" s="41">
        <f t="shared" si="45"/>
        <v>0</v>
      </c>
      <c r="AJ99" s="41">
        <f t="shared" si="45"/>
        <v>0</v>
      </c>
      <c r="AK99" s="41">
        <f t="shared" si="45"/>
        <v>0</v>
      </c>
      <c r="AL99" s="41">
        <f t="shared" si="45"/>
        <v>0</v>
      </c>
      <c r="AM99" s="41">
        <f t="shared" si="45"/>
        <v>0</v>
      </c>
      <c r="AN99" s="41">
        <f t="shared" si="45"/>
        <v>0</v>
      </c>
      <c r="AO99" s="41">
        <f t="shared" si="45"/>
        <v>0</v>
      </c>
    </row>
    <row r="100" spans="7:41" x14ac:dyDescent="0.25">
      <c r="G100" s="36"/>
      <c r="H100" s="35" t="s">
        <v>166</v>
      </c>
      <c r="I100" s="36"/>
      <c r="J100" s="128">
        <f t="shared" ref="J100:AO100" si="46">J15*$C$40</f>
        <v>0</v>
      </c>
      <c r="K100" s="41">
        <f t="shared" si="46"/>
        <v>0</v>
      </c>
      <c r="L100" s="128">
        <f t="shared" si="46"/>
        <v>0</v>
      </c>
      <c r="M100" s="128">
        <f t="shared" si="46"/>
        <v>0</v>
      </c>
      <c r="N100" s="128">
        <f t="shared" si="46"/>
        <v>0</v>
      </c>
      <c r="O100" s="128">
        <f t="shared" si="46"/>
        <v>0</v>
      </c>
      <c r="P100" s="128">
        <f t="shared" si="46"/>
        <v>0</v>
      </c>
      <c r="Q100" s="128">
        <f t="shared" si="46"/>
        <v>0</v>
      </c>
      <c r="R100" s="128">
        <f t="shared" si="46"/>
        <v>0</v>
      </c>
      <c r="S100" s="128">
        <f t="shared" si="46"/>
        <v>0</v>
      </c>
      <c r="T100" s="128">
        <f t="shared" si="46"/>
        <v>0</v>
      </c>
      <c r="U100" s="128">
        <f t="shared" si="46"/>
        <v>0</v>
      </c>
      <c r="V100" s="128">
        <f t="shared" si="46"/>
        <v>0</v>
      </c>
      <c r="W100" s="128">
        <f t="shared" si="46"/>
        <v>0</v>
      </c>
      <c r="X100" s="128">
        <f t="shared" si="46"/>
        <v>0</v>
      </c>
      <c r="Y100" s="128">
        <f t="shared" si="46"/>
        <v>0</v>
      </c>
      <c r="Z100" s="128">
        <f t="shared" si="46"/>
        <v>0</v>
      </c>
      <c r="AA100" s="128">
        <f t="shared" si="46"/>
        <v>0</v>
      </c>
      <c r="AB100" s="128">
        <f t="shared" si="46"/>
        <v>0</v>
      </c>
      <c r="AC100" s="128">
        <f t="shared" si="46"/>
        <v>0</v>
      </c>
      <c r="AD100" s="128">
        <f t="shared" si="46"/>
        <v>0</v>
      </c>
      <c r="AE100" s="128">
        <f t="shared" si="46"/>
        <v>0</v>
      </c>
      <c r="AF100" s="128">
        <f t="shared" si="46"/>
        <v>0</v>
      </c>
      <c r="AG100" s="128">
        <f t="shared" si="46"/>
        <v>0</v>
      </c>
      <c r="AH100" s="128">
        <f t="shared" si="46"/>
        <v>0</v>
      </c>
      <c r="AI100" s="128">
        <f t="shared" si="46"/>
        <v>0</v>
      </c>
      <c r="AJ100" s="128">
        <f t="shared" si="46"/>
        <v>0</v>
      </c>
      <c r="AK100" s="128">
        <f t="shared" si="46"/>
        <v>0</v>
      </c>
      <c r="AL100" s="128">
        <f t="shared" si="46"/>
        <v>0</v>
      </c>
      <c r="AM100" s="128">
        <f t="shared" si="46"/>
        <v>0</v>
      </c>
      <c r="AN100" s="128">
        <f t="shared" si="46"/>
        <v>0</v>
      </c>
      <c r="AO100" s="128">
        <f t="shared" si="46"/>
        <v>0</v>
      </c>
    </row>
    <row r="101" spans="7:41" x14ac:dyDescent="0.25">
      <c r="G101" s="36"/>
      <c r="H101" s="35" t="s">
        <v>167</v>
      </c>
      <c r="I101" s="36"/>
      <c r="J101" s="41">
        <f>MAX(J97-J98-J100,0)</f>
        <v>886743.70565000002</v>
      </c>
      <c r="K101" s="41">
        <f t="shared" ref="K101:AO101" si="47">MAX(K97-K98-K100,0)</f>
        <v>886743.70565000002</v>
      </c>
      <c r="L101" s="41">
        <f t="shared" si="47"/>
        <v>886743.70565000002</v>
      </c>
      <c r="M101" s="41">
        <f t="shared" si="47"/>
        <v>886743.70565000002</v>
      </c>
      <c r="N101" s="41">
        <f t="shared" si="47"/>
        <v>671598.62012755335</v>
      </c>
      <c r="O101" s="41">
        <f t="shared" si="47"/>
        <v>452150.63289465779</v>
      </c>
      <c r="P101" s="41">
        <f t="shared" si="47"/>
        <v>228313.68591710433</v>
      </c>
      <c r="Q101" s="41">
        <f t="shared" si="47"/>
        <v>0</v>
      </c>
      <c r="R101" s="41">
        <f t="shared" si="47"/>
        <v>0</v>
      </c>
      <c r="S101" s="41">
        <f t="shared" si="47"/>
        <v>0</v>
      </c>
      <c r="T101" s="41">
        <f t="shared" si="47"/>
        <v>0</v>
      </c>
      <c r="U101" s="41">
        <f t="shared" si="47"/>
        <v>0</v>
      </c>
      <c r="V101" s="41">
        <f t="shared" si="47"/>
        <v>0</v>
      </c>
      <c r="W101" s="41">
        <f t="shared" si="47"/>
        <v>0</v>
      </c>
      <c r="X101" s="41">
        <f t="shared" si="47"/>
        <v>0</v>
      </c>
      <c r="Y101" s="41">
        <f t="shared" si="47"/>
        <v>0</v>
      </c>
      <c r="Z101" s="41">
        <f t="shared" si="47"/>
        <v>0</v>
      </c>
      <c r="AA101" s="41">
        <f t="shared" si="47"/>
        <v>0</v>
      </c>
      <c r="AB101" s="41">
        <f t="shared" si="47"/>
        <v>0</v>
      </c>
      <c r="AC101" s="41">
        <f t="shared" si="47"/>
        <v>0</v>
      </c>
      <c r="AD101" s="41">
        <f t="shared" si="47"/>
        <v>0</v>
      </c>
      <c r="AE101" s="41">
        <f t="shared" si="47"/>
        <v>0</v>
      </c>
      <c r="AF101" s="41">
        <f t="shared" si="47"/>
        <v>0</v>
      </c>
      <c r="AG101" s="41">
        <f t="shared" si="47"/>
        <v>0</v>
      </c>
      <c r="AH101" s="41">
        <f t="shared" si="47"/>
        <v>0</v>
      </c>
      <c r="AI101" s="41">
        <f t="shared" si="47"/>
        <v>0</v>
      </c>
      <c r="AJ101" s="41">
        <f t="shared" si="47"/>
        <v>0</v>
      </c>
      <c r="AK101" s="41">
        <f t="shared" si="47"/>
        <v>0</v>
      </c>
      <c r="AL101" s="41">
        <f t="shared" si="47"/>
        <v>0</v>
      </c>
      <c r="AM101" s="41">
        <f t="shared" si="47"/>
        <v>0</v>
      </c>
      <c r="AN101" s="41">
        <f t="shared" si="47"/>
        <v>0</v>
      </c>
      <c r="AO101" s="41">
        <f t="shared" si="47"/>
        <v>0</v>
      </c>
    </row>
    <row r="102" spans="7:41" x14ac:dyDescent="0.25">
      <c r="G102" s="36"/>
      <c r="H102" s="35" t="s">
        <v>168</v>
      </c>
      <c r="I102" s="36"/>
      <c r="J102" s="94">
        <f t="shared" ref="J102:AO102" si="48">MAX(IF(J98&lt;=I101,SUM(J98:J100),I101),0)</f>
        <v>0</v>
      </c>
      <c r="K102" s="94">
        <f t="shared" si="48"/>
        <v>17734.874113000002</v>
      </c>
      <c r="L102" s="94">
        <f t="shared" si="48"/>
        <v>17734.874113000002</v>
      </c>
      <c r="M102" s="94">
        <f t="shared" si="48"/>
        <v>17734.874113000002</v>
      </c>
      <c r="N102" s="94">
        <f t="shared" si="48"/>
        <v>232879.9596354466</v>
      </c>
      <c r="O102" s="94">
        <f t="shared" si="48"/>
        <v>232879.9596354466</v>
      </c>
      <c r="P102" s="94">
        <f t="shared" si="48"/>
        <v>232879.9596354466</v>
      </c>
      <c r="Q102" s="94">
        <f t="shared" si="48"/>
        <v>228313.68591710433</v>
      </c>
      <c r="R102" s="94">
        <f t="shared" si="48"/>
        <v>0</v>
      </c>
      <c r="S102" s="94">
        <f t="shared" si="48"/>
        <v>0</v>
      </c>
      <c r="T102" s="94">
        <f t="shared" si="48"/>
        <v>0</v>
      </c>
      <c r="U102" s="94">
        <f t="shared" si="48"/>
        <v>0</v>
      </c>
      <c r="V102" s="94">
        <f t="shared" si="48"/>
        <v>0</v>
      </c>
      <c r="W102" s="94">
        <f t="shared" si="48"/>
        <v>0</v>
      </c>
      <c r="X102" s="94">
        <f t="shared" si="48"/>
        <v>0</v>
      </c>
      <c r="Y102" s="94">
        <f t="shared" si="48"/>
        <v>0</v>
      </c>
      <c r="Z102" s="94">
        <f t="shared" si="48"/>
        <v>0</v>
      </c>
      <c r="AA102" s="94">
        <f t="shared" si="48"/>
        <v>0</v>
      </c>
      <c r="AB102" s="94">
        <f t="shared" si="48"/>
        <v>0</v>
      </c>
      <c r="AC102" s="94">
        <f t="shared" si="48"/>
        <v>0</v>
      </c>
      <c r="AD102" s="94">
        <f t="shared" si="48"/>
        <v>0</v>
      </c>
      <c r="AE102" s="94">
        <f t="shared" si="48"/>
        <v>0</v>
      </c>
      <c r="AF102" s="94">
        <f t="shared" si="48"/>
        <v>0</v>
      </c>
      <c r="AG102" s="94">
        <f t="shared" si="48"/>
        <v>0</v>
      </c>
      <c r="AH102" s="94">
        <f t="shared" si="48"/>
        <v>0</v>
      </c>
      <c r="AI102" s="94">
        <f t="shared" si="48"/>
        <v>0</v>
      </c>
      <c r="AJ102" s="94">
        <f t="shared" si="48"/>
        <v>0</v>
      </c>
      <c r="AK102" s="94">
        <f t="shared" si="48"/>
        <v>0</v>
      </c>
      <c r="AL102" s="94">
        <f t="shared" si="48"/>
        <v>0</v>
      </c>
      <c r="AM102" s="94">
        <f t="shared" si="48"/>
        <v>0</v>
      </c>
      <c r="AN102" s="94">
        <f t="shared" si="48"/>
        <v>0</v>
      </c>
      <c r="AO102" s="94">
        <f t="shared" si="48"/>
        <v>0</v>
      </c>
    </row>
    <row r="104" spans="7:41" x14ac:dyDescent="0.25">
      <c r="G104" s="40" t="s">
        <v>169</v>
      </c>
    </row>
    <row r="105" spans="7:41" x14ac:dyDescent="0.25">
      <c r="G105" s="36"/>
      <c r="H105" s="35" t="s">
        <v>170</v>
      </c>
      <c r="I105" s="36"/>
      <c r="J105" s="41"/>
      <c r="K105" s="41">
        <f t="shared" ref="K105:AO105" si="49">IF(K11&lt;=$C$85,-$J$12*$C$80,0)</f>
        <v>0</v>
      </c>
      <c r="L105" s="41">
        <f t="shared" si="49"/>
        <v>0</v>
      </c>
      <c r="M105" s="41">
        <f t="shared" si="49"/>
        <v>0</v>
      </c>
      <c r="N105" s="41">
        <f t="shared" si="49"/>
        <v>0</v>
      </c>
      <c r="O105" s="41">
        <f t="shared" si="49"/>
        <v>0</v>
      </c>
      <c r="P105" s="41">
        <f t="shared" si="49"/>
        <v>0</v>
      </c>
      <c r="Q105" s="41">
        <f t="shared" si="49"/>
        <v>0</v>
      </c>
      <c r="R105" s="41">
        <f t="shared" si="49"/>
        <v>0</v>
      </c>
      <c r="S105" s="41">
        <f t="shared" si="49"/>
        <v>0</v>
      </c>
      <c r="T105" s="41">
        <f t="shared" si="49"/>
        <v>0</v>
      </c>
      <c r="U105" s="41">
        <f t="shared" si="49"/>
        <v>0</v>
      </c>
      <c r="V105" s="41">
        <f t="shared" si="49"/>
        <v>0</v>
      </c>
      <c r="W105" s="41">
        <f t="shared" si="49"/>
        <v>0</v>
      </c>
      <c r="X105" s="41">
        <f t="shared" si="49"/>
        <v>0</v>
      </c>
      <c r="Y105" s="41">
        <f t="shared" si="49"/>
        <v>0</v>
      </c>
      <c r="Z105" s="41">
        <f t="shared" si="49"/>
        <v>0</v>
      </c>
      <c r="AA105" s="41">
        <f t="shared" si="49"/>
        <v>0</v>
      </c>
      <c r="AB105" s="41">
        <f t="shared" si="49"/>
        <v>0</v>
      </c>
      <c r="AC105" s="41">
        <f t="shared" si="49"/>
        <v>0</v>
      </c>
      <c r="AD105" s="41">
        <f t="shared" si="49"/>
        <v>0</v>
      </c>
      <c r="AE105" s="41">
        <f t="shared" si="49"/>
        <v>0</v>
      </c>
      <c r="AF105" s="41">
        <f t="shared" si="49"/>
        <v>0</v>
      </c>
      <c r="AG105" s="41">
        <f t="shared" si="49"/>
        <v>0</v>
      </c>
      <c r="AH105" s="41">
        <f t="shared" si="49"/>
        <v>0</v>
      </c>
      <c r="AI105" s="41">
        <f t="shared" si="49"/>
        <v>0</v>
      </c>
      <c r="AJ105" s="41">
        <f t="shared" si="49"/>
        <v>0</v>
      </c>
      <c r="AK105" s="41">
        <f t="shared" si="49"/>
        <v>0</v>
      </c>
      <c r="AL105" s="41">
        <f t="shared" si="49"/>
        <v>0</v>
      </c>
      <c r="AM105" s="41">
        <f t="shared" si="49"/>
        <v>0</v>
      </c>
      <c r="AN105" s="41">
        <f t="shared" si="49"/>
        <v>0</v>
      </c>
      <c r="AO105" s="41">
        <f t="shared" si="49"/>
        <v>0</v>
      </c>
    </row>
    <row r="106" spans="7:41" x14ac:dyDescent="0.25">
      <c r="G106" s="36"/>
      <c r="H106" s="35" t="s">
        <v>171</v>
      </c>
      <c r="I106" s="36"/>
      <c r="J106" s="41"/>
      <c r="K106" s="41">
        <f t="shared" ref="K106:AO106" si="50">IF(K11&lt;=$C$85,$D$30*$C$79,0)</f>
        <v>18067.007943500001</v>
      </c>
      <c r="L106" s="41">
        <f t="shared" si="50"/>
        <v>18067.007943500001</v>
      </c>
      <c r="M106" s="41">
        <f t="shared" si="50"/>
        <v>18067.007943500001</v>
      </c>
      <c r="N106" s="41">
        <f t="shared" si="50"/>
        <v>18067.007943500001</v>
      </c>
      <c r="O106" s="41">
        <f t="shared" si="50"/>
        <v>18067.007943500001</v>
      </c>
      <c r="P106" s="41">
        <f t="shared" si="50"/>
        <v>18067.007943500001</v>
      </c>
      <c r="Q106" s="41">
        <f t="shared" si="50"/>
        <v>18067.007943500001</v>
      </c>
      <c r="R106" s="41">
        <f t="shared" si="50"/>
        <v>18067.007943500001</v>
      </c>
      <c r="S106" s="41">
        <f t="shared" si="50"/>
        <v>18067.007943500001</v>
      </c>
      <c r="T106" s="41">
        <f t="shared" si="50"/>
        <v>18067.007943500001</v>
      </c>
      <c r="U106" s="41">
        <f t="shared" si="50"/>
        <v>18067.007943500001</v>
      </c>
      <c r="V106" s="41">
        <f t="shared" si="50"/>
        <v>18067.007943500001</v>
      </c>
      <c r="W106" s="41">
        <f t="shared" si="50"/>
        <v>18067.007943500001</v>
      </c>
      <c r="X106" s="41">
        <f t="shared" si="50"/>
        <v>18067.007943500001</v>
      </c>
      <c r="Y106" s="41">
        <f t="shared" si="50"/>
        <v>18067.007943500001</v>
      </c>
      <c r="Z106" s="41">
        <f t="shared" si="50"/>
        <v>0</v>
      </c>
      <c r="AA106" s="41">
        <f t="shared" si="50"/>
        <v>0</v>
      </c>
      <c r="AB106" s="41">
        <f t="shared" si="50"/>
        <v>0</v>
      </c>
      <c r="AC106" s="41">
        <f t="shared" si="50"/>
        <v>0</v>
      </c>
      <c r="AD106" s="41">
        <f t="shared" si="50"/>
        <v>0</v>
      </c>
      <c r="AE106" s="41">
        <f t="shared" si="50"/>
        <v>0</v>
      </c>
      <c r="AF106" s="41">
        <f t="shared" si="50"/>
        <v>0</v>
      </c>
      <c r="AG106" s="41">
        <f t="shared" si="50"/>
        <v>0</v>
      </c>
      <c r="AH106" s="41">
        <f t="shared" si="50"/>
        <v>0</v>
      </c>
      <c r="AI106" s="41">
        <f t="shared" si="50"/>
        <v>0</v>
      </c>
      <c r="AJ106" s="41">
        <f t="shared" si="50"/>
        <v>0</v>
      </c>
      <c r="AK106" s="41">
        <f t="shared" si="50"/>
        <v>0</v>
      </c>
      <c r="AL106" s="41">
        <f t="shared" si="50"/>
        <v>0</v>
      </c>
      <c r="AM106" s="41">
        <f t="shared" si="50"/>
        <v>0</v>
      </c>
      <c r="AN106" s="41">
        <f t="shared" si="50"/>
        <v>0</v>
      </c>
      <c r="AO106" s="41">
        <f t="shared" si="50"/>
        <v>0</v>
      </c>
    </row>
    <row r="107" spans="7:41" x14ac:dyDescent="0.25">
      <c r="G107" s="36"/>
      <c r="H107" s="35" t="s">
        <v>145</v>
      </c>
      <c r="I107" s="36"/>
      <c r="J107" s="41">
        <f>D18</f>
        <v>123552.5</v>
      </c>
      <c r="K107" s="41">
        <v>0</v>
      </c>
      <c r="L107" s="41">
        <v>0</v>
      </c>
      <c r="M107" s="41">
        <v>0</v>
      </c>
      <c r="N107" s="41">
        <v>0</v>
      </c>
      <c r="O107" s="41">
        <v>0</v>
      </c>
      <c r="P107" s="41">
        <v>0</v>
      </c>
      <c r="Q107" s="41">
        <v>0</v>
      </c>
      <c r="R107" s="41">
        <v>0</v>
      </c>
      <c r="S107" s="41">
        <v>0</v>
      </c>
      <c r="T107" s="41">
        <v>0</v>
      </c>
      <c r="U107" s="41">
        <v>0</v>
      </c>
      <c r="V107" s="41">
        <v>0</v>
      </c>
      <c r="W107" s="41">
        <v>0</v>
      </c>
      <c r="X107" s="41">
        <v>0</v>
      </c>
      <c r="Y107" s="41">
        <v>0</v>
      </c>
      <c r="Z107" s="41">
        <v>0</v>
      </c>
      <c r="AA107" s="41">
        <v>0</v>
      </c>
      <c r="AB107" s="41">
        <v>0</v>
      </c>
      <c r="AC107" s="41">
        <v>0</v>
      </c>
      <c r="AD107" s="41">
        <v>0</v>
      </c>
      <c r="AE107" s="41">
        <v>0</v>
      </c>
      <c r="AF107" s="41">
        <v>1</v>
      </c>
      <c r="AG107" s="41">
        <v>2</v>
      </c>
      <c r="AH107" s="41">
        <v>3</v>
      </c>
      <c r="AI107" s="41">
        <v>4</v>
      </c>
      <c r="AJ107" s="41">
        <v>5</v>
      </c>
      <c r="AK107" s="41">
        <v>6</v>
      </c>
      <c r="AL107" s="41">
        <v>7</v>
      </c>
      <c r="AM107" s="41">
        <v>8</v>
      </c>
      <c r="AN107" s="41">
        <v>9</v>
      </c>
      <c r="AO107" s="41">
        <v>10</v>
      </c>
    </row>
    <row r="109" spans="7:41" x14ac:dyDescent="0.25">
      <c r="G109" s="40" t="s">
        <v>172</v>
      </c>
    </row>
    <row r="110" spans="7:41" x14ac:dyDescent="0.25">
      <c r="G110" s="57" t="s">
        <v>173</v>
      </c>
    </row>
    <row r="111" spans="7:41" x14ac:dyDescent="0.25">
      <c r="G111" s="36"/>
      <c r="H111" s="35" t="s">
        <v>230</v>
      </c>
      <c r="I111" s="36"/>
      <c r="J111" s="41">
        <f>D13</f>
        <v>2471.0500000000002</v>
      </c>
      <c r="K111" s="41">
        <f t="shared" ref="K111:AO111" si="51">$J$111*(1+$C$86)^K11</f>
        <v>2619.3130000000001</v>
      </c>
      <c r="L111" s="41">
        <f t="shared" si="51"/>
        <v>2776.4717800000008</v>
      </c>
      <c r="M111" s="41">
        <f t="shared" si="51"/>
        <v>2943.060086800001</v>
      </c>
      <c r="N111" s="41">
        <f t="shared" si="51"/>
        <v>3119.6436920080009</v>
      </c>
      <c r="O111" s="41">
        <f t="shared" si="51"/>
        <v>3306.8223135284816</v>
      </c>
      <c r="P111" s="41">
        <f t="shared" si="51"/>
        <v>3505.2316523401905</v>
      </c>
      <c r="Q111" s="41">
        <f t="shared" si="51"/>
        <v>3715.5455514806026</v>
      </c>
      <c r="R111" s="41">
        <f t="shared" si="51"/>
        <v>3938.4782845694381</v>
      </c>
      <c r="S111" s="41">
        <f t="shared" si="51"/>
        <v>4174.7869816436041</v>
      </c>
      <c r="T111" s="41">
        <f t="shared" si="51"/>
        <v>4425.2742005422215</v>
      </c>
      <c r="U111" s="41">
        <f t="shared" si="51"/>
        <v>4690.7906525747549</v>
      </c>
      <c r="V111" s="41">
        <f t="shared" si="51"/>
        <v>4972.2380917292403</v>
      </c>
      <c r="W111" s="41">
        <f t="shared" si="51"/>
        <v>5270.5723772329957</v>
      </c>
      <c r="X111" s="41">
        <f t="shared" si="51"/>
        <v>5586.8067198669751</v>
      </c>
      <c r="Y111" s="41">
        <f t="shared" si="51"/>
        <v>5922.0151230589954</v>
      </c>
      <c r="Z111" s="41">
        <f t="shared" si="51"/>
        <v>6277.3360304425332</v>
      </c>
      <c r="AA111" s="41">
        <f t="shared" si="51"/>
        <v>6653.9761922690859</v>
      </c>
      <c r="AB111" s="41">
        <f t="shared" si="51"/>
        <v>7053.2147638052311</v>
      </c>
      <c r="AC111" s="41">
        <f t="shared" si="51"/>
        <v>7476.4076496335465</v>
      </c>
      <c r="AD111" s="41">
        <f t="shared" si="51"/>
        <v>7924.9921086115583</v>
      </c>
      <c r="AE111" s="41">
        <f t="shared" si="51"/>
        <v>8400.4916351282536</v>
      </c>
      <c r="AF111" s="41">
        <f t="shared" si="51"/>
        <v>8904.5211332359504</v>
      </c>
      <c r="AG111" s="41">
        <f t="shared" si="51"/>
        <v>9438.7924012301082</v>
      </c>
      <c r="AH111" s="41">
        <f t="shared" si="51"/>
        <v>10005.119945303913</v>
      </c>
      <c r="AI111" s="41">
        <f t="shared" si="51"/>
        <v>10605.427142022147</v>
      </c>
      <c r="AJ111" s="41">
        <f t="shared" si="51"/>
        <v>11241.752770543477</v>
      </c>
      <c r="AK111" s="41">
        <f t="shared" si="51"/>
        <v>11916.257936776088</v>
      </c>
      <c r="AL111" s="41">
        <f t="shared" si="51"/>
        <v>12631.233412982654</v>
      </c>
      <c r="AM111" s="41">
        <f t="shared" si="51"/>
        <v>13389.107417761614</v>
      </c>
      <c r="AN111" s="41">
        <f t="shared" si="51"/>
        <v>14192.453862827311</v>
      </c>
      <c r="AO111" s="41">
        <f t="shared" si="51"/>
        <v>15044.001094596953</v>
      </c>
    </row>
    <row r="112" spans="7:41" x14ac:dyDescent="0.25">
      <c r="G112" s="36"/>
      <c r="H112" s="35" t="s">
        <v>231</v>
      </c>
      <c r="I112" s="36"/>
      <c r="J112" s="41">
        <f t="shared" ref="J112:AO112" si="52">-J111*$C$87</f>
        <v>-1482.63</v>
      </c>
      <c r="K112" s="41">
        <f t="shared" si="52"/>
        <v>-1571.5878</v>
      </c>
      <c r="L112" s="41">
        <f t="shared" si="52"/>
        <v>-1665.8830680000003</v>
      </c>
      <c r="M112" s="41">
        <f t="shared" si="52"/>
        <v>-1765.8360520800006</v>
      </c>
      <c r="N112" s="41">
        <f t="shared" si="52"/>
        <v>-1871.7862152048006</v>
      </c>
      <c r="O112" s="41">
        <f t="shared" si="52"/>
        <v>-1984.0933881170888</v>
      </c>
      <c r="P112" s="41">
        <f t="shared" si="52"/>
        <v>-2103.1389914041142</v>
      </c>
      <c r="Q112" s="41">
        <f t="shared" si="52"/>
        <v>-2229.3273308883613</v>
      </c>
      <c r="R112" s="41">
        <f t="shared" si="52"/>
        <v>-2363.0869707416628</v>
      </c>
      <c r="S112" s="41">
        <f t="shared" si="52"/>
        <v>-2504.8721889861622</v>
      </c>
      <c r="T112" s="41">
        <f t="shared" si="52"/>
        <v>-2655.1645203253329</v>
      </c>
      <c r="U112" s="41">
        <f t="shared" si="52"/>
        <v>-2814.474391544853</v>
      </c>
      <c r="V112" s="41">
        <f t="shared" si="52"/>
        <v>-2983.3428550375443</v>
      </c>
      <c r="W112" s="41">
        <f t="shared" si="52"/>
        <v>-3162.3434263397971</v>
      </c>
      <c r="X112" s="41">
        <f t="shared" si="52"/>
        <v>-3352.0840319201848</v>
      </c>
      <c r="Y112" s="41">
        <f t="shared" si="52"/>
        <v>-3553.2090738353972</v>
      </c>
      <c r="Z112" s="41">
        <f t="shared" si="52"/>
        <v>-3766.4016182655196</v>
      </c>
      <c r="AA112" s="41">
        <f t="shared" si="52"/>
        <v>-3992.3857153614513</v>
      </c>
      <c r="AB112" s="41">
        <f t="shared" si="52"/>
        <v>-4231.9288582831387</v>
      </c>
      <c r="AC112" s="41">
        <f t="shared" si="52"/>
        <v>-4485.8445897801275</v>
      </c>
      <c r="AD112" s="41">
        <f t="shared" si="52"/>
        <v>-4754.9952651669346</v>
      </c>
      <c r="AE112" s="41">
        <f t="shared" si="52"/>
        <v>-5040.2949810769524</v>
      </c>
      <c r="AF112" s="41">
        <f t="shared" si="52"/>
        <v>-5342.7126799415701</v>
      </c>
      <c r="AG112" s="41">
        <f t="shared" si="52"/>
        <v>-5663.2754407380644</v>
      </c>
      <c r="AH112" s="41">
        <f t="shared" si="52"/>
        <v>-6003.0719671823481</v>
      </c>
      <c r="AI112" s="41">
        <f t="shared" si="52"/>
        <v>-6363.2562852132878</v>
      </c>
      <c r="AJ112" s="41">
        <f t="shared" si="52"/>
        <v>-6745.0516623260855</v>
      </c>
      <c r="AK112" s="41">
        <f t="shared" si="52"/>
        <v>-7149.7547620656524</v>
      </c>
      <c r="AL112" s="41">
        <f t="shared" si="52"/>
        <v>-7578.7400477895917</v>
      </c>
      <c r="AM112" s="41">
        <f t="shared" si="52"/>
        <v>-8033.4644506569675</v>
      </c>
      <c r="AN112" s="41">
        <f t="shared" si="52"/>
        <v>-8515.4723176963871</v>
      </c>
      <c r="AO112" s="41">
        <f t="shared" si="52"/>
        <v>-9026.400656758171</v>
      </c>
    </row>
    <row r="113" spans="7:41" x14ac:dyDescent="0.25">
      <c r="G113" s="36"/>
      <c r="H113" s="35" t="s">
        <v>232</v>
      </c>
      <c r="I113" s="36"/>
      <c r="J113" s="94">
        <f>SUM(J111:J112)</f>
        <v>988.42000000000007</v>
      </c>
      <c r="K113" s="94">
        <f t="shared" ref="K113:AO113" si="53">SUM(K111:K112)</f>
        <v>1047.7252000000001</v>
      </c>
      <c r="L113" s="94">
        <f t="shared" si="53"/>
        <v>1110.5887120000004</v>
      </c>
      <c r="M113" s="94">
        <f t="shared" si="53"/>
        <v>1177.2240347200004</v>
      </c>
      <c r="N113" s="94">
        <f t="shared" si="53"/>
        <v>1247.8574768032004</v>
      </c>
      <c r="O113" s="94">
        <f t="shared" si="53"/>
        <v>1322.7289254113928</v>
      </c>
      <c r="P113" s="94">
        <f t="shared" si="53"/>
        <v>1402.0926609360763</v>
      </c>
      <c r="Q113" s="94">
        <f t="shared" si="53"/>
        <v>1486.2182205922413</v>
      </c>
      <c r="R113" s="94">
        <f t="shared" si="53"/>
        <v>1575.3913138277753</v>
      </c>
      <c r="S113" s="94">
        <f t="shared" si="53"/>
        <v>1669.9147926574419</v>
      </c>
      <c r="T113" s="94">
        <f>SUM(T111:T112)</f>
        <v>1770.1096802168886</v>
      </c>
      <c r="U113" s="94">
        <f t="shared" si="53"/>
        <v>1876.3162610299019</v>
      </c>
      <c r="V113" s="94">
        <f t="shared" si="53"/>
        <v>1988.895236691696</v>
      </c>
      <c r="W113" s="94">
        <f t="shared" si="53"/>
        <v>2108.2289508931985</v>
      </c>
      <c r="X113" s="94">
        <f t="shared" si="53"/>
        <v>2234.7226879467903</v>
      </c>
      <c r="Y113" s="94">
        <f t="shared" si="53"/>
        <v>2368.8060492235982</v>
      </c>
      <c r="Z113" s="94">
        <f t="shared" si="53"/>
        <v>2510.9344121770137</v>
      </c>
      <c r="AA113" s="94">
        <f t="shared" si="53"/>
        <v>2661.5904769076346</v>
      </c>
      <c r="AB113" s="94">
        <f t="shared" si="53"/>
        <v>2821.2859055220924</v>
      </c>
      <c r="AC113" s="94">
        <f t="shared" si="53"/>
        <v>2990.563059853419</v>
      </c>
      <c r="AD113" s="94">
        <f t="shared" si="53"/>
        <v>3169.9968434446237</v>
      </c>
      <c r="AE113" s="94">
        <f t="shared" si="53"/>
        <v>3360.1966540513013</v>
      </c>
      <c r="AF113" s="94">
        <f t="shared" si="53"/>
        <v>3561.8084532943803</v>
      </c>
      <c r="AG113" s="94">
        <f t="shared" si="53"/>
        <v>3775.5169604920438</v>
      </c>
      <c r="AH113" s="94">
        <f t="shared" si="53"/>
        <v>4002.0479781215654</v>
      </c>
      <c r="AI113" s="94">
        <f t="shared" si="53"/>
        <v>4242.1708568088588</v>
      </c>
      <c r="AJ113" s="94">
        <f t="shared" si="53"/>
        <v>4496.7011082173913</v>
      </c>
      <c r="AK113" s="94">
        <f t="shared" si="53"/>
        <v>4766.5031747104358</v>
      </c>
      <c r="AL113" s="94">
        <f t="shared" si="53"/>
        <v>5052.4933651930623</v>
      </c>
      <c r="AM113" s="94">
        <f t="shared" si="53"/>
        <v>5355.6429671046462</v>
      </c>
      <c r="AN113" s="94">
        <f t="shared" si="53"/>
        <v>5676.9815451309241</v>
      </c>
      <c r="AO113" s="94">
        <f t="shared" si="53"/>
        <v>6017.6004378387825</v>
      </c>
    </row>
    <row r="114" spans="7:41" x14ac:dyDescent="0.25">
      <c r="G114" s="36"/>
      <c r="H114" s="35" t="s">
        <v>233</v>
      </c>
      <c r="I114" s="36"/>
      <c r="J114" s="94">
        <f t="shared" ref="J114:AO114" si="54">-J113*$C$90</f>
        <v>-9.8842000000000017</v>
      </c>
      <c r="K114" s="94">
        <f t="shared" si="54"/>
        <v>-10.477252000000002</v>
      </c>
      <c r="L114" s="94">
        <f t="shared" si="54"/>
        <v>-11.105887120000004</v>
      </c>
      <c r="M114" s="94">
        <f t="shared" si="54"/>
        <v>-11.772240347200004</v>
      </c>
      <c r="N114" s="94">
        <f t="shared" si="54"/>
        <v>-12.478574768032004</v>
      </c>
      <c r="O114" s="94">
        <f t="shared" si="54"/>
        <v>-13.227289254113927</v>
      </c>
      <c r="P114" s="94">
        <f t="shared" si="54"/>
        <v>-14.020926609360764</v>
      </c>
      <c r="Q114" s="94">
        <f t="shared" si="54"/>
        <v>-14.862182205922414</v>
      </c>
      <c r="R114" s="94">
        <f t="shared" si="54"/>
        <v>-15.753913138277754</v>
      </c>
      <c r="S114" s="94">
        <f t="shared" si="54"/>
        <v>-16.699147926574419</v>
      </c>
      <c r="T114" s="94">
        <f t="shared" si="54"/>
        <v>-17.701096802168887</v>
      </c>
      <c r="U114" s="94">
        <f t="shared" si="54"/>
        <v>-18.76316261029902</v>
      </c>
      <c r="V114" s="94">
        <f t="shared" si="54"/>
        <v>-19.888952366916961</v>
      </c>
      <c r="W114" s="94">
        <f t="shared" si="54"/>
        <v>-21.082289508931986</v>
      </c>
      <c r="X114" s="94">
        <f t="shared" si="54"/>
        <v>-22.347226879467904</v>
      </c>
      <c r="Y114" s="94">
        <f t="shared" si="54"/>
        <v>-23.688060492235984</v>
      </c>
      <c r="Z114" s="94">
        <f t="shared" si="54"/>
        <v>-25.109344121770135</v>
      </c>
      <c r="AA114" s="94">
        <f t="shared" si="54"/>
        <v>-26.615904769076348</v>
      </c>
      <c r="AB114" s="94">
        <f t="shared" si="54"/>
        <v>-28.212859055220925</v>
      </c>
      <c r="AC114" s="94">
        <f t="shared" si="54"/>
        <v>-29.905630598534191</v>
      </c>
      <c r="AD114" s="94">
        <f t="shared" si="54"/>
        <v>-31.699968434446237</v>
      </c>
      <c r="AE114" s="94">
        <f t="shared" si="54"/>
        <v>-33.601966540513011</v>
      </c>
      <c r="AF114" s="94">
        <f t="shared" si="54"/>
        <v>-35.618084532943804</v>
      </c>
      <c r="AG114" s="94">
        <f t="shared" si="54"/>
        <v>-37.755169604920439</v>
      </c>
      <c r="AH114" s="94">
        <f t="shared" si="54"/>
        <v>-40.020479781215656</v>
      </c>
      <c r="AI114" s="94">
        <f t="shared" si="54"/>
        <v>-42.42170856808859</v>
      </c>
      <c r="AJ114" s="94">
        <f t="shared" si="54"/>
        <v>-44.967011082173912</v>
      </c>
      <c r="AK114" s="94">
        <f t="shared" si="54"/>
        <v>-47.665031747104358</v>
      </c>
      <c r="AL114" s="94">
        <f t="shared" si="54"/>
        <v>-50.524933651930624</v>
      </c>
      <c r="AM114" s="94">
        <f t="shared" si="54"/>
        <v>-53.556429671046466</v>
      </c>
      <c r="AN114" s="94">
        <f t="shared" si="54"/>
        <v>-56.769815451309242</v>
      </c>
      <c r="AO114" s="94">
        <f t="shared" si="54"/>
        <v>-60.176004378387823</v>
      </c>
    </row>
    <row r="115" spans="7:41" x14ac:dyDescent="0.25">
      <c r="G115" s="36"/>
      <c r="H115" s="35" t="s">
        <v>178</v>
      </c>
      <c r="I115" s="36"/>
      <c r="J115" s="41">
        <f>SUM(J113:J114)*$D$12</f>
        <v>1957071.6000000003</v>
      </c>
      <c r="K115" s="41">
        <f>SUM(K113:K114)*$D$12</f>
        <v>2074495.8960000004</v>
      </c>
      <c r="L115" s="41">
        <f t="shared" ref="L115:AO115" si="55">SUM(L113:L114)*$D$12</f>
        <v>2198965.6497600009</v>
      </c>
      <c r="M115" s="41">
        <f t="shared" si="55"/>
        <v>2330903.5887456005</v>
      </c>
      <c r="N115" s="41">
        <f t="shared" si="55"/>
        <v>2470757.8040703367</v>
      </c>
      <c r="O115" s="41">
        <f t="shared" si="55"/>
        <v>2619003.2723145578</v>
      </c>
      <c r="P115" s="41">
        <f t="shared" si="55"/>
        <v>2776143.4686534312</v>
      </c>
      <c r="Q115" s="41">
        <f t="shared" si="55"/>
        <v>2942712.0767726377</v>
      </c>
      <c r="R115" s="41">
        <f t="shared" si="55"/>
        <v>3119274.8013789952</v>
      </c>
      <c r="S115" s="41">
        <f t="shared" si="55"/>
        <v>3306431.2894617352</v>
      </c>
      <c r="T115" s="41">
        <f>SUM(T113:T114)*$D$12</f>
        <v>3504817.1668294393</v>
      </c>
      <c r="U115" s="41">
        <f t="shared" si="55"/>
        <v>3715106.1968392055</v>
      </c>
      <c r="V115" s="41">
        <f t="shared" si="55"/>
        <v>3938012.5686495579</v>
      </c>
      <c r="W115" s="41">
        <f t="shared" si="55"/>
        <v>4174293.3227685336</v>
      </c>
      <c r="X115" s="41">
        <f t="shared" si="55"/>
        <v>4424750.9221346444</v>
      </c>
      <c r="Y115" s="41">
        <f t="shared" si="55"/>
        <v>4690235.9774627248</v>
      </c>
      <c r="Z115" s="41">
        <f t="shared" si="55"/>
        <v>4971650.1361104874</v>
      </c>
      <c r="AA115" s="41">
        <f t="shared" si="55"/>
        <v>5269949.1442771172</v>
      </c>
      <c r="AB115" s="41">
        <f t="shared" si="55"/>
        <v>5586146.0929337423</v>
      </c>
      <c r="AC115" s="41">
        <f t="shared" si="55"/>
        <v>5921314.8585097697</v>
      </c>
      <c r="AD115" s="41">
        <f t="shared" si="55"/>
        <v>6276593.7500203541</v>
      </c>
      <c r="AE115" s="41">
        <f t="shared" si="55"/>
        <v>6653189.3750215769</v>
      </c>
      <c r="AF115" s="41">
        <f t="shared" si="55"/>
        <v>7052380.7375228731</v>
      </c>
      <c r="AG115" s="41">
        <f t="shared" si="55"/>
        <v>7475523.5817742469</v>
      </c>
      <c r="AH115" s="41">
        <f t="shared" si="55"/>
        <v>7924054.9966806993</v>
      </c>
      <c r="AI115" s="41">
        <f t="shared" si="55"/>
        <v>8399498.2964815404</v>
      </c>
      <c r="AJ115" s="41">
        <f t="shared" si="55"/>
        <v>8903468.1942704357</v>
      </c>
      <c r="AK115" s="41">
        <f t="shared" si="55"/>
        <v>9437676.2859266642</v>
      </c>
      <c r="AL115" s="41">
        <f t="shared" si="55"/>
        <v>10003936.863082264</v>
      </c>
      <c r="AM115" s="41">
        <f t="shared" si="55"/>
        <v>10604173.0748672</v>
      </c>
      <c r="AN115" s="41">
        <f t="shared" si="55"/>
        <v>11240423.45935923</v>
      </c>
      <c r="AO115" s="41">
        <f t="shared" si="55"/>
        <v>11914848.86692079</v>
      </c>
    </row>
    <row r="116" spans="7:41" x14ac:dyDescent="0.25">
      <c r="G116" s="36"/>
      <c r="H116" s="35" t="s">
        <v>234</v>
      </c>
      <c r="I116" s="36"/>
      <c r="J116" s="41">
        <f>J115/$D$12</f>
        <v>978.53580000000011</v>
      </c>
      <c r="K116" s="41">
        <f t="shared" ref="K116:AO116" si="56">K115/$D$12</f>
        <v>1037.2479480000002</v>
      </c>
      <c r="L116" s="41">
        <f t="shared" si="56"/>
        <v>1099.4828248800004</v>
      </c>
      <c r="M116" s="41">
        <f t="shared" si="56"/>
        <v>1165.4517943728004</v>
      </c>
      <c r="N116" s="41">
        <f t="shared" si="56"/>
        <v>1235.3789020351683</v>
      </c>
      <c r="O116" s="41">
        <f t="shared" si="56"/>
        <v>1309.5016361572789</v>
      </c>
      <c r="P116" s="41">
        <f t="shared" si="56"/>
        <v>1388.0717343267156</v>
      </c>
      <c r="Q116" s="41">
        <f t="shared" si="56"/>
        <v>1471.3560383863189</v>
      </c>
      <c r="R116" s="41">
        <f t="shared" si="56"/>
        <v>1559.6374006894976</v>
      </c>
      <c r="S116" s="41">
        <f t="shared" si="56"/>
        <v>1653.2156447308676</v>
      </c>
      <c r="T116" s="41">
        <f t="shared" si="56"/>
        <v>1752.4085834147197</v>
      </c>
      <c r="U116" s="41">
        <f t="shared" si="56"/>
        <v>1857.5530984196027</v>
      </c>
      <c r="V116" s="41">
        <f t="shared" si="56"/>
        <v>1969.006284324779</v>
      </c>
      <c r="W116" s="41">
        <f t="shared" si="56"/>
        <v>2087.1466613842667</v>
      </c>
      <c r="X116" s="41">
        <f t="shared" si="56"/>
        <v>2212.3754610673222</v>
      </c>
      <c r="Y116" s="41">
        <f t="shared" si="56"/>
        <v>2345.1179887313624</v>
      </c>
      <c r="Z116" s="41">
        <f t="shared" si="56"/>
        <v>2485.8250680552437</v>
      </c>
      <c r="AA116" s="41">
        <f t="shared" si="56"/>
        <v>2634.9745721385584</v>
      </c>
      <c r="AB116" s="41">
        <f t="shared" si="56"/>
        <v>2793.0730464668713</v>
      </c>
      <c r="AC116" s="41">
        <f t="shared" si="56"/>
        <v>2960.6574292548848</v>
      </c>
      <c r="AD116" s="41">
        <f t="shared" si="56"/>
        <v>3138.2968750101772</v>
      </c>
      <c r="AE116" s="41">
        <f t="shared" si="56"/>
        <v>3326.5946875107884</v>
      </c>
      <c r="AF116" s="41">
        <f t="shared" si="56"/>
        <v>3526.1903687614367</v>
      </c>
      <c r="AG116" s="41">
        <f t="shared" si="56"/>
        <v>3737.7617908871234</v>
      </c>
      <c r="AH116" s="41">
        <f t="shared" si="56"/>
        <v>3962.0274983403497</v>
      </c>
      <c r="AI116" s="41">
        <f t="shared" si="56"/>
        <v>4199.7491482407704</v>
      </c>
      <c r="AJ116" s="41">
        <f t="shared" si="56"/>
        <v>4451.7340971352178</v>
      </c>
      <c r="AK116" s="41">
        <f t="shared" si="56"/>
        <v>4718.8381429633318</v>
      </c>
      <c r="AL116" s="41">
        <f t="shared" si="56"/>
        <v>5001.9684315411314</v>
      </c>
      <c r="AM116" s="41">
        <f t="shared" si="56"/>
        <v>5302.0865374335999</v>
      </c>
      <c r="AN116" s="41">
        <f t="shared" si="56"/>
        <v>5620.211729679615</v>
      </c>
      <c r="AO116" s="41">
        <f t="shared" si="56"/>
        <v>5957.4244334603945</v>
      </c>
    </row>
    <row r="117" spans="7:41" x14ac:dyDescent="0.25">
      <c r="H117" s="57" t="s">
        <v>180</v>
      </c>
      <c r="J117" s="129">
        <f t="shared" ref="J117:AO117" si="57">J116-($D$13-$D$36)</f>
        <v>-256.98919999999998</v>
      </c>
      <c r="K117" s="129">
        <f t="shared" si="57"/>
        <v>-198.27705199999991</v>
      </c>
      <c r="L117" s="129">
        <f t="shared" si="57"/>
        <v>-136.04217511999968</v>
      </c>
      <c r="M117" s="129">
        <f t="shared" si="57"/>
        <v>-70.073205627199741</v>
      </c>
      <c r="N117" s="129">
        <f t="shared" si="57"/>
        <v>-0.14609796483182436</v>
      </c>
      <c r="O117" s="129">
        <f t="shared" si="57"/>
        <v>73.97663615727879</v>
      </c>
      <c r="P117" s="129">
        <f t="shared" si="57"/>
        <v>152.54673432671552</v>
      </c>
      <c r="Q117" s="129">
        <f t="shared" si="57"/>
        <v>235.83103838631882</v>
      </c>
      <c r="R117" s="129">
        <f t="shared" si="57"/>
        <v>324.11240068949746</v>
      </c>
      <c r="S117" s="129">
        <f t="shared" si="57"/>
        <v>417.69064473086746</v>
      </c>
      <c r="T117" s="129">
        <f t="shared" si="57"/>
        <v>516.88358341471962</v>
      </c>
      <c r="U117" s="129">
        <f t="shared" si="57"/>
        <v>622.02809841960266</v>
      </c>
      <c r="V117" s="129">
        <f t="shared" si="57"/>
        <v>733.48128432477893</v>
      </c>
      <c r="W117" s="129">
        <f t="shared" si="57"/>
        <v>851.62166138426664</v>
      </c>
      <c r="X117" s="129">
        <f t="shared" si="57"/>
        <v>976.85046106732216</v>
      </c>
      <c r="Y117" s="129">
        <f t="shared" si="57"/>
        <v>1109.5929887313623</v>
      </c>
      <c r="Z117" s="129">
        <f t="shared" si="57"/>
        <v>1250.3000680552436</v>
      </c>
      <c r="AA117" s="129">
        <f t="shared" si="57"/>
        <v>1399.4495721385583</v>
      </c>
      <c r="AB117" s="129">
        <f t="shared" si="57"/>
        <v>1557.5480464668713</v>
      </c>
      <c r="AC117" s="129">
        <f t="shared" si="57"/>
        <v>1725.1324292548848</v>
      </c>
      <c r="AD117" s="129">
        <f t="shared" si="57"/>
        <v>1902.7718750101772</v>
      </c>
      <c r="AE117" s="129">
        <f t="shared" si="57"/>
        <v>2091.0696875107883</v>
      </c>
      <c r="AF117" s="129">
        <f t="shared" si="57"/>
        <v>2290.6653687614366</v>
      </c>
      <c r="AG117" s="129">
        <f t="shared" si="57"/>
        <v>2502.2367908871233</v>
      </c>
      <c r="AH117" s="129">
        <f t="shared" si="57"/>
        <v>2726.5024983403496</v>
      </c>
      <c r="AI117" s="129">
        <f t="shared" si="57"/>
        <v>2964.2241482407703</v>
      </c>
      <c r="AJ117" s="129">
        <f t="shared" si="57"/>
        <v>3216.2090971352177</v>
      </c>
      <c r="AK117" s="129">
        <f t="shared" si="57"/>
        <v>3483.3131429633318</v>
      </c>
      <c r="AL117" s="129">
        <f t="shared" si="57"/>
        <v>3766.4434315411313</v>
      </c>
      <c r="AM117" s="129">
        <f t="shared" si="57"/>
        <v>4066.5615374335998</v>
      </c>
      <c r="AN117" s="129">
        <f t="shared" si="57"/>
        <v>4384.6867296796154</v>
      </c>
      <c r="AO117" s="129">
        <f t="shared" si="57"/>
        <v>4721.899433460394</v>
      </c>
    </row>
    <row r="118" spans="7:41" x14ac:dyDescent="0.25">
      <c r="H118" s="57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  <c r="AJ118" s="129"/>
      <c r="AK118" s="129"/>
      <c r="AL118" s="129"/>
      <c r="AM118" s="129"/>
      <c r="AN118" s="129"/>
      <c r="AO118" s="129"/>
    </row>
    <row r="119" spans="7:41" x14ac:dyDescent="0.25">
      <c r="G119" s="57" t="s">
        <v>181</v>
      </c>
    </row>
    <row r="120" spans="7:41" x14ac:dyDescent="0.25">
      <c r="G120" s="36"/>
      <c r="H120" s="35" t="s">
        <v>182</v>
      </c>
      <c r="I120" s="36"/>
      <c r="J120" s="41"/>
      <c r="K120" s="41">
        <f>NPV($C$89,L62:$AO$62)</f>
        <v>1496550.5624320428</v>
      </c>
      <c r="L120" s="41">
        <f>NPV($C$89,M62:$AO$62)</f>
        <v>1454527.4304536453</v>
      </c>
      <c r="M120" s="41">
        <f>NPV($C$89,N62:$AO$62)</f>
        <v>1398461.1742565278</v>
      </c>
      <c r="N120" s="41">
        <f>NPV($C$89,O62:$AO$62)</f>
        <v>1326480.5589654262</v>
      </c>
      <c r="O120" s="41">
        <f>NPV($C$89,P62:$AO$62)</f>
        <v>1236762.3392814533</v>
      </c>
      <c r="P120" s="41">
        <f>NPV($C$89,Q62:$AO$62)</f>
        <v>1127050.2038112129</v>
      </c>
      <c r="Q120" s="41">
        <f>NPV($C$89,R62:$AO$62)</f>
        <v>995412.89319009311</v>
      </c>
      <c r="R120" s="41">
        <f>NPV($C$89,S62:$AO$62)</f>
        <v>993097.24809680507</v>
      </c>
      <c r="S120" s="41">
        <f>NPV($C$89,T62:$AO$62)</f>
        <v>1029152.4267475271</v>
      </c>
      <c r="T120" s="41">
        <f>NPV($C$89,U62:$AO$62)</f>
        <v>1062859.183595899</v>
      </c>
      <c r="U120" s="41">
        <f>NPV($C$89,V62:$AO$62)</f>
        <v>960276.28711303335</v>
      </c>
      <c r="V120" s="41">
        <f>NPV($C$89,W62:$AO$62)</f>
        <v>982571.79511072359</v>
      </c>
      <c r="W120" s="41">
        <f>NPV($C$89,X62:$AO$62)</f>
        <v>1001151.5807904134</v>
      </c>
      <c r="X120" s="41">
        <f>NPV($C$89,Y62:$AO$62)</f>
        <v>1015416.1554155964</v>
      </c>
      <c r="Y120" s="41">
        <f>NPV($C$89,Z62:$AO$62)</f>
        <v>1024703.9682575992</v>
      </c>
      <c r="Z120" s="41">
        <f>NPV($C$89,AA62:$AO$62)</f>
        <v>1014406.9667897209</v>
      </c>
      <c r="AA120" s="41">
        <f>NPV($C$89,AB62:$AO$62)</f>
        <v>1010788.4077588379</v>
      </c>
      <c r="AB120" s="41">
        <f>NPV($C$89,AC62:$AO$62)</f>
        <v>999742.57587634085</v>
      </c>
      <c r="AC120" s="41">
        <f>NPV($C$89,AD62:$AO$62)</f>
        <v>980297.10599696182</v>
      </c>
      <c r="AD120" s="41">
        <f>NPV($C$89,AE62:$AO$62)</f>
        <v>951382.28844394791</v>
      </c>
      <c r="AE120" s="41">
        <f>NPV($C$89,AF62:$AO$62)</f>
        <v>407015.89958373853</v>
      </c>
      <c r="AF120" s="41">
        <f>NPV($C$89,AG62:$AO$62)</f>
        <v>480625.77207819017</v>
      </c>
      <c r="AG120" s="41">
        <f>NPV($C$89,AH62:$AO$62)</f>
        <v>558704.32375570538</v>
      </c>
      <c r="AH120" s="41">
        <f>NPV($C$89,AI62:$AO$62)</f>
        <v>641486.59734672483</v>
      </c>
      <c r="AI120" s="41">
        <f>NPV($C$89,AJ62:$AO$62)</f>
        <v>729219.55756953848</v>
      </c>
      <c r="AJ120" s="41">
        <f>NPV($C$89,AK62:$AO$62)</f>
        <v>412132.19817863964</v>
      </c>
      <c r="AK120" s="41">
        <f>NPV($C$89,AL62:$AO$62)</f>
        <v>490056.6119667365</v>
      </c>
      <c r="AL120" s="41">
        <f>NPV($C$89,AM62:$AO$62)</f>
        <v>572725.19917053822</v>
      </c>
      <c r="AM120" s="41">
        <f>NPV($C$89,AN62:$AO$62)</f>
        <v>660387.65146508696</v>
      </c>
      <c r="AN120" s="41">
        <f>NPV($C$89,AO62:$AO$62)</f>
        <v>753306.32762850786</v>
      </c>
      <c r="AO120" s="41">
        <f>NPV($C$89,$AO62:AP$62)</f>
        <v>753306.32762850786</v>
      </c>
    </row>
    <row r="121" spans="7:41" x14ac:dyDescent="0.25">
      <c r="G121" s="36"/>
      <c r="H121" s="35" t="s">
        <v>179</v>
      </c>
      <c r="I121" s="36"/>
      <c r="J121" s="41">
        <f>J120/$D$12</f>
        <v>0</v>
      </c>
      <c r="K121" s="41">
        <f t="shared" ref="K121:AO121" si="58">K120/$D$12</f>
        <v>748.27528121602143</v>
      </c>
      <c r="L121" s="41">
        <f t="shared" si="58"/>
        <v>727.26371522682268</v>
      </c>
      <c r="M121" s="41">
        <f t="shared" si="58"/>
        <v>699.23058712826389</v>
      </c>
      <c r="N121" s="41">
        <f t="shared" si="58"/>
        <v>663.24027948271305</v>
      </c>
      <c r="O121" s="41">
        <f t="shared" si="58"/>
        <v>618.38116964072663</v>
      </c>
      <c r="P121" s="41">
        <f t="shared" si="58"/>
        <v>563.52510190560645</v>
      </c>
      <c r="Q121" s="41">
        <f t="shared" si="58"/>
        <v>497.70644659504654</v>
      </c>
      <c r="R121" s="41">
        <f t="shared" si="58"/>
        <v>496.54862404840253</v>
      </c>
      <c r="S121" s="41">
        <f t="shared" si="58"/>
        <v>514.57621337376349</v>
      </c>
      <c r="T121" s="41">
        <f t="shared" si="58"/>
        <v>531.42959179794957</v>
      </c>
      <c r="U121" s="41">
        <f t="shared" si="58"/>
        <v>480.1381435565167</v>
      </c>
      <c r="V121" s="41">
        <f t="shared" si="58"/>
        <v>491.28589755536177</v>
      </c>
      <c r="W121" s="41">
        <f t="shared" si="58"/>
        <v>500.5757903952067</v>
      </c>
      <c r="X121" s="41">
        <f t="shared" si="58"/>
        <v>507.70807770779822</v>
      </c>
      <c r="Y121" s="41">
        <f t="shared" si="58"/>
        <v>512.35198412879959</v>
      </c>
      <c r="Z121" s="41">
        <f t="shared" si="58"/>
        <v>507.20348339486048</v>
      </c>
      <c r="AA121" s="41">
        <f t="shared" si="58"/>
        <v>505.39420387941897</v>
      </c>
      <c r="AB121" s="41">
        <f t="shared" si="58"/>
        <v>499.87128793817044</v>
      </c>
      <c r="AC121" s="41">
        <f t="shared" si="58"/>
        <v>490.14855299848091</v>
      </c>
      <c r="AD121" s="41">
        <f t="shared" si="58"/>
        <v>475.69114422197396</v>
      </c>
      <c r="AE121" s="41">
        <f t="shared" si="58"/>
        <v>203.50794979186927</v>
      </c>
      <c r="AF121" s="41">
        <f t="shared" si="58"/>
        <v>240.31288603909508</v>
      </c>
      <c r="AG121" s="41">
        <f t="shared" si="58"/>
        <v>279.35216187785267</v>
      </c>
      <c r="AH121" s="41">
        <f t="shared" si="58"/>
        <v>320.7432986733624</v>
      </c>
      <c r="AI121" s="41">
        <f t="shared" si="58"/>
        <v>364.60977878476922</v>
      </c>
      <c r="AJ121" s="41">
        <f t="shared" si="58"/>
        <v>206.06609908931981</v>
      </c>
      <c r="AK121" s="41">
        <f t="shared" si="58"/>
        <v>245.02830598336826</v>
      </c>
      <c r="AL121" s="41">
        <f t="shared" si="58"/>
        <v>286.36259958526909</v>
      </c>
      <c r="AM121" s="41">
        <f t="shared" si="58"/>
        <v>330.19382573254347</v>
      </c>
      <c r="AN121" s="41">
        <f t="shared" si="58"/>
        <v>376.65316381425396</v>
      </c>
      <c r="AO121" s="41">
        <f t="shared" si="58"/>
        <v>376.65316381425396</v>
      </c>
    </row>
    <row r="122" spans="7:41" x14ac:dyDescent="0.25">
      <c r="G122" s="36"/>
      <c r="H122" s="57" t="s">
        <v>180</v>
      </c>
      <c r="J122" s="129">
        <f t="shared" ref="J122:AO122" si="59">J121-($D$13-$D$36)</f>
        <v>-1235.5250000000001</v>
      </c>
      <c r="K122" s="129">
        <f t="shared" si="59"/>
        <v>-487.24971878397866</v>
      </c>
      <c r="L122" s="129">
        <f t="shared" si="59"/>
        <v>-508.26128477317741</v>
      </c>
      <c r="M122" s="129">
        <f t="shared" si="59"/>
        <v>-536.2944128717362</v>
      </c>
      <c r="N122" s="129">
        <f t="shared" si="59"/>
        <v>-572.28472051728704</v>
      </c>
      <c r="O122" s="129">
        <f t="shared" si="59"/>
        <v>-617.14383035927347</v>
      </c>
      <c r="P122" s="129">
        <f t="shared" si="59"/>
        <v>-671.99989809439364</v>
      </c>
      <c r="Q122" s="129">
        <f t="shared" si="59"/>
        <v>-737.81855340495349</v>
      </c>
      <c r="R122" s="129">
        <f t="shared" si="59"/>
        <v>-738.97637595159756</v>
      </c>
      <c r="S122" s="129">
        <f t="shared" si="59"/>
        <v>-720.9487866262366</v>
      </c>
      <c r="T122" s="129">
        <f t="shared" si="59"/>
        <v>-704.09540820205052</v>
      </c>
      <c r="U122" s="129">
        <f t="shared" si="59"/>
        <v>-755.38685644348334</v>
      </c>
      <c r="V122" s="129">
        <f t="shared" si="59"/>
        <v>-744.23910244463832</v>
      </c>
      <c r="W122" s="129">
        <f t="shared" si="59"/>
        <v>-734.9492096047934</v>
      </c>
      <c r="X122" s="129">
        <f t="shared" si="59"/>
        <v>-727.81692229220187</v>
      </c>
      <c r="Y122" s="129">
        <f t="shared" si="59"/>
        <v>-723.1730158712005</v>
      </c>
      <c r="Z122" s="129">
        <f t="shared" si="59"/>
        <v>-728.32151660513955</v>
      </c>
      <c r="AA122" s="129">
        <f t="shared" si="59"/>
        <v>-730.13079612058118</v>
      </c>
      <c r="AB122" s="129">
        <f t="shared" si="59"/>
        <v>-735.65371206182965</v>
      </c>
      <c r="AC122" s="129">
        <f t="shared" si="59"/>
        <v>-745.37644700151918</v>
      </c>
      <c r="AD122" s="129">
        <f t="shared" si="59"/>
        <v>-759.83385577802619</v>
      </c>
      <c r="AE122" s="129">
        <f t="shared" si="59"/>
        <v>-1032.0170502081307</v>
      </c>
      <c r="AF122" s="129">
        <f t="shared" si="59"/>
        <v>-995.21211396090507</v>
      </c>
      <c r="AG122" s="129">
        <f t="shared" si="59"/>
        <v>-956.17283812214737</v>
      </c>
      <c r="AH122" s="129">
        <f t="shared" si="59"/>
        <v>-914.78170132663763</v>
      </c>
      <c r="AI122" s="129">
        <f t="shared" si="59"/>
        <v>-870.91522121523087</v>
      </c>
      <c r="AJ122" s="129">
        <f t="shared" si="59"/>
        <v>-1029.4589009106803</v>
      </c>
      <c r="AK122" s="129">
        <f t="shared" si="59"/>
        <v>-990.49669401663186</v>
      </c>
      <c r="AL122" s="129">
        <f t="shared" si="59"/>
        <v>-949.162400414731</v>
      </c>
      <c r="AM122" s="129">
        <f t="shared" si="59"/>
        <v>-905.33117426745662</v>
      </c>
      <c r="AN122" s="129">
        <f t="shared" si="59"/>
        <v>-858.87183618574613</v>
      </c>
      <c r="AO122" s="129">
        <f t="shared" si="59"/>
        <v>-858.87183618574613</v>
      </c>
    </row>
    <row r="123" spans="7:41" x14ac:dyDescent="0.25">
      <c r="G123" s="36"/>
      <c r="H123" s="35"/>
      <c r="I123" s="36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</row>
    <row r="124" spans="7:41" x14ac:dyDescent="0.25">
      <c r="G124" s="57" t="s">
        <v>183</v>
      </c>
      <c r="H124" s="35"/>
      <c r="I124" s="36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</row>
    <row r="125" spans="7:41" x14ac:dyDescent="0.25">
      <c r="G125" s="36"/>
      <c r="H125" s="35" t="s">
        <v>184</v>
      </c>
      <c r="I125" s="35"/>
      <c r="J125" s="94">
        <f>MEDIAN(J115:J120)/$D$12</f>
        <v>0.48926790000000003</v>
      </c>
      <c r="K125" s="94">
        <f>MEDIAN(K115,K120)/$D$12</f>
        <v>892.76161460801075</v>
      </c>
      <c r="L125" s="94">
        <f t="shared" ref="L125:AO125" si="60">MEDIAN(L115,L120)/$D$12</f>
        <v>913.3732700534116</v>
      </c>
      <c r="M125" s="94">
        <f t="shared" si="60"/>
        <v>932.34119075053206</v>
      </c>
      <c r="N125" s="94">
        <f t="shared" si="60"/>
        <v>949.30959075894066</v>
      </c>
      <c r="O125" s="94">
        <f t="shared" si="60"/>
        <v>963.94140289900281</v>
      </c>
      <c r="P125" s="94">
        <f t="shared" si="60"/>
        <v>975.79841811616097</v>
      </c>
      <c r="Q125" s="94">
        <f t="shared" si="60"/>
        <v>984.53124249068276</v>
      </c>
      <c r="R125" s="94">
        <f t="shared" si="60"/>
        <v>1028.09301236895</v>
      </c>
      <c r="S125" s="94">
        <f t="shared" si="60"/>
        <v>1083.8959290523158</v>
      </c>
      <c r="T125" s="94">
        <f t="shared" si="60"/>
        <v>1141.9190876063346</v>
      </c>
      <c r="U125" s="94">
        <f t="shared" si="60"/>
        <v>1168.8456209880599</v>
      </c>
      <c r="V125" s="94">
        <f t="shared" si="60"/>
        <v>1230.1460909400703</v>
      </c>
      <c r="W125" s="94">
        <f t="shared" si="60"/>
        <v>1293.8612258897367</v>
      </c>
      <c r="X125" s="94">
        <f t="shared" si="60"/>
        <v>1360.0417693875602</v>
      </c>
      <c r="Y125" s="94">
        <f t="shared" si="60"/>
        <v>1428.7349864300811</v>
      </c>
      <c r="Z125" s="94">
        <f t="shared" si="60"/>
        <v>1496.5142757250519</v>
      </c>
      <c r="AA125" s="94">
        <f t="shared" si="60"/>
        <v>1570.1843880089889</v>
      </c>
      <c r="AB125" s="94">
        <f t="shared" si="60"/>
        <v>1646.4721672025207</v>
      </c>
      <c r="AC125" s="94">
        <f t="shared" si="60"/>
        <v>1725.4029911266828</v>
      </c>
      <c r="AD125" s="94">
        <f t="shared" si="60"/>
        <v>1806.9940096160756</v>
      </c>
      <c r="AE125" s="94">
        <f t="shared" si="60"/>
        <v>1765.0513186513288</v>
      </c>
      <c r="AF125" s="94">
        <f t="shared" si="60"/>
        <v>1883.2516274002658</v>
      </c>
      <c r="AG125" s="94">
        <f t="shared" si="60"/>
        <v>2008.5569763824878</v>
      </c>
      <c r="AH125" s="94">
        <f t="shared" si="60"/>
        <v>2141.3853985068558</v>
      </c>
      <c r="AI125" s="94">
        <f t="shared" si="60"/>
        <v>2282.1794635127699</v>
      </c>
      <c r="AJ125" s="94">
        <f t="shared" si="60"/>
        <v>2328.900098112269</v>
      </c>
      <c r="AK125" s="94">
        <f t="shared" si="60"/>
        <v>2481.93322447335</v>
      </c>
      <c r="AL125" s="94">
        <f t="shared" si="60"/>
        <v>2644.1655155632006</v>
      </c>
      <c r="AM125" s="94">
        <f t="shared" si="60"/>
        <v>2816.1401815830723</v>
      </c>
      <c r="AN125" s="94">
        <f t="shared" si="60"/>
        <v>2998.4324467469346</v>
      </c>
      <c r="AO125" s="94">
        <f t="shared" si="60"/>
        <v>3167.0387986373244</v>
      </c>
    </row>
    <row r="126" spans="7:41" x14ac:dyDescent="0.25">
      <c r="H126" s="57" t="s">
        <v>185</v>
      </c>
      <c r="J126" s="129">
        <f t="shared" ref="J126:AO126" si="61">J125-($D$13-$D$36)</f>
        <v>-1235.0357321000001</v>
      </c>
      <c r="K126" s="129">
        <f t="shared" si="61"/>
        <v>-342.76338539198935</v>
      </c>
      <c r="L126" s="129">
        <f t="shared" si="61"/>
        <v>-322.15172994658849</v>
      </c>
      <c r="M126" s="129">
        <f t="shared" si="61"/>
        <v>-303.18380924946803</v>
      </c>
      <c r="N126" s="129">
        <f t="shared" si="61"/>
        <v>-286.21540924105943</v>
      </c>
      <c r="O126" s="129">
        <f t="shared" si="61"/>
        <v>-271.58359710099728</v>
      </c>
      <c r="P126" s="129">
        <f t="shared" si="61"/>
        <v>-259.72658188383912</v>
      </c>
      <c r="Q126" s="129">
        <f t="shared" si="61"/>
        <v>-250.99375750931733</v>
      </c>
      <c r="R126" s="129">
        <f t="shared" si="61"/>
        <v>-207.43198763105011</v>
      </c>
      <c r="S126" s="129">
        <f t="shared" si="61"/>
        <v>-151.62907094768434</v>
      </c>
      <c r="T126" s="129">
        <f t="shared" si="61"/>
        <v>-93.605912393665449</v>
      </c>
      <c r="U126" s="129">
        <f t="shared" si="61"/>
        <v>-66.679379011940227</v>
      </c>
      <c r="V126" s="129">
        <f t="shared" si="61"/>
        <v>-5.3789090599298106</v>
      </c>
      <c r="W126" s="129">
        <f t="shared" si="61"/>
        <v>58.336225889736625</v>
      </c>
      <c r="X126" s="129">
        <f t="shared" si="61"/>
        <v>124.51676938756009</v>
      </c>
      <c r="Y126" s="129">
        <f t="shared" si="61"/>
        <v>193.20998643008102</v>
      </c>
      <c r="Z126" s="129">
        <f t="shared" si="61"/>
        <v>260.98927572505181</v>
      </c>
      <c r="AA126" s="129">
        <f t="shared" si="61"/>
        <v>334.6593880089888</v>
      </c>
      <c r="AB126" s="129">
        <f t="shared" si="61"/>
        <v>410.94716720252063</v>
      </c>
      <c r="AC126" s="129">
        <f t="shared" si="61"/>
        <v>489.87799112668267</v>
      </c>
      <c r="AD126" s="129">
        <f t="shared" si="61"/>
        <v>571.46900961607548</v>
      </c>
      <c r="AE126" s="129">
        <f t="shared" si="61"/>
        <v>529.52631865132867</v>
      </c>
      <c r="AF126" s="129">
        <f t="shared" si="61"/>
        <v>647.72662740026567</v>
      </c>
      <c r="AG126" s="129">
        <f t="shared" si="61"/>
        <v>773.03197638248776</v>
      </c>
      <c r="AH126" s="129">
        <f t="shared" si="61"/>
        <v>905.86039850685574</v>
      </c>
      <c r="AI126" s="129">
        <f t="shared" si="61"/>
        <v>1046.6544635127698</v>
      </c>
      <c r="AJ126" s="129">
        <f t="shared" si="61"/>
        <v>1093.3750981122689</v>
      </c>
      <c r="AK126" s="129">
        <f t="shared" si="61"/>
        <v>1246.4082244733499</v>
      </c>
      <c r="AL126" s="129">
        <f t="shared" si="61"/>
        <v>1408.6405155632006</v>
      </c>
      <c r="AM126" s="129">
        <f t="shared" si="61"/>
        <v>1580.6151815830722</v>
      </c>
      <c r="AN126" s="129">
        <f t="shared" si="61"/>
        <v>1762.9074467469345</v>
      </c>
      <c r="AO126" s="129">
        <f t="shared" si="61"/>
        <v>1931.5137986373243</v>
      </c>
    </row>
    <row r="127" spans="7:41" x14ac:dyDescent="0.25">
      <c r="H127" s="57"/>
      <c r="J127" s="129"/>
      <c r="K127" s="129"/>
      <c r="L127" s="129"/>
      <c r="M127" s="129"/>
      <c r="N127" s="129"/>
      <c r="O127" s="129"/>
      <c r="P127" s="129"/>
      <c r="Q127" s="129"/>
      <c r="R127" s="129"/>
      <c r="S127" s="129"/>
      <c r="T127" s="129"/>
      <c r="U127" s="129"/>
      <c r="V127" s="129"/>
      <c r="W127" s="129"/>
      <c r="X127" s="129"/>
      <c r="Y127" s="129"/>
      <c r="Z127" s="129"/>
      <c r="AA127" s="129"/>
      <c r="AB127" s="129"/>
      <c r="AC127" s="129"/>
      <c r="AD127" s="129"/>
      <c r="AE127" s="129"/>
      <c r="AF127" s="129"/>
      <c r="AG127" s="129"/>
      <c r="AH127" s="129"/>
      <c r="AI127" s="129"/>
      <c r="AJ127" s="129"/>
      <c r="AK127" s="129"/>
      <c r="AL127" s="129"/>
      <c r="AM127" s="129"/>
      <c r="AN127" s="129"/>
      <c r="AO127" s="129"/>
    </row>
    <row r="128" spans="7:41" x14ac:dyDescent="0.25">
      <c r="G128" s="2" t="s">
        <v>186</v>
      </c>
      <c r="H128" s="30"/>
      <c r="I128" s="30"/>
      <c r="J128" s="2" t="s">
        <v>39</v>
      </c>
      <c r="K128" s="32">
        <v>1</v>
      </c>
      <c r="L128" s="32">
        <v>2</v>
      </c>
      <c r="M128" s="32">
        <v>3</v>
      </c>
      <c r="N128" s="32">
        <v>4</v>
      </c>
      <c r="O128" s="32">
        <v>5</v>
      </c>
      <c r="P128" s="32">
        <v>6</v>
      </c>
      <c r="Q128" s="32">
        <v>7</v>
      </c>
      <c r="R128" s="32">
        <v>8</v>
      </c>
      <c r="S128" s="32">
        <v>9</v>
      </c>
      <c r="T128" s="32">
        <v>10</v>
      </c>
      <c r="U128" s="32">
        <v>11</v>
      </c>
      <c r="V128" s="32">
        <v>12</v>
      </c>
      <c r="W128" s="32">
        <v>13</v>
      </c>
      <c r="X128" s="32">
        <v>14</v>
      </c>
      <c r="Y128" s="32">
        <v>15</v>
      </c>
      <c r="Z128" s="32">
        <v>16</v>
      </c>
      <c r="AA128" s="32">
        <v>17</v>
      </c>
      <c r="AB128" s="32">
        <v>18</v>
      </c>
      <c r="AC128" s="32">
        <v>19</v>
      </c>
      <c r="AD128" s="32">
        <v>20</v>
      </c>
      <c r="AE128" s="32">
        <v>21</v>
      </c>
    </row>
    <row r="129" spans="6:31" x14ac:dyDescent="0.25">
      <c r="H129" s="130" t="s">
        <v>39</v>
      </c>
      <c r="I129" s="90"/>
      <c r="J129" s="92">
        <f>-J12</f>
        <v>5164494.5</v>
      </c>
    </row>
    <row r="130" spans="6:31" x14ac:dyDescent="0.25">
      <c r="H130" s="35" t="s">
        <v>187</v>
      </c>
      <c r="I130" s="36"/>
      <c r="J130" s="94">
        <f>-J15</f>
        <v>-2471050</v>
      </c>
      <c r="K130" s="131">
        <f>-J130/$J$129</f>
        <v>0.4784688995215311</v>
      </c>
      <c r="Z130" s="131"/>
    </row>
    <row r="131" spans="6:31" x14ac:dyDescent="0.25">
      <c r="H131" s="35" t="s">
        <v>188</v>
      </c>
      <c r="I131" s="36"/>
      <c r="J131" s="94">
        <f>-J49</f>
        <v>0</v>
      </c>
      <c r="K131" s="131">
        <f t="shared" ref="K131:K132" si="62">-J131/$J$129</f>
        <v>0</v>
      </c>
      <c r="Z131" s="131"/>
    </row>
    <row r="132" spans="6:31" x14ac:dyDescent="0.25">
      <c r="H132" s="35" t="s">
        <v>189</v>
      </c>
      <c r="I132" s="36"/>
      <c r="J132" s="94">
        <f>-J50</f>
        <v>-886743.70565000002</v>
      </c>
      <c r="K132" s="131">
        <f t="shared" si="62"/>
        <v>0.17169999999999999</v>
      </c>
      <c r="W132" s="57" t="s">
        <v>190</v>
      </c>
      <c r="Z132" s="131"/>
    </row>
    <row r="134" spans="6:31" x14ac:dyDescent="0.25">
      <c r="H134" s="50" t="s">
        <v>6</v>
      </c>
      <c r="I134" s="59"/>
      <c r="J134" s="59"/>
      <c r="K134" s="60">
        <f t="shared" ref="K134:AE134" si="63">K46</f>
        <v>0</v>
      </c>
      <c r="L134" s="60">
        <f t="shared" si="63"/>
        <v>0</v>
      </c>
      <c r="M134" s="60">
        <f t="shared" si="63"/>
        <v>0</v>
      </c>
      <c r="N134" s="60">
        <f t="shared" si="63"/>
        <v>0</v>
      </c>
      <c r="O134" s="60">
        <f t="shared" si="63"/>
        <v>0</v>
      </c>
      <c r="P134" s="60">
        <f t="shared" si="63"/>
        <v>0</v>
      </c>
      <c r="Q134" s="60">
        <f t="shared" si="63"/>
        <v>0</v>
      </c>
      <c r="R134" s="60">
        <f t="shared" si="63"/>
        <v>0</v>
      </c>
      <c r="S134" s="60">
        <f t="shared" si="63"/>
        <v>0</v>
      </c>
      <c r="T134" s="60">
        <f t="shared" si="63"/>
        <v>0</v>
      </c>
      <c r="U134" s="60">
        <f t="shared" si="63"/>
        <v>0</v>
      </c>
      <c r="V134" s="60">
        <f t="shared" si="63"/>
        <v>0</v>
      </c>
      <c r="W134" s="60">
        <f t="shared" si="63"/>
        <v>0</v>
      </c>
      <c r="X134" s="60">
        <f t="shared" si="63"/>
        <v>0</v>
      </c>
      <c r="Y134" s="60">
        <f t="shared" si="63"/>
        <v>4334797.7633416811</v>
      </c>
      <c r="Z134" s="60">
        <f t="shared" si="63"/>
        <v>0</v>
      </c>
      <c r="AA134" s="60">
        <f t="shared" si="63"/>
        <v>0</v>
      </c>
      <c r="AB134" s="60">
        <f t="shared" si="63"/>
        <v>0</v>
      </c>
      <c r="AC134" s="60">
        <f t="shared" si="63"/>
        <v>0</v>
      </c>
      <c r="AD134" s="60">
        <f t="shared" si="63"/>
        <v>0</v>
      </c>
      <c r="AE134" s="60">
        <f t="shared" si="63"/>
        <v>0</v>
      </c>
    </row>
    <row r="137" spans="6:31" x14ac:dyDescent="0.25">
      <c r="H137" s="132" t="s">
        <v>191</v>
      </c>
      <c r="I137" s="133"/>
      <c r="J137" s="133"/>
      <c r="K137" s="134">
        <f t="shared" ref="K137:AE137" si="64">K22</f>
        <v>444277.16578420793</v>
      </c>
      <c r="L137" s="134">
        <f t="shared" si="64"/>
        <v>165980.8117338125</v>
      </c>
      <c r="M137" s="134">
        <f t="shared" si="64"/>
        <v>183654.94927558009</v>
      </c>
      <c r="N137" s="134">
        <f t="shared" si="64"/>
        <v>203409.71531016432</v>
      </c>
      <c r="O137" s="134">
        <f t="shared" si="64"/>
        <v>225210.61615433672</v>
      </c>
      <c r="P137" s="134">
        <f t="shared" si="64"/>
        <v>249573.60836700755</v>
      </c>
      <c r="Q137" s="134">
        <f t="shared" si="64"/>
        <v>276132.83341485407</v>
      </c>
      <c r="R137" s="134">
        <f t="shared" si="64"/>
        <v>118260.73040431071</v>
      </c>
      <c r="S137" s="134">
        <f t="shared" si="64"/>
        <v>73995.28074596067</v>
      </c>
      <c r="T137" s="134">
        <f t="shared" si="64"/>
        <v>82035.571330279301</v>
      </c>
      <c r="U137" s="134">
        <f t="shared" si="64"/>
        <v>266033.54246503313</v>
      </c>
      <c r="V137" s="134">
        <f t="shared" si="64"/>
        <v>98787.437170616147</v>
      </c>
      <c r="W137" s="134">
        <f t="shared" si="64"/>
        <v>108903.0798620783</v>
      </c>
      <c r="X137" s="134">
        <f t="shared" si="64"/>
        <v>120062.48959542181</v>
      </c>
      <c r="Y137" s="134">
        <f t="shared" si="64"/>
        <v>132373.23130228996</v>
      </c>
      <c r="Z137" s="134">
        <f t="shared" si="64"/>
        <v>166557.23187010683</v>
      </c>
      <c r="AA137" s="134">
        <f t="shared" si="64"/>
        <v>160932.1070802318</v>
      </c>
      <c r="AB137" s="134">
        <f t="shared" si="64"/>
        <v>177460.31363963566</v>
      </c>
      <c r="AC137" s="134">
        <f t="shared" si="64"/>
        <v>195693.63646182584</v>
      </c>
      <c r="AD137" s="134">
        <f t="shared" si="64"/>
        <v>215811.6115139708</v>
      </c>
      <c r="AE137" s="134">
        <f t="shared" si="64"/>
        <v>1085876.5306164706</v>
      </c>
    </row>
    <row r="138" spans="6:31" x14ac:dyDescent="0.25">
      <c r="H138" s="135" t="s">
        <v>192</v>
      </c>
      <c r="I138" s="136"/>
      <c r="J138" s="136"/>
      <c r="K138" s="137">
        <f t="shared" ref="K138:AE138" si="65">-SUM(K25:K32,K35:K40)</f>
        <v>-41537.509999999995</v>
      </c>
      <c r="L138" s="137">
        <f t="shared" si="65"/>
        <v>-43214.58696624999</v>
      </c>
      <c r="M138" s="137">
        <f t="shared" si="65"/>
        <v>-44959.375915012322</v>
      </c>
      <c r="N138" s="137">
        <f t="shared" si="65"/>
        <v>-46774.610717580937</v>
      </c>
      <c r="O138" s="137">
        <f t="shared" si="65"/>
        <v>-48663.135625303257</v>
      </c>
      <c r="P138" s="137">
        <f t="shared" si="65"/>
        <v>-50627.909726174868</v>
      </c>
      <c r="Q138" s="137">
        <f t="shared" si="65"/>
        <v>-52672.011581369174</v>
      </c>
      <c r="R138" s="137">
        <f t="shared" si="65"/>
        <v>-54798.644048966948</v>
      </c>
      <c r="S138" s="137">
        <f t="shared" si="65"/>
        <v>-57011.139302443968</v>
      </c>
      <c r="T138" s="137">
        <f t="shared" si="65"/>
        <v>-59312.964051780131</v>
      </c>
      <c r="U138" s="137">
        <f t="shared" si="65"/>
        <v>-61707.724975370744</v>
      </c>
      <c r="V138" s="137">
        <f t="shared" si="65"/>
        <v>-64199.174371251327</v>
      </c>
      <c r="W138" s="137">
        <f t="shared" si="65"/>
        <v>-66791.216036490587</v>
      </c>
      <c r="X138" s="137">
        <f t="shared" si="65"/>
        <v>-69487.911383963889</v>
      </c>
      <c r="Y138" s="137">
        <f t="shared" si="65"/>
        <v>-72293.485806091398</v>
      </c>
      <c r="Z138" s="137">
        <f t="shared" si="65"/>
        <v>-75212.335295512326</v>
      </c>
      <c r="AA138" s="137">
        <f t="shared" si="65"/>
        <v>-78249.033333068626</v>
      </c>
      <c r="AB138" s="137">
        <f t="shared" si="65"/>
        <v>-81408.338053891261</v>
      </c>
      <c r="AC138" s="137">
        <f t="shared" si="65"/>
        <v>-84695.199702817103</v>
      </c>
      <c r="AD138" s="137">
        <f t="shared" si="65"/>
        <v>-88114.768390818324</v>
      </c>
      <c r="AE138" s="137">
        <f t="shared" si="65"/>
        <v>-91672.402164597588</v>
      </c>
    </row>
    <row r="139" spans="6:31" x14ac:dyDescent="0.25">
      <c r="F139">
        <v>1</v>
      </c>
    </row>
    <row r="140" spans="6:31" x14ac:dyDescent="0.25">
      <c r="H140" s="132" t="s">
        <v>193</v>
      </c>
      <c r="I140" s="133"/>
      <c r="J140" s="133"/>
      <c r="K140" s="134">
        <f t="shared" ref="K140:AE141" si="66">K49</f>
        <v>0</v>
      </c>
      <c r="L140" s="134">
        <f t="shared" si="66"/>
        <v>0</v>
      </c>
      <c r="M140" s="134">
        <f t="shared" si="66"/>
        <v>0</v>
      </c>
      <c r="N140" s="134">
        <f t="shared" si="66"/>
        <v>0</v>
      </c>
      <c r="O140" s="134">
        <f t="shared" si="66"/>
        <v>0</v>
      </c>
      <c r="P140" s="134">
        <f t="shared" si="66"/>
        <v>0</v>
      </c>
      <c r="Q140" s="134">
        <f t="shared" si="66"/>
        <v>0</v>
      </c>
      <c r="R140" s="134">
        <f t="shared" si="66"/>
        <v>0</v>
      </c>
      <c r="S140" s="134">
        <f t="shared" si="66"/>
        <v>0</v>
      </c>
      <c r="T140" s="134">
        <f t="shared" si="66"/>
        <v>0</v>
      </c>
      <c r="U140" s="134">
        <f t="shared" si="66"/>
        <v>0</v>
      </c>
      <c r="V140" s="134">
        <f t="shared" si="66"/>
        <v>0</v>
      </c>
      <c r="W140" s="134">
        <f t="shared" si="66"/>
        <v>0</v>
      </c>
      <c r="X140" s="134">
        <f t="shared" si="66"/>
        <v>0</v>
      </c>
      <c r="Y140" s="134">
        <f t="shared" si="66"/>
        <v>0</v>
      </c>
      <c r="Z140" s="134">
        <f t="shared" si="66"/>
        <v>0</v>
      </c>
      <c r="AA140" s="134">
        <f t="shared" si="66"/>
        <v>0</v>
      </c>
      <c r="AB140" s="134">
        <f t="shared" si="66"/>
        <v>0</v>
      </c>
      <c r="AC140" s="134">
        <f t="shared" si="66"/>
        <v>0</v>
      </c>
      <c r="AD140" s="134">
        <f t="shared" si="66"/>
        <v>0</v>
      </c>
      <c r="AE140" s="134">
        <f t="shared" si="66"/>
        <v>0</v>
      </c>
    </row>
    <row r="141" spans="6:31" x14ac:dyDescent="0.25">
      <c r="H141" s="135" t="s">
        <v>194</v>
      </c>
      <c r="I141" s="136"/>
      <c r="J141" s="136"/>
      <c r="K141" s="137">
        <f t="shared" si="66"/>
        <v>-17734.874113000002</v>
      </c>
      <c r="L141" s="137">
        <f t="shared" si="66"/>
        <v>-17734.874113000002</v>
      </c>
      <c r="M141" s="137">
        <f t="shared" si="66"/>
        <v>-17734.874113000002</v>
      </c>
      <c r="N141" s="137">
        <f t="shared" si="66"/>
        <v>-232879.9596354466</v>
      </c>
      <c r="O141" s="137">
        <f t="shared" si="66"/>
        <v>-232879.9596354466</v>
      </c>
      <c r="P141" s="137">
        <f t="shared" si="66"/>
        <v>-232879.9596354466</v>
      </c>
      <c r="Q141" s="137">
        <f t="shared" si="66"/>
        <v>-228313.68591710433</v>
      </c>
      <c r="R141" s="137">
        <f t="shared" si="66"/>
        <v>0</v>
      </c>
      <c r="S141" s="137">
        <f t="shared" si="66"/>
        <v>0</v>
      </c>
      <c r="T141" s="137">
        <f t="shared" si="66"/>
        <v>0</v>
      </c>
      <c r="U141" s="137">
        <f t="shared" si="66"/>
        <v>0</v>
      </c>
      <c r="V141" s="137">
        <f t="shared" si="66"/>
        <v>0</v>
      </c>
      <c r="W141" s="137">
        <f t="shared" si="66"/>
        <v>0</v>
      </c>
      <c r="X141" s="137">
        <f t="shared" si="66"/>
        <v>0</v>
      </c>
      <c r="Y141" s="137">
        <f t="shared" si="66"/>
        <v>0</v>
      </c>
      <c r="Z141" s="137">
        <f t="shared" si="66"/>
        <v>0</v>
      </c>
      <c r="AA141" s="137">
        <f t="shared" si="66"/>
        <v>0</v>
      </c>
      <c r="AB141" s="137">
        <f t="shared" si="66"/>
        <v>0</v>
      </c>
      <c r="AC141" s="137">
        <f t="shared" si="66"/>
        <v>0</v>
      </c>
      <c r="AD141" s="137">
        <f t="shared" si="66"/>
        <v>0</v>
      </c>
      <c r="AE141" s="137">
        <f t="shared" si="66"/>
        <v>0</v>
      </c>
    </row>
    <row r="143" spans="6:31" ht="13.8" x14ac:dyDescent="0.25">
      <c r="F143">
        <v>2</v>
      </c>
      <c r="H143" s="138" t="s">
        <v>195</v>
      </c>
      <c r="I143" s="139"/>
      <c r="J143" s="140">
        <f>SUM(J129:J142)</f>
        <v>1806700.7943500001</v>
      </c>
      <c r="K143" s="140">
        <f t="shared" ref="K143:AE143" si="67">SUM(K129:K142)</f>
        <v>385005.43184010743</v>
      </c>
      <c r="L143" s="140">
        <f t="shared" si="67"/>
        <v>105031.35065456251</v>
      </c>
      <c r="M143" s="140">
        <f t="shared" si="67"/>
        <v>120960.69924756777</v>
      </c>
      <c r="N143" s="140">
        <f t="shared" si="67"/>
        <v>-76244.85504286323</v>
      </c>
      <c r="O143" s="140">
        <f t="shared" si="67"/>
        <v>-56332.479106413142</v>
      </c>
      <c r="P143" s="140">
        <f t="shared" si="67"/>
        <v>-33934.260994613927</v>
      </c>
      <c r="Q143" s="140">
        <f t="shared" si="67"/>
        <v>-4852.864083619439</v>
      </c>
      <c r="R143" s="140">
        <f t="shared" si="67"/>
        <v>63462.086355343767</v>
      </c>
      <c r="S143" s="140">
        <f t="shared" si="67"/>
        <v>16984.141443516703</v>
      </c>
      <c r="T143" s="140">
        <f t="shared" si="67"/>
        <v>22722.60727849917</v>
      </c>
      <c r="U143" s="140">
        <f t="shared" si="67"/>
        <v>204325.81748966238</v>
      </c>
      <c r="V143" s="140">
        <f t="shared" si="67"/>
        <v>34588.26279936482</v>
      </c>
      <c r="W143" s="140">
        <f t="shared" si="67"/>
        <v>42111.863825587716</v>
      </c>
      <c r="X143" s="140">
        <f t="shared" si="67"/>
        <v>50574.57821145792</v>
      </c>
      <c r="Y143" s="140">
        <f t="shared" si="67"/>
        <v>4394877.5088378796</v>
      </c>
      <c r="Z143" s="140">
        <f t="shared" si="67"/>
        <v>91344.896574594502</v>
      </c>
      <c r="AA143" s="140">
        <f t="shared" si="67"/>
        <v>82683.073747163173</v>
      </c>
      <c r="AB143" s="140">
        <f t="shared" si="67"/>
        <v>96051.975585744396</v>
      </c>
      <c r="AC143" s="140">
        <f t="shared" si="67"/>
        <v>110998.43675900873</v>
      </c>
      <c r="AD143" s="140">
        <f t="shared" si="67"/>
        <v>127696.84312315247</v>
      </c>
      <c r="AE143" s="140">
        <f t="shared" si="67"/>
        <v>994204.12845187308</v>
      </c>
    </row>
    <row r="144" spans="6:31" x14ac:dyDescent="0.25">
      <c r="H144" s="141" t="s">
        <v>109</v>
      </c>
      <c r="I144" s="98"/>
      <c r="J144" s="142">
        <f t="shared" ref="J144:AE144" si="68">J56</f>
        <v>49421</v>
      </c>
      <c r="K144" s="142">
        <f t="shared" si="68"/>
        <v>416358.77372770791</v>
      </c>
      <c r="L144" s="142">
        <f t="shared" si="68"/>
        <v>503323.11643877043</v>
      </c>
      <c r="M144" s="142">
        <f t="shared" si="68"/>
        <v>606216.80774283817</v>
      </c>
      <c r="N144" s="142">
        <f t="shared" si="68"/>
        <v>511904.94475647493</v>
      </c>
      <c r="O144" s="142">
        <f t="shared" si="68"/>
        <v>437505.45770656178</v>
      </c>
      <c r="P144" s="142">
        <f t="shared" si="68"/>
        <v>385504.18876844784</v>
      </c>
      <c r="Q144" s="142">
        <f t="shared" si="68"/>
        <v>362584.3167413284</v>
      </c>
      <c r="R144" s="142">
        <f t="shared" si="68"/>
        <v>407979.39515317214</v>
      </c>
      <c r="S144" s="142">
        <f t="shared" si="68"/>
        <v>406896.52865318884</v>
      </c>
      <c r="T144" s="142">
        <f t="shared" si="68"/>
        <v>411552.127988188</v>
      </c>
      <c r="U144" s="142">
        <f t="shared" si="68"/>
        <v>597810.93753435044</v>
      </c>
      <c r="V144" s="142">
        <f t="shared" si="68"/>
        <v>614332.19239021523</v>
      </c>
      <c r="W144" s="142">
        <f t="shared" si="68"/>
        <v>638377.04827230296</v>
      </c>
      <c r="X144" s="142">
        <f t="shared" si="68"/>
        <v>670884.61854026082</v>
      </c>
      <c r="Y144" s="142">
        <f t="shared" si="68"/>
        <v>5047695.1194346407</v>
      </c>
      <c r="Z144" s="142">
        <f t="shared" si="68"/>
        <v>5139040.0160092348</v>
      </c>
      <c r="AA144" s="142">
        <f t="shared" si="68"/>
        <v>5221723.0897563975</v>
      </c>
      <c r="AB144" s="142">
        <f t="shared" si="68"/>
        <v>5317775.0653421422</v>
      </c>
      <c r="AC144" s="142">
        <f t="shared" si="68"/>
        <v>5428773.5021011513</v>
      </c>
      <c r="AD144" s="142">
        <f t="shared" si="68"/>
        <v>5556470.3452243041</v>
      </c>
      <c r="AE144" s="142">
        <f t="shared" si="68"/>
        <v>6550674.4736761767</v>
      </c>
    </row>
    <row r="145" spans="4:41" x14ac:dyDescent="0.25">
      <c r="H145" s="141"/>
      <c r="I145" s="99">
        <f>SUM(K18:Y18)</f>
        <v>470380.37958628131</v>
      </c>
      <c r="J145" s="142">
        <f>I145/$D$12</f>
        <v>235.19018979314066</v>
      </c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  <c r="AD145" s="142"/>
      <c r="AE145" s="142"/>
    </row>
    <row r="146" spans="4:41" x14ac:dyDescent="0.25">
      <c r="H146" s="141" t="s">
        <v>54</v>
      </c>
      <c r="I146" s="99">
        <f>SUM(K19:Y19)</f>
        <v>2247513.3156290282</v>
      </c>
      <c r="J146" s="142">
        <f>I146/$D$12</f>
        <v>1123.756657814514</v>
      </c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  <c r="AA146" s="142"/>
      <c r="AB146" s="142"/>
      <c r="AC146" s="142"/>
      <c r="AD146" s="142"/>
      <c r="AE146" s="142"/>
    </row>
    <row r="147" spans="4:41" x14ac:dyDescent="0.25">
      <c r="H147" s="141" t="s">
        <v>52</v>
      </c>
      <c r="I147" s="99">
        <f>SUM(K20:Y20)</f>
        <v>30797.367700644361</v>
      </c>
      <c r="J147" s="142">
        <f>I147/$D$12</f>
        <v>15.398683850322181</v>
      </c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  <c r="AD147" s="142"/>
      <c r="AE147" s="142"/>
    </row>
    <row r="150" spans="4:41" ht="13.8" x14ac:dyDescent="0.25">
      <c r="F150">
        <v>3</v>
      </c>
      <c r="H150" s="138" t="s">
        <v>196</v>
      </c>
      <c r="I150" s="138"/>
      <c r="J150" s="140">
        <f t="shared" ref="J150:AE150" si="69">J69</f>
        <v>-1806700.7943500001</v>
      </c>
      <c r="K150" s="140">
        <f t="shared" si="69"/>
        <v>0</v>
      </c>
      <c r="L150" s="140">
        <f t="shared" si="69"/>
        <v>0</v>
      </c>
      <c r="M150" s="140">
        <f t="shared" si="69"/>
        <v>0</v>
      </c>
      <c r="N150" s="140">
        <f t="shared" si="69"/>
        <v>0</v>
      </c>
      <c r="O150" s="140">
        <f t="shared" si="69"/>
        <v>0</v>
      </c>
      <c r="P150" s="140">
        <f t="shared" si="69"/>
        <v>0</v>
      </c>
      <c r="Q150" s="140">
        <f t="shared" si="69"/>
        <v>0</v>
      </c>
      <c r="R150" s="140">
        <f t="shared" si="69"/>
        <v>0</v>
      </c>
      <c r="S150" s="140">
        <f t="shared" si="69"/>
        <v>0</v>
      </c>
      <c r="T150" s="140">
        <f t="shared" si="69"/>
        <v>0</v>
      </c>
      <c r="U150" s="140">
        <f t="shared" si="69"/>
        <v>0</v>
      </c>
      <c r="V150" s="140">
        <f t="shared" si="69"/>
        <v>0</v>
      </c>
      <c r="W150" s="140">
        <f t="shared" si="69"/>
        <v>0</v>
      </c>
      <c r="X150" s="140">
        <f t="shared" si="69"/>
        <v>0</v>
      </c>
      <c r="Y150" s="140">
        <f t="shared" si="69"/>
        <v>5047695.1194346407</v>
      </c>
      <c r="Z150" s="140">
        <f t="shared" si="69"/>
        <v>0</v>
      </c>
      <c r="AA150" s="140">
        <f t="shared" si="69"/>
        <v>0</v>
      </c>
      <c r="AB150" s="140">
        <f t="shared" si="69"/>
        <v>0</v>
      </c>
      <c r="AC150" s="140">
        <f t="shared" si="69"/>
        <v>0</v>
      </c>
      <c r="AD150" s="140">
        <f t="shared" si="69"/>
        <v>0</v>
      </c>
      <c r="AE150" s="140">
        <f t="shared" si="69"/>
        <v>0</v>
      </c>
    </row>
    <row r="152" spans="4:41" x14ac:dyDescent="0.25">
      <c r="D152" s="118"/>
      <c r="G152" s="2" t="s">
        <v>197</v>
      </c>
      <c r="H152" s="143"/>
      <c r="I152" s="143"/>
      <c r="J152" s="2"/>
      <c r="K152" s="32">
        <v>1</v>
      </c>
      <c r="L152" s="32">
        <v>2</v>
      </c>
      <c r="M152" s="32">
        <v>3</v>
      </c>
      <c r="N152" s="32">
        <v>4</v>
      </c>
      <c r="O152" s="32">
        <v>5</v>
      </c>
      <c r="P152" s="32">
        <v>6</v>
      </c>
      <c r="Q152" s="32">
        <v>7</v>
      </c>
      <c r="R152" s="32">
        <v>8</v>
      </c>
      <c r="S152" s="32">
        <v>9</v>
      </c>
      <c r="T152" s="32">
        <v>10</v>
      </c>
      <c r="U152" s="32">
        <v>11</v>
      </c>
      <c r="V152" s="32">
        <v>12</v>
      </c>
      <c r="W152" s="32">
        <v>13</v>
      </c>
      <c r="X152" s="32">
        <v>14</v>
      </c>
      <c r="Y152" s="32">
        <v>15</v>
      </c>
      <c r="Z152" s="32">
        <v>16</v>
      </c>
      <c r="AA152" s="32">
        <v>17</v>
      </c>
      <c r="AB152" s="32">
        <v>18</v>
      </c>
      <c r="AC152" s="32">
        <v>19</v>
      </c>
      <c r="AD152" s="32">
        <v>20</v>
      </c>
      <c r="AE152" s="32">
        <f>AD152+1</f>
        <v>21</v>
      </c>
      <c r="AF152" s="32">
        <f t="shared" ref="AF152:AO152" si="70">AE152+1</f>
        <v>22</v>
      </c>
      <c r="AG152" s="32">
        <f t="shared" si="70"/>
        <v>23</v>
      </c>
      <c r="AH152" s="32">
        <f t="shared" si="70"/>
        <v>24</v>
      </c>
      <c r="AI152" s="32">
        <f t="shared" si="70"/>
        <v>25</v>
      </c>
      <c r="AJ152" s="32">
        <f t="shared" si="70"/>
        <v>26</v>
      </c>
      <c r="AK152" s="32">
        <f t="shared" si="70"/>
        <v>27</v>
      </c>
      <c r="AL152" s="32">
        <f t="shared" si="70"/>
        <v>28</v>
      </c>
      <c r="AM152" s="32">
        <f t="shared" si="70"/>
        <v>29</v>
      </c>
      <c r="AN152" s="32">
        <f t="shared" si="70"/>
        <v>30</v>
      </c>
      <c r="AO152" s="32">
        <f t="shared" si="70"/>
        <v>31</v>
      </c>
    </row>
    <row r="153" spans="4:41" x14ac:dyDescent="0.25">
      <c r="G153" s="40" t="s">
        <v>198</v>
      </c>
      <c r="H153" s="40"/>
      <c r="I153" s="144" t="s">
        <v>199</v>
      </c>
      <c r="J153" s="144"/>
      <c r="K153" s="144"/>
      <c r="L153" s="145">
        <v>0.03</v>
      </c>
      <c r="M153" s="146">
        <f>L153</f>
        <v>0.03</v>
      </c>
      <c r="N153" s="146">
        <f t="shared" ref="N153:AO153" si="71">M153</f>
        <v>0.03</v>
      </c>
      <c r="O153" s="146">
        <f t="shared" si="71"/>
        <v>0.03</v>
      </c>
      <c r="P153" s="146">
        <f t="shared" si="71"/>
        <v>0.03</v>
      </c>
      <c r="Q153" s="146">
        <f t="shared" si="71"/>
        <v>0.03</v>
      </c>
      <c r="R153" s="146">
        <f t="shared" si="71"/>
        <v>0.03</v>
      </c>
      <c r="S153" s="146">
        <f t="shared" si="71"/>
        <v>0.03</v>
      </c>
      <c r="T153" s="146">
        <f t="shared" si="71"/>
        <v>0.03</v>
      </c>
      <c r="U153" s="146">
        <f t="shared" si="71"/>
        <v>0.03</v>
      </c>
      <c r="V153" s="146">
        <f t="shared" si="71"/>
        <v>0.03</v>
      </c>
      <c r="W153" s="146">
        <f t="shared" si="71"/>
        <v>0.03</v>
      </c>
      <c r="X153" s="146">
        <f t="shared" si="71"/>
        <v>0.03</v>
      </c>
      <c r="Y153" s="146">
        <f t="shared" si="71"/>
        <v>0.03</v>
      </c>
      <c r="Z153" s="146">
        <f t="shared" si="71"/>
        <v>0.03</v>
      </c>
      <c r="AA153" s="146">
        <f t="shared" si="71"/>
        <v>0.03</v>
      </c>
      <c r="AB153" s="146">
        <f t="shared" si="71"/>
        <v>0.03</v>
      </c>
      <c r="AC153" s="146">
        <f t="shared" si="71"/>
        <v>0.03</v>
      </c>
      <c r="AD153" s="146">
        <f t="shared" si="71"/>
        <v>0.03</v>
      </c>
      <c r="AE153" s="146">
        <f t="shared" si="71"/>
        <v>0.03</v>
      </c>
      <c r="AF153" s="146">
        <f t="shared" si="71"/>
        <v>0.03</v>
      </c>
      <c r="AG153" s="146">
        <f t="shared" si="71"/>
        <v>0.03</v>
      </c>
      <c r="AH153" s="146">
        <f t="shared" si="71"/>
        <v>0.03</v>
      </c>
      <c r="AI153" s="146">
        <f t="shared" si="71"/>
        <v>0.03</v>
      </c>
      <c r="AJ153" s="146">
        <f t="shared" si="71"/>
        <v>0.03</v>
      </c>
      <c r="AK153" s="146">
        <f t="shared" si="71"/>
        <v>0.03</v>
      </c>
      <c r="AL153" s="146">
        <f t="shared" si="71"/>
        <v>0.03</v>
      </c>
      <c r="AM153" s="146">
        <f t="shared" si="71"/>
        <v>0.03</v>
      </c>
      <c r="AN153" s="146">
        <f t="shared" si="71"/>
        <v>0.03</v>
      </c>
      <c r="AO153" s="146">
        <f t="shared" si="71"/>
        <v>0.03</v>
      </c>
    </row>
    <row r="154" spans="4:41" x14ac:dyDescent="0.25">
      <c r="H154" s="57" t="s">
        <v>239</v>
      </c>
      <c r="K154" s="27">
        <f>2.471*'Basic Acquisition Model'!K154</f>
        <v>8.9573750000000008</v>
      </c>
      <c r="L154" s="27">
        <f>2.471*'Basic Acquisition Model'!L154</f>
        <v>9.1427000000000014</v>
      </c>
      <c r="M154" s="27">
        <f>2.471*'Basic Acquisition Model'!M154</f>
        <v>9.3156700000000008</v>
      </c>
      <c r="N154" s="27">
        <f>2.471*'Basic Acquisition Model'!N154</f>
        <v>9.5009949999999996</v>
      </c>
      <c r="O154" s="27">
        <f>2.471*'Basic Acquisition Model'!O154</f>
        <v>9.6863200000000003</v>
      </c>
      <c r="P154" s="27">
        <f>2.471*'Basic Acquisition Model'!P154</f>
        <v>9.8840000000000003</v>
      </c>
      <c r="Q154" s="27">
        <f>2.471*'Basic Acquisition Model'!Q154</f>
        <v>10.069325000000001</v>
      </c>
      <c r="R154" s="27">
        <f>2.471*'Basic Acquisition Model'!R154</f>
        <v>3.9288900000000004</v>
      </c>
      <c r="S154" s="27">
        <f>2.471*'Basic Acquisition Model'!S154</f>
        <v>2.2362550000000003</v>
      </c>
      <c r="T154" s="27">
        <f>2.471*'Basic Acquisition Model'!T154</f>
        <v>2.2856750000000003</v>
      </c>
      <c r="U154" s="27">
        <f>2.471*'Basic Acquisition Model'!U154</f>
        <v>2.3155741000000001</v>
      </c>
      <c r="V154" s="27">
        <f>2.471*'Basic Acquisition Model'!V154</f>
        <v>2.3375412899999999</v>
      </c>
      <c r="W154" s="27">
        <f>2.471*'Basic Acquisition Model'!W154</f>
        <v>2.3748039699999999</v>
      </c>
      <c r="X154" s="27">
        <f>2.471*'Basic Acquisition Model'!X154</f>
        <v>2.4126596899999999</v>
      </c>
      <c r="Y154" s="27">
        <f>2.471*'Basic Acquisition Model'!Y154</f>
        <v>2.45110845</v>
      </c>
      <c r="Z154" s="27">
        <f>2.471*'Basic Acquisition Model'!Z154</f>
        <v>2.4901502499999997</v>
      </c>
      <c r="AA154" s="27">
        <f>2.471*'Basic Acquisition Model'!AA154</f>
        <v>2.5298345100000001</v>
      </c>
      <c r="AB154" s="27">
        <f>2.471*'Basic Acquisition Model'!AB154</f>
        <v>2.5701612300000001</v>
      </c>
      <c r="AC154" s="27">
        <f>2.471*'Basic Acquisition Model'!AC154</f>
        <v>2.6111057</v>
      </c>
      <c r="AD154" s="27">
        <f>2.471*'Basic Acquisition Model'!AD154</f>
        <v>2.6527173400000001</v>
      </c>
      <c r="AE154" s="27">
        <f>2.471*'Basic Acquisition Model'!AE154</f>
        <v>0</v>
      </c>
      <c r="AF154" s="27">
        <f>2.471*'Basic Acquisition Model'!AF154</f>
        <v>0</v>
      </c>
      <c r="AG154" s="27">
        <f>2.471*'Basic Acquisition Model'!AG154</f>
        <v>0</v>
      </c>
      <c r="AH154" s="27">
        <f>2.471*'Basic Acquisition Model'!AH154</f>
        <v>0</v>
      </c>
      <c r="AI154" s="27">
        <f>2.471*'Basic Acquisition Model'!AI154</f>
        <v>0</v>
      </c>
      <c r="AJ154" s="27">
        <f>2.471*'Basic Acquisition Model'!AJ154</f>
        <v>0</v>
      </c>
      <c r="AK154" s="27">
        <f>2.471*'Basic Acquisition Model'!AK154</f>
        <v>0</v>
      </c>
      <c r="AL154" s="27">
        <f>2.471*'Basic Acquisition Model'!AL154</f>
        <v>0</v>
      </c>
      <c r="AM154" s="27">
        <f>2.471*'Basic Acquisition Model'!AM154</f>
        <v>0</v>
      </c>
      <c r="AN154" s="27">
        <f>2.471*'Basic Acquisition Model'!AN154</f>
        <v>0</v>
      </c>
      <c r="AO154" s="27">
        <f>2.471*'Basic Acquisition Model'!AO154</f>
        <v>0</v>
      </c>
    </row>
    <row r="155" spans="4:41" x14ac:dyDescent="0.25">
      <c r="H155" s="57" t="s">
        <v>201</v>
      </c>
      <c r="K155" s="147">
        <v>6</v>
      </c>
      <c r="L155" s="27">
        <v>7.2215999999999996</v>
      </c>
      <c r="M155" s="27">
        <v>7.3660320000000006</v>
      </c>
      <c r="N155" s="27">
        <v>7.5133526400000008</v>
      </c>
      <c r="O155" s="27">
        <v>7.6636196928000011</v>
      </c>
      <c r="P155" s="27">
        <v>7.8168920866560017</v>
      </c>
      <c r="Q155" s="27">
        <v>7.9732299283891219</v>
      </c>
      <c r="R155" s="27">
        <v>8.1326945269569038</v>
      </c>
      <c r="S155" s="27">
        <v>8.2953484174960419</v>
      </c>
      <c r="T155" s="27">
        <v>8.4612553858459627</v>
      </c>
      <c r="U155" s="27">
        <v>8.6304804935628816</v>
      </c>
      <c r="V155" s="27">
        <v>8.8030901034341387</v>
      </c>
      <c r="W155" s="27">
        <v>8.9791519055028211</v>
      </c>
      <c r="X155" s="27">
        <v>9.1587349436128775</v>
      </c>
      <c r="Y155" s="27">
        <v>9.3419096424851347</v>
      </c>
      <c r="Z155" s="27">
        <v>9.5287478353348369</v>
      </c>
      <c r="AA155" s="27">
        <v>9.7193227920415346</v>
      </c>
      <c r="AB155" s="27">
        <v>9.9137092478823661</v>
      </c>
      <c r="AC155" s="27">
        <v>10.111983432840013</v>
      </c>
      <c r="AD155" s="27">
        <v>10.314223101496813</v>
      </c>
      <c r="AE155" s="27">
        <v>10.5164627701536</v>
      </c>
      <c r="AF155" s="27">
        <v>10.5164627701536</v>
      </c>
      <c r="AG155" s="27">
        <v>10.5164627701536</v>
      </c>
      <c r="AH155" s="27">
        <v>10.5164627701536</v>
      </c>
      <c r="AI155" s="27">
        <v>10.5164627701536</v>
      </c>
      <c r="AJ155" s="27">
        <v>10.5164627701536</v>
      </c>
      <c r="AK155" s="27">
        <v>10.5164627701536</v>
      </c>
      <c r="AL155" s="27">
        <v>10.5164627701536</v>
      </c>
      <c r="AM155" s="27">
        <v>10.5164627701536</v>
      </c>
      <c r="AN155" s="27">
        <v>10.5164627701536</v>
      </c>
      <c r="AO155" s="27">
        <v>10.5164627701536</v>
      </c>
    </row>
    <row r="156" spans="4:41" x14ac:dyDescent="0.25">
      <c r="D156" s="118"/>
      <c r="H156" s="57" t="s">
        <v>202</v>
      </c>
      <c r="K156" s="148">
        <v>0.19370000000000001</v>
      </c>
      <c r="L156" s="149">
        <f>K156</f>
        <v>0.19370000000000001</v>
      </c>
      <c r="M156" s="149">
        <f t="shared" ref="M156:AO156" si="72">L156</f>
        <v>0.19370000000000001</v>
      </c>
      <c r="N156" s="149">
        <f t="shared" si="72"/>
        <v>0.19370000000000001</v>
      </c>
      <c r="O156" s="149">
        <f t="shared" si="72"/>
        <v>0.19370000000000001</v>
      </c>
      <c r="P156" s="149">
        <f t="shared" si="72"/>
        <v>0.19370000000000001</v>
      </c>
      <c r="Q156" s="149">
        <f t="shared" si="72"/>
        <v>0.19370000000000001</v>
      </c>
      <c r="R156" s="149">
        <f t="shared" si="72"/>
        <v>0.19370000000000001</v>
      </c>
      <c r="S156" s="149">
        <f t="shared" si="72"/>
        <v>0.19370000000000001</v>
      </c>
      <c r="T156" s="149">
        <f t="shared" si="72"/>
        <v>0.19370000000000001</v>
      </c>
      <c r="U156" s="149">
        <f t="shared" si="72"/>
        <v>0.19370000000000001</v>
      </c>
      <c r="V156" s="149">
        <f t="shared" si="72"/>
        <v>0.19370000000000001</v>
      </c>
      <c r="W156" s="149">
        <f t="shared" si="72"/>
        <v>0.19370000000000001</v>
      </c>
      <c r="X156" s="149">
        <f t="shared" si="72"/>
        <v>0.19370000000000001</v>
      </c>
      <c r="Y156" s="149">
        <f t="shared" si="72"/>
        <v>0.19370000000000001</v>
      </c>
      <c r="Z156" s="149">
        <f t="shared" si="72"/>
        <v>0.19370000000000001</v>
      </c>
      <c r="AA156" s="149">
        <f t="shared" si="72"/>
        <v>0.19370000000000001</v>
      </c>
      <c r="AB156" s="149">
        <f t="shared" si="72"/>
        <v>0.19370000000000001</v>
      </c>
      <c r="AC156" s="149">
        <f t="shared" si="72"/>
        <v>0.19370000000000001</v>
      </c>
      <c r="AD156" s="149">
        <f t="shared" si="72"/>
        <v>0.19370000000000001</v>
      </c>
      <c r="AE156" s="149">
        <f t="shared" si="72"/>
        <v>0.19370000000000001</v>
      </c>
      <c r="AF156" s="149">
        <f t="shared" si="72"/>
        <v>0.19370000000000001</v>
      </c>
      <c r="AG156" s="149">
        <f t="shared" si="72"/>
        <v>0.19370000000000001</v>
      </c>
      <c r="AH156" s="149">
        <f t="shared" si="72"/>
        <v>0.19370000000000001</v>
      </c>
      <c r="AI156" s="149">
        <f t="shared" si="72"/>
        <v>0.19370000000000001</v>
      </c>
      <c r="AJ156" s="149">
        <f t="shared" si="72"/>
        <v>0.19370000000000001</v>
      </c>
      <c r="AK156" s="149">
        <f t="shared" si="72"/>
        <v>0.19370000000000001</v>
      </c>
      <c r="AL156" s="149">
        <f t="shared" si="72"/>
        <v>0.19370000000000001</v>
      </c>
      <c r="AM156" s="149">
        <f t="shared" si="72"/>
        <v>0.19370000000000001</v>
      </c>
      <c r="AN156" s="149">
        <f t="shared" si="72"/>
        <v>0.19370000000000001</v>
      </c>
      <c r="AO156" s="149">
        <f t="shared" si="72"/>
        <v>0.19370000000000001</v>
      </c>
    </row>
    <row r="157" spans="4:41" x14ac:dyDescent="0.25">
      <c r="G157" s="40" t="s">
        <v>203</v>
      </c>
      <c r="J157" s="57" t="s">
        <v>190</v>
      </c>
    </row>
    <row r="158" spans="4:41" x14ac:dyDescent="0.25">
      <c r="H158" s="57" t="s">
        <v>200</v>
      </c>
      <c r="K158" s="27">
        <f>K154</f>
        <v>8.9573750000000008</v>
      </c>
      <c r="L158" s="27">
        <f t="shared" ref="L158:AO158" si="73">L154</f>
        <v>9.1427000000000014</v>
      </c>
      <c r="M158" s="27">
        <f t="shared" si="73"/>
        <v>9.3156700000000008</v>
      </c>
      <c r="N158" s="27">
        <f t="shared" si="73"/>
        <v>9.5009949999999996</v>
      </c>
      <c r="O158" s="27">
        <f t="shared" si="73"/>
        <v>9.6863200000000003</v>
      </c>
      <c r="P158" s="27">
        <f t="shared" si="73"/>
        <v>9.8840000000000003</v>
      </c>
      <c r="Q158" s="27">
        <f t="shared" si="73"/>
        <v>10.069325000000001</v>
      </c>
      <c r="R158" s="27">
        <f t="shared" si="73"/>
        <v>3.9288900000000004</v>
      </c>
      <c r="S158" s="27">
        <f t="shared" si="73"/>
        <v>2.2362550000000003</v>
      </c>
      <c r="T158" s="27">
        <f t="shared" si="73"/>
        <v>2.2856750000000003</v>
      </c>
      <c r="U158" s="27">
        <f t="shared" si="73"/>
        <v>2.3155741000000001</v>
      </c>
      <c r="V158" s="27">
        <f t="shared" si="73"/>
        <v>2.3375412899999999</v>
      </c>
      <c r="W158" s="27">
        <f t="shared" si="73"/>
        <v>2.3748039699999999</v>
      </c>
      <c r="X158" s="27">
        <f t="shared" si="73"/>
        <v>2.4126596899999999</v>
      </c>
      <c r="Y158" s="27">
        <f t="shared" si="73"/>
        <v>2.45110845</v>
      </c>
      <c r="Z158" s="27">
        <f t="shared" si="73"/>
        <v>2.4901502499999997</v>
      </c>
      <c r="AA158" s="27">
        <f t="shared" si="73"/>
        <v>2.5298345100000001</v>
      </c>
      <c r="AB158" s="27">
        <f t="shared" si="73"/>
        <v>2.5701612300000001</v>
      </c>
      <c r="AC158" s="27">
        <f t="shared" si="73"/>
        <v>2.6111057</v>
      </c>
      <c r="AD158" s="27">
        <f t="shared" si="73"/>
        <v>2.6527173400000001</v>
      </c>
      <c r="AE158" s="27">
        <f t="shared" si="73"/>
        <v>0</v>
      </c>
      <c r="AF158" s="27">
        <f t="shared" si="73"/>
        <v>0</v>
      </c>
      <c r="AG158" s="27">
        <f t="shared" si="73"/>
        <v>0</v>
      </c>
      <c r="AH158" s="27">
        <f t="shared" si="73"/>
        <v>0</v>
      </c>
      <c r="AI158" s="27">
        <f t="shared" si="73"/>
        <v>0</v>
      </c>
      <c r="AJ158" s="27">
        <f t="shared" si="73"/>
        <v>0</v>
      </c>
      <c r="AK158" s="27">
        <f t="shared" si="73"/>
        <v>0</v>
      </c>
      <c r="AL158" s="27">
        <f t="shared" si="73"/>
        <v>0</v>
      </c>
      <c r="AM158" s="27">
        <f t="shared" si="73"/>
        <v>0</v>
      </c>
      <c r="AN158" s="27">
        <f t="shared" si="73"/>
        <v>0</v>
      </c>
      <c r="AO158" s="27">
        <f t="shared" si="73"/>
        <v>0</v>
      </c>
    </row>
    <row r="159" spans="4:41" x14ac:dyDescent="0.25">
      <c r="H159" s="57" t="s">
        <v>201</v>
      </c>
      <c r="K159" s="27">
        <v>9.5</v>
      </c>
      <c r="L159" s="27">
        <f>K159*(1+(L153*2))</f>
        <v>10.07</v>
      </c>
      <c r="M159" s="27">
        <f t="shared" ref="M159:AO159" si="74">L159*(1+(M153*2))</f>
        <v>10.674200000000001</v>
      </c>
      <c r="N159" s="27">
        <f t="shared" si="74"/>
        <v>11.314652000000001</v>
      </c>
      <c r="O159" s="27">
        <f t="shared" si="74"/>
        <v>11.993531120000002</v>
      </c>
      <c r="P159" s="27">
        <f t="shared" si="74"/>
        <v>12.713142987200003</v>
      </c>
      <c r="Q159" s="27">
        <f t="shared" si="74"/>
        <v>13.475931566432005</v>
      </c>
      <c r="R159" s="27">
        <f t="shared" si="74"/>
        <v>14.284487460417926</v>
      </c>
      <c r="S159" s="27">
        <f t="shared" si="74"/>
        <v>15.141556708043003</v>
      </c>
      <c r="T159" s="27">
        <f t="shared" si="74"/>
        <v>16.050050110525586</v>
      </c>
      <c r="U159" s="27">
        <f t="shared" si="74"/>
        <v>17.013053117157121</v>
      </c>
      <c r="V159" s="27">
        <f t="shared" si="74"/>
        <v>18.033836304186547</v>
      </c>
      <c r="W159" s="27">
        <f t="shared" si="74"/>
        <v>19.115866482437742</v>
      </c>
      <c r="X159" s="27">
        <f t="shared" si="74"/>
        <v>20.262818471384008</v>
      </c>
      <c r="Y159" s="27">
        <f t="shared" si="74"/>
        <v>21.47858757966705</v>
      </c>
      <c r="Z159" s="27">
        <f t="shared" si="74"/>
        <v>22.767302834447072</v>
      </c>
      <c r="AA159" s="27">
        <f t="shared" si="74"/>
        <v>24.133341004513898</v>
      </c>
      <c r="AB159" s="27">
        <f t="shared" si="74"/>
        <v>25.581341464784735</v>
      </c>
      <c r="AC159" s="27">
        <f t="shared" si="74"/>
        <v>27.116221952671822</v>
      </c>
      <c r="AD159" s="27">
        <f t="shared" si="74"/>
        <v>28.743195269832132</v>
      </c>
      <c r="AE159" s="27">
        <f t="shared" si="74"/>
        <v>30.467786986022062</v>
      </c>
      <c r="AF159" s="27">
        <f t="shared" si="74"/>
        <v>32.295854205183389</v>
      </c>
      <c r="AG159" s="27">
        <f t="shared" si="74"/>
        <v>34.233605457494392</v>
      </c>
      <c r="AH159" s="27">
        <f t="shared" si="74"/>
        <v>36.287621784944058</v>
      </c>
      <c r="AI159" s="27">
        <f t="shared" si="74"/>
        <v>38.464879092040704</v>
      </c>
      <c r="AJ159" s="27">
        <f t="shared" si="74"/>
        <v>40.772771837563148</v>
      </c>
      <c r="AK159" s="27">
        <f t="shared" si="74"/>
        <v>43.219138147816942</v>
      </c>
      <c r="AL159" s="27">
        <f t="shared" si="74"/>
        <v>45.812286436685959</v>
      </c>
      <c r="AM159" s="27">
        <f t="shared" si="74"/>
        <v>48.56102362288712</v>
      </c>
      <c r="AN159" s="27">
        <f t="shared" si="74"/>
        <v>51.474685040260347</v>
      </c>
      <c r="AO159" s="27">
        <f t="shared" si="74"/>
        <v>54.563166142675968</v>
      </c>
    </row>
    <row r="160" spans="4:41" x14ac:dyDescent="0.25">
      <c r="H160" s="57" t="s">
        <v>202</v>
      </c>
      <c r="K160" s="148">
        <v>0.15</v>
      </c>
      <c r="L160" s="149">
        <f>K160</f>
        <v>0.15</v>
      </c>
      <c r="M160" s="149">
        <f t="shared" ref="M160:AO160" si="75">L160</f>
        <v>0.15</v>
      </c>
      <c r="N160" s="149">
        <f t="shared" si="75"/>
        <v>0.15</v>
      </c>
      <c r="O160" s="149">
        <f t="shared" si="75"/>
        <v>0.15</v>
      </c>
      <c r="P160" s="149">
        <f t="shared" si="75"/>
        <v>0.15</v>
      </c>
      <c r="Q160" s="149">
        <f t="shared" si="75"/>
        <v>0.15</v>
      </c>
      <c r="R160" s="149">
        <f t="shared" si="75"/>
        <v>0.15</v>
      </c>
      <c r="S160" s="149">
        <f t="shared" si="75"/>
        <v>0.15</v>
      </c>
      <c r="T160" s="149">
        <f t="shared" si="75"/>
        <v>0.15</v>
      </c>
      <c r="U160" s="149">
        <f t="shared" si="75"/>
        <v>0.15</v>
      </c>
      <c r="V160" s="149">
        <f t="shared" si="75"/>
        <v>0.15</v>
      </c>
      <c r="W160" s="149">
        <f t="shared" si="75"/>
        <v>0.15</v>
      </c>
      <c r="X160" s="149">
        <f t="shared" si="75"/>
        <v>0.15</v>
      </c>
      <c r="Y160" s="149">
        <f t="shared" si="75"/>
        <v>0.15</v>
      </c>
      <c r="Z160" s="149">
        <f t="shared" si="75"/>
        <v>0.15</v>
      </c>
      <c r="AA160" s="149">
        <f t="shared" si="75"/>
        <v>0.15</v>
      </c>
      <c r="AB160" s="149">
        <f t="shared" si="75"/>
        <v>0.15</v>
      </c>
      <c r="AC160" s="149">
        <f t="shared" si="75"/>
        <v>0.15</v>
      </c>
      <c r="AD160" s="149">
        <f t="shared" si="75"/>
        <v>0.15</v>
      </c>
      <c r="AE160" s="149">
        <f t="shared" si="75"/>
        <v>0.15</v>
      </c>
      <c r="AF160" s="149">
        <f t="shared" si="75"/>
        <v>0.15</v>
      </c>
      <c r="AG160" s="149">
        <f t="shared" si="75"/>
        <v>0.15</v>
      </c>
      <c r="AH160" s="149">
        <f t="shared" si="75"/>
        <v>0.15</v>
      </c>
      <c r="AI160" s="149">
        <f t="shared" si="75"/>
        <v>0.15</v>
      </c>
      <c r="AJ160" s="149">
        <f t="shared" si="75"/>
        <v>0.15</v>
      </c>
      <c r="AK160" s="149">
        <f t="shared" si="75"/>
        <v>0.15</v>
      </c>
      <c r="AL160" s="149">
        <f t="shared" si="75"/>
        <v>0.15</v>
      </c>
      <c r="AM160" s="149">
        <f t="shared" si="75"/>
        <v>0.15</v>
      </c>
      <c r="AN160" s="149">
        <f t="shared" si="75"/>
        <v>0.15</v>
      </c>
      <c r="AO160" s="149">
        <f t="shared" si="75"/>
        <v>0.15</v>
      </c>
    </row>
    <row r="161" spans="7:41" x14ac:dyDescent="0.25">
      <c r="G161" s="40" t="s">
        <v>204</v>
      </c>
      <c r="H161" s="57"/>
      <c r="K161" s="149"/>
      <c r="L161" s="149"/>
      <c r="M161" s="149"/>
      <c r="N161" s="149"/>
      <c r="O161" s="149"/>
      <c r="P161" s="149"/>
      <c r="Q161" s="149"/>
      <c r="R161" s="149"/>
      <c r="S161" s="149"/>
      <c r="T161" s="149"/>
      <c r="U161" s="149"/>
      <c r="V161" s="149"/>
      <c r="W161" s="149"/>
      <c r="X161" s="149"/>
      <c r="Y161" s="149"/>
      <c r="Z161" s="149"/>
      <c r="AA161" s="149"/>
      <c r="AB161" s="149"/>
      <c r="AC161" s="149"/>
      <c r="AD161" s="149"/>
      <c r="AE161" s="149"/>
      <c r="AF161" s="149"/>
      <c r="AG161" s="149"/>
      <c r="AH161" s="149"/>
      <c r="AI161" s="149"/>
      <c r="AJ161" s="149"/>
      <c r="AK161" s="149"/>
      <c r="AL161" s="149"/>
      <c r="AM161" s="149"/>
      <c r="AN161" s="149"/>
      <c r="AO161" s="149"/>
    </row>
    <row r="162" spans="7:41" x14ac:dyDescent="0.25">
      <c r="H162" s="57" t="s">
        <v>200</v>
      </c>
      <c r="K162" s="27">
        <f>K158</f>
        <v>8.9573750000000008</v>
      </c>
      <c r="L162" s="27">
        <f t="shared" ref="L162:AO162" si="76">L158</f>
        <v>9.1427000000000014</v>
      </c>
      <c r="M162" s="27">
        <f t="shared" si="76"/>
        <v>9.3156700000000008</v>
      </c>
      <c r="N162" s="27">
        <f t="shared" si="76"/>
        <v>9.5009949999999996</v>
      </c>
      <c r="O162" s="27">
        <f t="shared" si="76"/>
        <v>9.6863200000000003</v>
      </c>
      <c r="P162" s="27">
        <f t="shared" si="76"/>
        <v>9.8840000000000003</v>
      </c>
      <c r="Q162" s="27">
        <f t="shared" si="76"/>
        <v>10.069325000000001</v>
      </c>
      <c r="R162" s="27">
        <f t="shared" si="76"/>
        <v>3.9288900000000004</v>
      </c>
      <c r="S162" s="27">
        <f t="shared" si="76"/>
        <v>2.2362550000000003</v>
      </c>
      <c r="T162" s="27">
        <f t="shared" si="76"/>
        <v>2.2856750000000003</v>
      </c>
      <c r="U162" s="27">
        <f t="shared" si="76"/>
        <v>2.3155741000000001</v>
      </c>
      <c r="V162" s="27">
        <f t="shared" si="76"/>
        <v>2.3375412899999999</v>
      </c>
      <c r="W162" s="27">
        <f t="shared" si="76"/>
        <v>2.3748039699999999</v>
      </c>
      <c r="X162" s="27">
        <f t="shared" si="76"/>
        <v>2.4126596899999999</v>
      </c>
      <c r="Y162" s="27">
        <f t="shared" si="76"/>
        <v>2.45110845</v>
      </c>
      <c r="Z162" s="27">
        <f t="shared" si="76"/>
        <v>2.4901502499999997</v>
      </c>
      <c r="AA162" s="27">
        <f t="shared" si="76"/>
        <v>2.5298345100000001</v>
      </c>
      <c r="AB162" s="27">
        <f t="shared" si="76"/>
        <v>2.5701612300000001</v>
      </c>
      <c r="AC162" s="27">
        <f t="shared" si="76"/>
        <v>2.6111057</v>
      </c>
      <c r="AD162" s="27">
        <f t="shared" si="76"/>
        <v>2.6527173400000001</v>
      </c>
      <c r="AE162" s="27">
        <f t="shared" si="76"/>
        <v>0</v>
      </c>
      <c r="AF162" s="27">
        <f t="shared" si="76"/>
        <v>0</v>
      </c>
      <c r="AG162" s="27">
        <f t="shared" si="76"/>
        <v>0</v>
      </c>
      <c r="AH162" s="27">
        <f t="shared" si="76"/>
        <v>0</v>
      </c>
      <c r="AI162" s="27">
        <f t="shared" si="76"/>
        <v>0</v>
      </c>
      <c r="AJ162" s="27">
        <f t="shared" si="76"/>
        <v>0</v>
      </c>
      <c r="AK162" s="27">
        <f t="shared" si="76"/>
        <v>0</v>
      </c>
      <c r="AL162" s="27">
        <f t="shared" si="76"/>
        <v>0</v>
      </c>
      <c r="AM162" s="27">
        <f t="shared" si="76"/>
        <v>0</v>
      </c>
      <c r="AN162" s="27">
        <f t="shared" si="76"/>
        <v>0</v>
      </c>
      <c r="AO162" s="27">
        <f t="shared" si="76"/>
        <v>0</v>
      </c>
    </row>
    <row r="163" spans="7:41" x14ac:dyDescent="0.25">
      <c r="H163" s="57" t="s">
        <v>201</v>
      </c>
      <c r="K163" s="27">
        <f>K155</f>
        <v>6</v>
      </c>
      <c r="L163" s="27">
        <f>K163*(1+(L153*0.75))</f>
        <v>6.1349999999999998</v>
      </c>
      <c r="M163" s="27">
        <f t="shared" ref="M163:AO163" si="77">L163*(1+(M153*0.75))</f>
        <v>6.2730374999999992</v>
      </c>
      <c r="N163" s="27">
        <f t="shared" si="77"/>
        <v>6.4141808437499988</v>
      </c>
      <c r="O163" s="27">
        <f t="shared" si="77"/>
        <v>6.5584999127343737</v>
      </c>
      <c r="P163" s="27">
        <f t="shared" si="77"/>
        <v>6.7060661607708969</v>
      </c>
      <c r="Q163" s="27">
        <f t="shared" si="77"/>
        <v>6.8569526493882416</v>
      </c>
      <c r="R163" s="27">
        <f t="shared" si="77"/>
        <v>7.0112340839994767</v>
      </c>
      <c r="S163" s="27">
        <f t="shared" si="77"/>
        <v>7.168986850889465</v>
      </c>
      <c r="T163" s="27">
        <f t="shared" si="77"/>
        <v>7.3302890550344779</v>
      </c>
      <c r="U163" s="27">
        <f t="shared" si="77"/>
        <v>7.4952205587727532</v>
      </c>
      <c r="V163" s="27">
        <f t="shared" si="77"/>
        <v>7.66386302134514</v>
      </c>
      <c r="W163" s="27">
        <f t="shared" si="77"/>
        <v>7.8362999393254054</v>
      </c>
      <c r="X163" s="27">
        <f t="shared" si="77"/>
        <v>8.012616687960227</v>
      </c>
      <c r="Y163" s="27">
        <f t="shared" si="77"/>
        <v>8.1929005634393324</v>
      </c>
      <c r="Z163" s="27">
        <f t="shared" si="77"/>
        <v>8.3772408261167168</v>
      </c>
      <c r="AA163" s="27">
        <f t="shared" si="77"/>
        <v>8.5657287447043426</v>
      </c>
      <c r="AB163" s="27">
        <f t="shared" si="77"/>
        <v>8.7584576414601898</v>
      </c>
      <c r="AC163" s="27">
        <f t="shared" si="77"/>
        <v>8.9555229383930435</v>
      </c>
      <c r="AD163" s="27">
        <f t="shared" si="77"/>
        <v>9.1570222045068874</v>
      </c>
      <c r="AE163" s="27">
        <f t="shared" si="77"/>
        <v>9.3630552041082922</v>
      </c>
      <c r="AF163" s="27">
        <f t="shared" si="77"/>
        <v>9.5737239462007278</v>
      </c>
      <c r="AG163" s="27">
        <f t="shared" si="77"/>
        <v>9.7891327349902433</v>
      </c>
      <c r="AH163" s="27">
        <f t="shared" si="77"/>
        <v>10.009388221527523</v>
      </c>
      <c r="AI163" s="27">
        <f t="shared" si="77"/>
        <v>10.234599456511893</v>
      </c>
      <c r="AJ163" s="27">
        <f t="shared" si="77"/>
        <v>10.46487794428341</v>
      </c>
      <c r="AK163" s="27">
        <f t="shared" si="77"/>
        <v>10.700337698029786</v>
      </c>
      <c r="AL163" s="27">
        <f t="shared" si="77"/>
        <v>10.941095296235456</v>
      </c>
      <c r="AM163" s="27">
        <f t="shared" si="77"/>
        <v>11.187269940400753</v>
      </c>
      <c r="AN163" s="27">
        <f t="shared" si="77"/>
        <v>11.438983514059769</v>
      </c>
      <c r="AO163" s="27">
        <f t="shared" si="77"/>
        <v>11.696360643126114</v>
      </c>
    </row>
    <row r="164" spans="7:41" x14ac:dyDescent="0.25">
      <c r="H164" s="57" t="s">
        <v>202</v>
      </c>
      <c r="K164" s="148">
        <v>0.2</v>
      </c>
      <c r="L164" s="149">
        <f>K164</f>
        <v>0.2</v>
      </c>
      <c r="M164" s="149">
        <f t="shared" ref="M164:AO164" si="78">L164</f>
        <v>0.2</v>
      </c>
      <c r="N164" s="149">
        <f t="shared" si="78"/>
        <v>0.2</v>
      </c>
      <c r="O164" s="149">
        <f t="shared" si="78"/>
        <v>0.2</v>
      </c>
      <c r="P164" s="149">
        <f t="shared" si="78"/>
        <v>0.2</v>
      </c>
      <c r="Q164" s="149">
        <f t="shared" si="78"/>
        <v>0.2</v>
      </c>
      <c r="R164" s="149">
        <f t="shared" si="78"/>
        <v>0.2</v>
      </c>
      <c r="S164" s="149">
        <f t="shared" si="78"/>
        <v>0.2</v>
      </c>
      <c r="T164" s="149">
        <f t="shared" si="78"/>
        <v>0.2</v>
      </c>
      <c r="U164" s="149">
        <f t="shared" si="78"/>
        <v>0.2</v>
      </c>
      <c r="V164" s="149">
        <f t="shared" si="78"/>
        <v>0.2</v>
      </c>
      <c r="W164" s="149">
        <f t="shared" si="78"/>
        <v>0.2</v>
      </c>
      <c r="X164" s="149">
        <f t="shared" si="78"/>
        <v>0.2</v>
      </c>
      <c r="Y164" s="149">
        <f t="shared" si="78"/>
        <v>0.2</v>
      </c>
      <c r="Z164" s="149">
        <f t="shared" si="78"/>
        <v>0.2</v>
      </c>
      <c r="AA164" s="149">
        <f t="shared" si="78"/>
        <v>0.2</v>
      </c>
      <c r="AB164" s="149">
        <f t="shared" si="78"/>
        <v>0.2</v>
      </c>
      <c r="AC164" s="149">
        <f t="shared" si="78"/>
        <v>0.2</v>
      </c>
      <c r="AD164" s="149">
        <f t="shared" si="78"/>
        <v>0.2</v>
      </c>
      <c r="AE164" s="149">
        <f t="shared" si="78"/>
        <v>0.2</v>
      </c>
      <c r="AF164" s="149">
        <f t="shared" si="78"/>
        <v>0.2</v>
      </c>
      <c r="AG164" s="149">
        <f t="shared" si="78"/>
        <v>0.2</v>
      </c>
      <c r="AH164" s="149">
        <f t="shared" si="78"/>
        <v>0.2</v>
      </c>
      <c r="AI164" s="149">
        <f t="shared" si="78"/>
        <v>0.2</v>
      </c>
      <c r="AJ164" s="149">
        <f t="shared" si="78"/>
        <v>0.2</v>
      </c>
      <c r="AK164" s="149">
        <f t="shared" si="78"/>
        <v>0.2</v>
      </c>
      <c r="AL164" s="149">
        <f t="shared" si="78"/>
        <v>0.2</v>
      </c>
      <c r="AM164" s="149">
        <f t="shared" si="78"/>
        <v>0.2</v>
      </c>
      <c r="AN164" s="149">
        <f t="shared" si="78"/>
        <v>0.2</v>
      </c>
      <c r="AO164" s="149">
        <f t="shared" si="78"/>
        <v>0.2</v>
      </c>
    </row>
    <row r="166" spans="7:41" x14ac:dyDescent="0.25">
      <c r="G166" s="2" t="s">
        <v>242</v>
      </c>
      <c r="H166" s="143"/>
      <c r="I166" s="143"/>
      <c r="J166" s="2" t="s">
        <v>39</v>
      </c>
      <c r="K166" s="32">
        <v>1</v>
      </c>
      <c r="L166" s="32">
        <v>2</v>
      </c>
      <c r="M166" s="32">
        <v>3</v>
      </c>
      <c r="N166" s="32">
        <v>4</v>
      </c>
      <c r="O166" s="32">
        <v>5</v>
      </c>
      <c r="P166" s="32">
        <v>6</v>
      </c>
      <c r="Q166" s="32">
        <v>7</v>
      </c>
      <c r="R166" s="32">
        <v>8</v>
      </c>
      <c r="S166" s="32">
        <v>9</v>
      </c>
      <c r="T166" s="32">
        <v>10</v>
      </c>
      <c r="U166" s="32">
        <v>11</v>
      </c>
      <c r="V166" s="32">
        <v>12</v>
      </c>
      <c r="W166" s="32">
        <v>13</v>
      </c>
      <c r="X166" s="32">
        <v>14</v>
      </c>
      <c r="Y166" s="32">
        <v>15</v>
      </c>
      <c r="Z166" s="32">
        <v>16</v>
      </c>
      <c r="AA166" s="32">
        <v>17</v>
      </c>
      <c r="AB166" s="32">
        <v>18</v>
      </c>
      <c r="AC166" s="32">
        <v>19</v>
      </c>
      <c r="AD166" s="32">
        <v>20</v>
      </c>
      <c r="AE166" s="32">
        <f>AD166+1</f>
        <v>21</v>
      </c>
      <c r="AF166" s="32">
        <f t="shared" ref="AF166:AO166" si="79">AE166+1</f>
        <v>22</v>
      </c>
      <c r="AG166" s="32">
        <f t="shared" si="79"/>
        <v>23</v>
      </c>
      <c r="AH166" s="32">
        <f t="shared" si="79"/>
        <v>24</v>
      </c>
      <c r="AI166" s="32">
        <f t="shared" si="79"/>
        <v>25</v>
      </c>
      <c r="AJ166" s="32">
        <f t="shared" si="79"/>
        <v>26</v>
      </c>
      <c r="AK166" s="32">
        <f t="shared" si="79"/>
        <v>27</v>
      </c>
      <c r="AL166" s="32">
        <f t="shared" si="79"/>
        <v>28</v>
      </c>
      <c r="AM166" s="32">
        <f t="shared" si="79"/>
        <v>29</v>
      </c>
      <c r="AN166" s="32">
        <f t="shared" si="79"/>
        <v>30</v>
      </c>
      <c r="AO166" s="32">
        <f t="shared" si="79"/>
        <v>31</v>
      </c>
    </row>
    <row r="167" spans="7:41" x14ac:dyDescent="0.25">
      <c r="H167" s="35" t="s">
        <v>52</v>
      </c>
      <c r="I167" s="36"/>
      <c r="J167" s="36"/>
      <c r="K167" s="150">
        <f>2.471*'Basic Acquisition Model'!K167</f>
        <v>142.24717381210237</v>
      </c>
      <c r="L167" s="150">
        <f>2.471*'Basic Acquisition Model'!L167</f>
        <v>0</v>
      </c>
      <c r="M167" s="150">
        <f>2.471*'Basic Acquisition Model'!M167</f>
        <v>0</v>
      </c>
      <c r="N167" s="150">
        <f>2.471*'Basic Acquisition Model'!N167</f>
        <v>0</v>
      </c>
      <c r="O167" s="150">
        <f>2.471*'Basic Acquisition Model'!O167</f>
        <v>0</v>
      </c>
      <c r="P167" s="150">
        <f>2.471*'Basic Acquisition Model'!P167</f>
        <v>0</v>
      </c>
      <c r="Q167" s="150">
        <f>2.471*'Basic Acquisition Model'!Q167</f>
        <v>0</v>
      </c>
      <c r="R167" s="150">
        <f>2.471*'Basic Acquisition Model'!R167</f>
        <v>0</v>
      </c>
      <c r="S167" s="150">
        <f>2.471*'Basic Acquisition Model'!S167</f>
        <v>0</v>
      </c>
      <c r="T167" s="150">
        <f>2.471*'Basic Acquisition Model'!T167</f>
        <v>0</v>
      </c>
      <c r="U167" s="150">
        <f>2.471*'Basic Acquisition Model'!U167</f>
        <v>60.066666486254746</v>
      </c>
      <c r="V167" s="150">
        <f>2.471*'Basic Acquisition Model'!V167</f>
        <v>0</v>
      </c>
      <c r="W167" s="150">
        <f>2.471*'Basic Acquisition Model'!W167</f>
        <v>0</v>
      </c>
      <c r="X167" s="150">
        <f>2.471*'Basic Acquisition Model'!X167</f>
        <v>0</v>
      </c>
      <c r="Y167" s="150">
        <f>2.471*'Basic Acquisition Model'!Y167</f>
        <v>0</v>
      </c>
      <c r="Z167" s="150">
        <f>2.471*'Basic Acquisition Model'!Z167</f>
        <v>5.9189021873981122</v>
      </c>
      <c r="AA167" s="150">
        <f>2.471*'Basic Acquisition Model'!AA167</f>
        <v>0</v>
      </c>
      <c r="AB167" s="150">
        <f>2.471*'Basic Acquisition Model'!AB167</f>
        <v>0</v>
      </c>
      <c r="AC167" s="150">
        <f>2.471*'Basic Acquisition Model'!AC167</f>
        <v>0</v>
      </c>
      <c r="AD167" s="150">
        <f>2.471*'Basic Acquisition Model'!AD167</f>
        <v>0</v>
      </c>
      <c r="AE167" s="150">
        <f>2.471*'Basic Acquisition Model'!AE167</f>
        <v>261.4563154877647</v>
      </c>
      <c r="AF167" s="150">
        <f>2.471*'Basic Acquisition Model'!AF167</f>
        <v>0</v>
      </c>
      <c r="AG167" s="150">
        <f>2.471*'Basic Acquisition Model'!AG167</f>
        <v>0</v>
      </c>
      <c r="AH167" s="150">
        <f>2.471*'Basic Acquisition Model'!AH167</f>
        <v>0</v>
      </c>
      <c r="AI167" s="150">
        <f>2.471*'Basic Acquisition Model'!AI167</f>
        <v>0</v>
      </c>
      <c r="AJ167" s="150">
        <f>2.471*'Basic Acquisition Model'!AJ167</f>
        <v>158.28160294417157</v>
      </c>
      <c r="AK167" s="150">
        <f>2.471*'Basic Acquisition Model'!AK167</f>
        <v>0</v>
      </c>
      <c r="AL167" s="150">
        <f>2.471*'Basic Acquisition Model'!AL167</f>
        <v>0</v>
      </c>
      <c r="AM167" s="150">
        <f>2.471*'Basic Acquisition Model'!AM167</f>
        <v>0</v>
      </c>
      <c r="AN167" s="150">
        <f>2.471*'Basic Acquisition Model'!AN167</f>
        <v>0</v>
      </c>
      <c r="AO167" s="150">
        <f>2.471*'Basic Acquisition Model'!AO167</f>
        <v>312.84057264016178</v>
      </c>
    </row>
    <row r="168" spans="7:41" x14ac:dyDescent="0.25">
      <c r="H168" s="35" t="s">
        <v>206</v>
      </c>
      <c r="I168" s="36"/>
      <c r="J168" s="151"/>
      <c r="K168" s="152">
        <f>2.471*'Basic Acquisition Model'!K168</f>
        <v>72.330803125000003</v>
      </c>
      <c r="L168" s="152">
        <f>2.471*'Basic Acquisition Model'!L168</f>
        <v>78.256940650000004</v>
      </c>
      <c r="M168" s="152">
        <f>2.471*'Basic Acquisition Model'!M168</f>
        <v>84.52172600690001</v>
      </c>
      <c r="N168" s="152">
        <f>2.471*'Basic Acquisition Model'!N168</f>
        <v>91.37538426692899</v>
      </c>
      <c r="O168" s="152">
        <f>2.471*'Basic Acquisition Model'!O168</f>
        <v>98.747203304536654</v>
      </c>
      <c r="P168" s="152">
        <f>2.471*'Basic Acquisition Model'!P168</f>
        <v>106.80819949266211</v>
      </c>
      <c r="Q168" s="152">
        <f>2.471*'Basic Acquisition Model'!Q168</f>
        <v>115.33950442713851</v>
      </c>
      <c r="R168" s="152">
        <f>2.471*'Basic Acquisition Model'!R168</f>
        <v>47.703852947607189</v>
      </c>
      <c r="S168" s="152">
        <f>2.471*'Basic Acquisition Model'!S168</f>
        <v>28.781324611723004</v>
      </c>
      <c r="T168" s="152">
        <f>2.471*'Basic Acquisition Model'!T168</f>
        <v>31.182418543419235</v>
      </c>
      <c r="U168" s="152">
        <f>2.471*'Basic Acquisition Model'!U168</f>
        <v>33.485737386011301</v>
      </c>
      <c r="V168" s="152">
        <f>2.471*'Basic Acquisition Model'!V168</f>
        <v>35.831611431416491</v>
      </c>
      <c r="W168" s="152">
        <f>2.471*'Basic Acquisition Model'!W168</f>
        <v>38.586970270610621</v>
      </c>
      <c r="X168" s="152">
        <f>2.471*'Basic Acquisition Model'!X168</f>
        <v>41.554192531941268</v>
      </c>
      <c r="Y168" s="152">
        <f>2.471*'Basic Acquisition Model'!Y168</f>
        <v>44.749395383998909</v>
      </c>
      <c r="Z168" s="152">
        <f>2.471*'Basic Acquisition Model'!Z168</f>
        <v>48.189904118270469</v>
      </c>
      <c r="AA168" s="152">
        <f>2.471*'Basic Acquisition Model'!AA168</f>
        <v>51.895355077594729</v>
      </c>
      <c r="AB168" s="152">
        <f>2.471*'Basic Acquisition Model'!AB168</f>
        <v>55.885946237553966</v>
      </c>
      <c r="AC168" s="152">
        <f>2.471*'Basic Acquisition Model'!AC168</f>
        <v>60.182823447623548</v>
      </c>
      <c r="AD168" s="152">
        <f>2.471*'Basic Acquisition Model'!AD168</f>
        <v>64.810436624396218</v>
      </c>
      <c r="AE168" s="152">
        <f>2.471*'Basic Acquisition Model'!AE168</f>
        <v>0</v>
      </c>
      <c r="AF168" s="152">
        <f>2.471*'Basic Acquisition Model'!AF168</f>
        <v>0</v>
      </c>
      <c r="AG168" s="152">
        <f>2.471*'Basic Acquisition Model'!AG168</f>
        <v>0</v>
      </c>
      <c r="AH168" s="152">
        <f>2.471*'Basic Acquisition Model'!AH168</f>
        <v>0</v>
      </c>
      <c r="AI168" s="152">
        <f>2.471*'Basic Acquisition Model'!AI168</f>
        <v>0</v>
      </c>
      <c r="AJ168" s="152">
        <f>2.471*'Basic Acquisition Model'!AJ168</f>
        <v>0</v>
      </c>
      <c r="AK168" s="152">
        <f>2.471*'Basic Acquisition Model'!AK168</f>
        <v>0</v>
      </c>
      <c r="AL168" s="152">
        <f>2.471*'Basic Acquisition Model'!AL168</f>
        <v>0</v>
      </c>
      <c r="AM168" s="152">
        <f>2.471*'Basic Acquisition Model'!AM168</f>
        <v>0</v>
      </c>
      <c r="AN168" s="152">
        <f>2.471*'Basic Acquisition Model'!AN168</f>
        <v>0</v>
      </c>
      <c r="AO168" s="152">
        <f>2.471*'Basic Acquisition Model'!AO168</f>
        <v>0</v>
      </c>
    </row>
    <row r="169" spans="7:41" x14ac:dyDescent="0.25">
      <c r="H169" s="35" t="s">
        <v>56</v>
      </c>
      <c r="I169" s="36"/>
      <c r="J169" s="36"/>
      <c r="K169" s="153">
        <f>2.471*'Basic Acquisition Model'!K169</f>
        <v>0.72011999999999998</v>
      </c>
      <c r="L169" s="153">
        <f>2.471*'Basic Acquisition Model'!L169</f>
        <v>0.73452239999999991</v>
      </c>
      <c r="M169" s="153">
        <f>2.471*'Basic Acquisition Model'!M169</f>
        <v>0.74921284799999999</v>
      </c>
      <c r="N169" s="153">
        <f>2.471*'Basic Acquisition Model'!N169</f>
        <v>0.76419710495999993</v>
      </c>
      <c r="O169" s="153">
        <f>2.471*'Basic Acquisition Model'!O169</f>
        <v>0.77948104705920007</v>
      </c>
      <c r="P169" s="153">
        <f>2.471*'Basic Acquisition Model'!P169</f>
        <v>0.79507066800038417</v>
      </c>
      <c r="Q169" s="153">
        <f>2.471*'Basic Acquisition Model'!Q169</f>
        <v>0.81097208136039167</v>
      </c>
      <c r="R169" s="153">
        <f>2.471*'Basic Acquisition Model'!R169</f>
        <v>0.82719152298759946</v>
      </c>
      <c r="S169" s="153">
        <f>2.471*'Basic Acquisition Model'!S169</f>
        <v>0.8437353534473514</v>
      </c>
      <c r="T169" s="153">
        <f>2.471*'Basic Acquisition Model'!T169</f>
        <v>0.86061006051629851</v>
      </c>
      <c r="U169" s="153">
        <f>2.471*'Basic Acquisition Model'!U169</f>
        <v>0.87782226172662448</v>
      </c>
      <c r="V169" s="153">
        <f>2.471*'Basic Acquisition Model'!V169</f>
        <v>0.89537870696115696</v>
      </c>
      <c r="W169" s="153">
        <f>2.471*'Basic Acquisition Model'!W169</f>
        <v>0.9132862811003799</v>
      </c>
      <c r="X169" s="153">
        <f>2.471*'Basic Acquisition Model'!X169</f>
        <v>0.9315520067223878</v>
      </c>
      <c r="Y169" s="153">
        <f>2.471*'Basic Acquisition Model'!Y169</f>
        <v>0.95018304685683519</v>
      </c>
      <c r="Z169" s="153">
        <f>2.471*'Basic Acquisition Model'!Z169</f>
        <v>0.96826969673744978</v>
      </c>
      <c r="AA169" s="153">
        <f>2.471*'Basic Acquisition Model'!AA169</f>
        <v>0.98653757126835495</v>
      </c>
      <c r="AB169" s="153">
        <f>2.471*'Basic Acquisition Model'!AB169</f>
        <v>1.0048054457992599</v>
      </c>
      <c r="AC169" s="153">
        <f>2.471*'Basic Acquisition Model'!AC169</f>
        <v>1.0230733203301627</v>
      </c>
      <c r="AD169" s="153">
        <f>2.471*'Basic Acquisition Model'!AD169</f>
        <v>1.0413411948610678</v>
      </c>
      <c r="AE169" s="153">
        <f>2.471*'Basic Acquisition Model'!AE169</f>
        <v>1.0413411948610678</v>
      </c>
      <c r="AF169" s="153">
        <f>2.471*'Basic Acquisition Model'!AF169</f>
        <v>1.0700604387919324</v>
      </c>
      <c r="AG169" s="153">
        <f>2.471*'Basic Acquisition Model'!AG169</f>
        <v>1.0914616475677712</v>
      </c>
      <c r="AH169" s="153">
        <f>2.471*'Basic Acquisition Model'!AH169</f>
        <v>1.1132908805191264</v>
      </c>
      <c r="AI169" s="153">
        <f>2.471*'Basic Acquisition Model'!AI169</f>
        <v>1.1355566981295089</v>
      </c>
      <c r="AJ169" s="153">
        <f>2.471*'Basic Acquisition Model'!AJ169</f>
        <v>1.1582678320920992</v>
      </c>
      <c r="AK169" s="153">
        <f>2.471*'Basic Acquisition Model'!AK169</f>
        <v>1.1814331887339413</v>
      </c>
      <c r="AL169" s="153">
        <f>2.471*'Basic Acquisition Model'!AL169</f>
        <v>1.2050618525086196</v>
      </c>
      <c r="AM169" s="153">
        <f>2.471*'Basic Acquisition Model'!AM169</f>
        <v>1.2291630895587924</v>
      </c>
      <c r="AN169" s="153">
        <f>2.471*'Basic Acquisition Model'!AN169</f>
        <v>1.253746351349968</v>
      </c>
      <c r="AO169" s="153">
        <f>2.471*'Basic Acquisition Model'!AO169</f>
        <v>1.2788212783769675</v>
      </c>
    </row>
    <row r="171" spans="7:41" x14ac:dyDescent="0.25">
      <c r="H171" s="98" t="s">
        <v>237</v>
      </c>
      <c r="I171" s="98"/>
      <c r="J171" s="98"/>
      <c r="K171" s="155">
        <f t="shared" ref="K171:AO171" si="80">-SUM(K25:K42)/$D$12</f>
        <v>-41.537509999999997</v>
      </c>
      <c r="L171" s="155">
        <f t="shared" si="80"/>
        <v>-43.214586966249989</v>
      </c>
      <c r="M171" s="155">
        <f t="shared" si="80"/>
        <v>-44.959375915012323</v>
      </c>
      <c r="N171" s="155">
        <f t="shared" si="80"/>
        <v>-46.774610717580934</v>
      </c>
      <c r="O171" s="155">
        <f t="shared" si="80"/>
        <v>-48.663135625303255</v>
      </c>
      <c r="P171" s="155">
        <f t="shared" si="80"/>
        <v>-50.62790972617487</v>
      </c>
      <c r="Q171" s="155">
        <f t="shared" si="80"/>
        <v>-52.672011581369176</v>
      </c>
      <c r="R171" s="155">
        <f t="shared" si="80"/>
        <v>-54.798644048966949</v>
      </c>
      <c r="S171" s="155">
        <f t="shared" si="80"/>
        <v>-57.011139302443965</v>
      </c>
      <c r="T171" s="155">
        <f t="shared" si="80"/>
        <v>-59.312964051780128</v>
      </c>
      <c r="U171" s="155">
        <f t="shared" si="80"/>
        <v>-61.707724975370745</v>
      </c>
      <c r="V171" s="155">
        <f t="shared" si="80"/>
        <v>-64.199174371251331</v>
      </c>
      <c r="W171" s="155">
        <f t="shared" si="80"/>
        <v>-66.791216036490582</v>
      </c>
      <c r="X171" s="155">
        <f t="shared" si="80"/>
        <v>-69.48791138396389</v>
      </c>
      <c r="Y171" s="155">
        <f t="shared" si="80"/>
        <v>-72.293485806091397</v>
      </c>
      <c r="Z171" s="155">
        <f t="shared" si="80"/>
        <v>-75.212335295512332</v>
      </c>
      <c r="AA171" s="155">
        <f t="shared" si="80"/>
        <v>-78.249033333068624</v>
      </c>
      <c r="AB171" s="155">
        <f t="shared" si="80"/>
        <v>-81.408338053891256</v>
      </c>
      <c r="AC171" s="155">
        <f t="shared" si="80"/>
        <v>-84.695199702817106</v>
      </c>
      <c r="AD171" s="155">
        <f t="shared" si="80"/>
        <v>-88.114768390818327</v>
      </c>
      <c r="AE171" s="155">
        <f t="shared" si="80"/>
        <v>-91.672402164597585</v>
      </c>
      <c r="AF171" s="155">
        <f t="shared" si="80"/>
        <v>-95.373675401993211</v>
      </c>
      <c r="AG171" s="155">
        <f t="shared" si="80"/>
        <v>-99.22438754634868</v>
      </c>
      <c r="AH171" s="155">
        <f t="shared" si="80"/>
        <v>-103.23057219353248</v>
      </c>
      <c r="AI171" s="155">
        <f t="shared" si="80"/>
        <v>-107.39850654584633</v>
      </c>
      <c r="AJ171" s="155">
        <f t="shared" si="80"/>
        <v>-111.73472124763488</v>
      </c>
      <c r="AK171" s="155">
        <f t="shared" si="80"/>
        <v>-116.2460106180081</v>
      </c>
      <c r="AL171" s="155">
        <f t="shared" si="80"/>
        <v>-120.93944329671017</v>
      </c>
      <c r="AM171" s="155">
        <f t="shared" si="80"/>
        <v>-125.82237331981483</v>
      </c>
      <c r="AN171" s="155">
        <f t="shared" si="80"/>
        <v>-130.90245164260233</v>
      </c>
      <c r="AO171" s="155">
        <f t="shared" si="80"/>
        <v>-136.18763812767236</v>
      </c>
    </row>
    <row r="172" spans="7:41" x14ac:dyDescent="0.25">
      <c r="H172" s="98" t="s">
        <v>208</v>
      </c>
      <c r="I172" s="98"/>
      <c r="J172" s="98"/>
      <c r="K172" s="156">
        <f>SUM(K167:K171)</f>
        <v>173.7605869371024</v>
      </c>
      <c r="L172" s="156">
        <f t="shared" ref="L172:AO172" si="81">SUM(L167:L171)</f>
        <v>35.776876083750018</v>
      </c>
      <c r="M172" s="156">
        <f t="shared" si="81"/>
        <v>40.311562939887686</v>
      </c>
      <c r="N172" s="156">
        <f t="shared" si="81"/>
        <v>45.36497065430806</v>
      </c>
      <c r="O172" s="156">
        <f t="shared" si="81"/>
        <v>50.863548726292606</v>
      </c>
      <c r="P172" s="156">
        <f t="shared" si="81"/>
        <v>56.975360434487619</v>
      </c>
      <c r="Q172" s="156">
        <f t="shared" si="81"/>
        <v>63.478464927129721</v>
      </c>
      <c r="R172" s="156">
        <f t="shared" si="81"/>
        <v>-6.2675995783721632</v>
      </c>
      <c r="S172" s="156">
        <f t="shared" si="81"/>
        <v>-27.38607933727361</v>
      </c>
      <c r="T172" s="156">
        <f t="shared" si="81"/>
        <v>-27.269935447844595</v>
      </c>
      <c r="U172" s="156">
        <f t="shared" si="81"/>
        <v>32.722501158621917</v>
      </c>
      <c r="V172" s="156">
        <f t="shared" si="81"/>
        <v>-27.472184232873687</v>
      </c>
      <c r="W172" s="156">
        <f t="shared" si="81"/>
        <v>-27.290959484779577</v>
      </c>
      <c r="X172" s="156">
        <f t="shared" si="81"/>
        <v>-27.002166845300238</v>
      </c>
      <c r="Y172" s="156">
        <f t="shared" si="81"/>
        <v>-26.593907375235652</v>
      </c>
      <c r="Z172" s="156">
        <f t="shared" si="81"/>
        <v>-20.135259293106301</v>
      </c>
      <c r="AA172" s="156">
        <f t="shared" si="81"/>
        <v>-25.367140684205538</v>
      </c>
      <c r="AB172" s="156">
        <f t="shared" si="81"/>
        <v>-24.517586370538027</v>
      </c>
      <c r="AC172" s="156">
        <f t="shared" si="81"/>
        <v>-23.489302934863396</v>
      </c>
      <c r="AD172" s="156">
        <f t="shared" si="81"/>
        <v>-22.262990571561048</v>
      </c>
      <c r="AE172" s="156">
        <f t="shared" si="81"/>
        <v>170.82525451802815</v>
      </c>
      <c r="AF172" s="156">
        <f t="shared" si="81"/>
        <v>-94.303614963201284</v>
      </c>
      <c r="AG172" s="156">
        <f t="shared" si="81"/>
        <v>-98.132925898780911</v>
      </c>
      <c r="AH172" s="156">
        <f t="shared" si="81"/>
        <v>-102.11728131301335</v>
      </c>
      <c r="AI172" s="156">
        <f t="shared" si="81"/>
        <v>-106.26294984771683</v>
      </c>
      <c r="AJ172" s="156">
        <f t="shared" si="81"/>
        <v>47.70514952862878</v>
      </c>
      <c r="AK172" s="156">
        <f t="shared" si="81"/>
        <v>-115.06457742927415</v>
      </c>
      <c r="AL172" s="156">
        <f t="shared" si="81"/>
        <v>-119.73438144420155</v>
      </c>
      <c r="AM172" s="156">
        <f t="shared" si="81"/>
        <v>-124.59321023025603</v>
      </c>
      <c r="AN172" s="156">
        <f t="shared" si="81"/>
        <v>-129.64870529125236</v>
      </c>
      <c r="AO172" s="156">
        <f t="shared" si="81"/>
        <v>177.93175579086642</v>
      </c>
    </row>
    <row r="175" spans="7:41" x14ac:dyDescent="0.25">
      <c r="G175" s="2" t="s">
        <v>236</v>
      </c>
      <c r="H175" s="143"/>
      <c r="I175" s="143"/>
      <c r="J175" s="2" t="s">
        <v>39</v>
      </c>
      <c r="K175" s="32">
        <v>1</v>
      </c>
      <c r="L175" s="32">
        <v>2</v>
      </c>
      <c r="M175" s="32">
        <v>3</v>
      </c>
      <c r="N175" s="32">
        <v>4</v>
      </c>
      <c r="O175" s="32">
        <v>5</v>
      </c>
      <c r="P175" s="32">
        <v>6</v>
      </c>
      <c r="Q175" s="32">
        <v>7</v>
      </c>
      <c r="R175" s="32">
        <v>8</v>
      </c>
      <c r="S175" s="32">
        <v>9</v>
      </c>
      <c r="T175" s="32">
        <v>10</v>
      </c>
      <c r="U175" s="32">
        <v>11</v>
      </c>
      <c r="V175" s="32">
        <v>12</v>
      </c>
      <c r="W175" s="32">
        <v>13</v>
      </c>
      <c r="X175" s="32">
        <v>14</v>
      </c>
      <c r="Y175" s="32">
        <v>15</v>
      </c>
      <c r="Z175" s="32">
        <v>16</v>
      </c>
      <c r="AA175" s="32">
        <v>17</v>
      </c>
      <c r="AB175" s="32">
        <v>18</v>
      </c>
      <c r="AC175" s="32">
        <v>19</v>
      </c>
      <c r="AD175" s="32">
        <v>20</v>
      </c>
      <c r="AE175" s="32">
        <v>21</v>
      </c>
      <c r="AF175" s="32">
        <v>22</v>
      </c>
      <c r="AG175" s="32">
        <v>23</v>
      </c>
      <c r="AH175" s="32">
        <v>24</v>
      </c>
      <c r="AI175" s="32">
        <v>25</v>
      </c>
      <c r="AJ175" s="32">
        <v>26</v>
      </c>
      <c r="AK175" s="32">
        <v>27</v>
      </c>
      <c r="AL175" s="32">
        <v>28</v>
      </c>
      <c r="AM175" s="32">
        <v>29</v>
      </c>
      <c r="AN175" s="32">
        <v>30</v>
      </c>
      <c r="AO175" s="32">
        <v>31</v>
      </c>
    </row>
    <row r="176" spans="7:41" x14ac:dyDescent="0.25">
      <c r="H176" s="35" t="s">
        <v>52</v>
      </c>
      <c r="I176" s="36"/>
      <c r="J176" s="36"/>
      <c r="K176" s="128">
        <f t="shared" ref="K176:AO176" si="82">IF(K175&lt;=$C$85,K167,0)</f>
        <v>142.24717381210237</v>
      </c>
      <c r="L176" s="128">
        <f t="shared" si="82"/>
        <v>0</v>
      </c>
      <c r="M176" s="128">
        <f t="shared" si="82"/>
        <v>0</v>
      </c>
      <c r="N176" s="128">
        <f t="shared" si="82"/>
        <v>0</v>
      </c>
      <c r="O176" s="128">
        <f t="shared" si="82"/>
        <v>0</v>
      </c>
      <c r="P176" s="128">
        <f t="shared" si="82"/>
        <v>0</v>
      </c>
      <c r="Q176" s="128">
        <f t="shared" si="82"/>
        <v>0</v>
      </c>
      <c r="R176" s="128">
        <f t="shared" si="82"/>
        <v>0</v>
      </c>
      <c r="S176" s="128">
        <f t="shared" si="82"/>
        <v>0</v>
      </c>
      <c r="T176" s="128">
        <f t="shared" si="82"/>
        <v>0</v>
      </c>
      <c r="U176" s="128">
        <f t="shared" si="82"/>
        <v>60.066666486254746</v>
      </c>
      <c r="V176" s="128">
        <f t="shared" si="82"/>
        <v>0</v>
      </c>
      <c r="W176" s="128">
        <f t="shared" si="82"/>
        <v>0</v>
      </c>
      <c r="X176" s="128">
        <f t="shared" si="82"/>
        <v>0</v>
      </c>
      <c r="Y176" s="128">
        <f t="shared" si="82"/>
        <v>0</v>
      </c>
      <c r="Z176" s="128">
        <f t="shared" si="82"/>
        <v>0</v>
      </c>
      <c r="AA176" s="128">
        <f t="shared" si="82"/>
        <v>0</v>
      </c>
      <c r="AB176" s="128">
        <f t="shared" si="82"/>
        <v>0</v>
      </c>
      <c r="AC176" s="128">
        <f t="shared" si="82"/>
        <v>0</v>
      </c>
      <c r="AD176" s="128">
        <f t="shared" si="82"/>
        <v>0</v>
      </c>
      <c r="AE176" s="128">
        <f t="shared" si="82"/>
        <v>0</v>
      </c>
      <c r="AF176" s="128">
        <f t="shared" si="82"/>
        <v>0</v>
      </c>
      <c r="AG176" s="128">
        <f t="shared" si="82"/>
        <v>0</v>
      </c>
      <c r="AH176" s="128">
        <f t="shared" si="82"/>
        <v>0</v>
      </c>
      <c r="AI176" s="128">
        <f t="shared" si="82"/>
        <v>0</v>
      </c>
      <c r="AJ176" s="128">
        <f t="shared" si="82"/>
        <v>0</v>
      </c>
      <c r="AK176" s="128">
        <f t="shared" si="82"/>
        <v>0</v>
      </c>
      <c r="AL176" s="128">
        <f t="shared" si="82"/>
        <v>0</v>
      </c>
      <c r="AM176" s="128">
        <f t="shared" si="82"/>
        <v>0</v>
      </c>
      <c r="AN176" s="128">
        <f t="shared" si="82"/>
        <v>0</v>
      </c>
      <c r="AO176" s="128">
        <f t="shared" si="82"/>
        <v>0</v>
      </c>
    </row>
    <row r="177" spans="8:41" x14ac:dyDescent="0.25">
      <c r="H177" s="35" t="s">
        <v>206</v>
      </c>
      <c r="I177" s="36"/>
      <c r="J177" s="151"/>
      <c r="K177" s="128">
        <f t="shared" ref="K177:AO177" si="83">IF(K175&lt;=$C$85,K168,0)</f>
        <v>72.330803125000003</v>
      </c>
      <c r="L177" s="128">
        <f t="shared" si="83"/>
        <v>78.256940650000004</v>
      </c>
      <c r="M177" s="128">
        <f t="shared" si="83"/>
        <v>84.52172600690001</v>
      </c>
      <c r="N177" s="128">
        <f t="shared" si="83"/>
        <v>91.37538426692899</v>
      </c>
      <c r="O177" s="128">
        <f t="shared" si="83"/>
        <v>98.747203304536654</v>
      </c>
      <c r="P177" s="128">
        <f t="shared" si="83"/>
        <v>106.80819949266211</v>
      </c>
      <c r="Q177" s="128">
        <f t="shared" si="83"/>
        <v>115.33950442713851</v>
      </c>
      <c r="R177" s="128">
        <f t="shared" si="83"/>
        <v>47.703852947607189</v>
      </c>
      <c r="S177" s="128">
        <f t="shared" si="83"/>
        <v>28.781324611723004</v>
      </c>
      <c r="T177" s="128">
        <f t="shared" si="83"/>
        <v>31.182418543419235</v>
      </c>
      <c r="U177" s="128">
        <f t="shared" si="83"/>
        <v>33.485737386011301</v>
      </c>
      <c r="V177" s="128">
        <f t="shared" si="83"/>
        <v>35.831611431416491</v>
      </c>
      <c r="W177" s="128">
        <f t="shared" si="83"/>
        <v>38.586970270610621</v>
      </c>
      <c r="X177" s="128">
        <f t="shared" si="83"/>
        <v>41.554192531941268</v>
      </c>
      <c r="Y177" s="128">
        <f t="shared" si="83"/>
        <v>44.749395383998909</v>
      </c>
      <c r="Z177" s="128">
        <f t="shared" si="83"/>
        <v>0</v>
      </c>
      <c r="AA177" s="128">
        <f t="shared" si="83"/>
        <v>0</v>
      </c>
      <c r="AB177" s="128">
        <f t="shared" si="83"/>
        <v>0</v>
      </c>
      <c r="AC177" s="128">
        <f t="shared" si="83"/>
        <v>0</v>
      </c>
      <c r="AD177" s="128">
        <f t="shared" si="83"/>
        <v>0</v>
      </c>
      <c r="AE177" s="128">
        <f t="shared" si="83"/>
        <v>0</v>
      </c>
      <c r="AF177" s="128">
        <f t="shared" si="83"/>
        <v>0</v>
      </c>
      <c r="AG177" s="128">
        <f t="shared" si="83"/>
        <v>0</v>
      </c>
      <c r="AH177" s="128">
        <f t="shared" si="83"/>
        <v>0</v>
      </c>
      <c r="AI177" s="128">
        <f t="shared" si="83"/>
        <v>0</v>
      </c>
      <c r="AJ177" s="128">
        <f t="shared" si="83"/>
        <v>0</v>
      </c>
      <c r="AK177" s="128">
        <f t="shared" si="83"/>
        <v>0</v>
      </c>
      <c r="AL177" s="128">
        <f t="shared" si="83"/>
        <v>0</v>
      </c>
      <c r="AM177" s="128">
        <f t="shared" si="83"/>
        <v>0</v>
      </c>
      <c r="AN177" s="128">
        <f t="shared" si="83"/>
        <v>0</v>
      </c>
      <c r="AO177" s="128">
        <f t="shared" si="83"/>
        <v>0</v>
      </c>
    </row>
    <row r="178" spans="8:41" x14ac:dyDescent="0.25">
      <c r="H178" s="35" t="s">
        <v>56</v>
      </c>
      <c r="I178" s="36"/>
      <c r="J178" s="36"/>
      <c r="K178" s="128">
        <f t="shared" ref="K178:AO178" si="84">IF(K175&lt;=$C$85,K169,0)</f>
        <v>0.72011999999999998</v>
      </c>
      <c r="L178" s="128">
        <f t="shared" si="84"/>
        <v>0.73452239999999991</v>
      </c>
      <c r="M178" s="128">
        <f t="shared" si="84"/>
        <v>0.74921284799999999</v>
      </c>
      <c r="N178" s="128">
        <f t="shared" si="84"/>
        <v>0.76419710495999993</v>
      </c>
      <c r="O178" s="128">
        <f t="shared" si="84"/>
        <v>0.77948104705920007</v>
      </c>
      <c r="P178" s="128">
        <f t="shared" si="84"/>
        <v>0.79507066800038417</v>
      </c>
      <c r="Q178" s="128">
        <f t="shared" si="84"/>
        <v>0.81097208136039167</v>
      </c>
      <c r="R178" s="128">
        <f t="shared" si="84"/>
        <v>0.82719152298759946</v>
      </c>
      <c r="S178" s="128">
        <f t="shared" si="84"/>
        <v>0.8437353534473514</v>
      </c>
      <c r="T178" s="128">
        <f t="shared" si="84"/>
        <v>0.86061006051629851</v>
      </c>
      <c r="U178" s="128">
        <f t="shared" si="84"/>
        <v>0.87782226172662448</v>
      </c>
      <c r="V178" s="128">
        <f t="shared" si="84"/>
        <v>0.89537870696115696</v>
      </c>
      <c r="W178" s="128">
        <f t="shared" si="84"/>
        <v>0.9132862811003799</v>
      </c>
      <c r="X178" s="128">
        <f t="shared" si="84"/>
        <v>0.9315520067223878</v>
      </c>
      <c r="Y178" s="128">
        <f t="shared" si="84"/>
        <v>0.95018304685683519</v>
      </c>
      <c r="Z178" s="128">
        <f t="shared" si="84"/>
        <v>0</v>
      </c>
      <c r="AA178" s="128">
        <f t="shared" si="84"/>
        <v>0</v>
      </c>
      <c r="AB178" s="128">
        <f t="shared" si="84"/>
        <v>0</v>
      </c>
      <c r="AC178" s="128">
        <f t="shared" si="84"/>
        <v>0</v>
      </c>
      <c r="AD178" s="128">
        <f t="shared" si="84"/>
        <v>0</v>
      </c>
      <c r="AE178" s="128">
        <f t="shared" si="84"/>
        <v>0</v>
      </c>
      <c r="AF178" s="128">
        <f t="shared" si="84"/>
        <v>0</v>
      </c>
      <c r="AG178" s="128">
        <f t="shared" si="84"/>
        <v>0</v>
      </c>
      <c r="AH178" s="128">
        <f t="shared" si="84"/>
        <v>0</v>
      </c>
      <c r="AI178" s="128">
        <f t="shared" si="84"/>
        <v>0</v>
      </c>
      <c r="AJ178" s="128">
        <f t="shared" si="84"/>
        <v>0</v>
      </c>
      <c r="AK178" s="128">
        <f t="shared" si="84"/>
        <v>0</v>
      </c>
      <c r="AL178" s="128">
        <f t="shared" si="84"/>
        <v>0</v>
      </c>
      <c r="AM178" s="128">
        <f t="shared" si="84"/>
        <v>0</v>
      </c>
      <c r="AN178" s="128">
        <f t="shared" si="84"/>
        <v>0</v>
      </c>
      <c r="AO178" s="128">
        <f t="shared" si="84"/>
        <v>0</v>
      </c>
    </row>
    <row r="179" spans="8:41" x14ac:dyDescent="0.25"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  <c r="AD179" s="98"/>
      <c r="AE179" s="98"/>
      <c r="AF179" s="98"/>
      <c r="AG179" s="98"/>
      <c r="AH179" s="98"/>
      <c r="AI179" s="98"/>
      <c r="AJ179" s="98"/>
      <c r="AK179" s="98"/>
      <c r="AL179" s="98"/>
      <c r="AM179" s="98"/>
      <c r="AN179" s="98"/>
      <c r="AO179" s="98"/>
    </row>
    <row r="180" spans="8:41" x14ac:dyDescent="0.25">
      <c r="H180" s="98" t="s">
        <v>237</v>
      </c>
      <c r="I180" s="98"/>
      <c r="J180" s="98"/>
      <c r="K180" s="155">
        <f t="shared" ref="K180:AO180" si="85">IF(K175&lt;=$C$85,K171,0)</f>
        <v>-41.537509999999997</v>
      </c>
      <c r="L180" s="155">
        <f t="shared" si="85"/>
        <v>-43.214586966249989</v>
      </c>
      <c r="M180" s="155">
        <f t="shared" si="85"/>
        <v>-44.959375915012323</v>
      </c>
      <c r="N180" s="155">
        <f t="shared" si="85"/>
        <v>-46.774610717580934</v>
      </c>
      <c r="O180" s="155">
        <f t="shared" si="85"/>
        <v>-48.663135625303255</v>
      </c>
      <c r="P180" s="155">
        <f t="shared" si="85"/>
        <v>-50.62790972617487</v>
      </c>
      <c r="Q180" s="155">
        <f t="shared" si="85"/>
        <v>-52.672011581369176</v>
      </c>
      <c r="R180" s="155">
        <f t="shared" si="85"/>
        <v>-54.798644048966949</v>
      </c>
      <c r="S180" s="155">
        <f t="shared" si="85"/>
        <v>-57.011139302443965</v>
      </c>
      <c r="T180" s="155">
        <f t="shared" si="85"/>
        <v>-59.312964051780128</v>
      </c>
      <c r="U180" s="155">
        <f t="shared" si="85"/>
        <v>-61.707724975370745</v>
      </c>
      <c r="V180" s="155">
        <f t="shared" si="85"/>
        <v>-64.199174371251331</v>
      </c>
      <c r="W180" s="155">
        <f t="shared" si="85"/>
        <v>-66.791216036490582</v>
      </c>
      <c r="X180" s="155">
        <f t="shared" si="85"/>
        <v>-69.48791138396389</v>
      </c>
      <c r="Y180" s="155">
        <f t="shared" si="85"/>
        <v>-72.293485806091397</v>
      </c>
      <c r="Z180" s="155">
        <f t="shared" si="85"/>
        <v>0</v>
      </c>
      <c r="AA180" s="155">
        <f t="shared" si="85"/>
        <v>0</v>
      </c>
      <c r="AB180" s="155">
        <f t="shared" si="85"/>
        <v>0</v>
      </c>
      <c r="AC180" s="155">
        <f t="shared" si="85"/>
        <v>0</v>
      </c>
      <c r="AD180" s="155">
        <f t="shared" si="85"/>
        <v>0</v>
      </c>
      <c r="AE180" s="155">
        <f t="shared" si="85"/>
        <v>0</v>
      </c>
      <c r="AF180" s="155">
        <f t="shared" si="85"/>
        <v>0</v>
      </c>
      <c r="AG180" s="155">
        <f t="shared" si="85"/>
        <v>0</v>
      </c>
      <c r="AH180" s="155">
        <f t="shared" si="85"/>
        <v>0</v>
      </c>
      <c r="AI180" s="155">
        <f t="shared" si="85"/>
        <v>0</v>
      </c>
      <c r="AJ180" s="155">
        <f t="shared" si="85"/>
        <v>0</v>
      </c>
      <c r="AK180" s="155">
        <f t="shared" si="85"/>
        <v>0</v>
      </c>
      <c r="AL180" s="155">
        <f t="shared" si="85"/>
        <v>0</v>
      </c>
      <c r="AM180" s="155">
        <f t="shared" si="85"/>
        <v>0</v>
      </c>
      <c r="AN180" s="155">
        <f t="shared" si="85"/>
        <v>0</v>
      </c>
      <c r="AO180" s="155">
        <f t="shared" si="85"/>
        <v>0</v>
      </c>
    </row>
    <row r="181" spans="8:41" x14ac:dyDescent="0.25">
      <c r="H181" s="98" t="s">
        <v>208</v>
      </c>
      <c r="I181" s="98"/>
      <c r="J181" s="98"/>
      <c r="K181" s="156">
        <f>SUM(K176:K180)</f>
        <v>173.7605869371024</v>
      </c>
      <c r="L181" s="156">
        <f t="shared" ref="L181:AO181" si="86">SUM(L176:L180)</f>
        <v>35.776876083750018</v>
      </c>
      <c r="M181" s="156">
        <f t="shared" si="86"/>
        <v>40.311562939887686</v>
      </c>
      <c r="N181" s="156">
        <f t="shared" si="86"/>
        <v>45.36497065430806</v>
      </c>
      <c r="O181" s="156">
        <f t="shared" si="86"/>
        <v>50.863548726292606</v>
      </c>
      <c r="P181" s="156">
        <f t="shared" si="86"/>
        <v>56.975360434487619</v>
      </c>
      <c r="Q181" s="156">
        <f t="shared" si="86"/>
        <v>63.478464927129721</v>
      </c>
      <c r="R181" s="156">
        <f t="shared" si="86"/>
        <v>-6.2675995783721632</v>
      </c>
      <c r="S181" s="156">
        <f t="shared" si="86"/>
        <v>-27.38607933727361</v>
      </c>
      <c r="T181" s="156">
        <f t="shared" si="86"/>
        <v>-27.269935447844595</v>
      </c>
      <c r="U181" s="156">
        <f t="shared" si="86"/>
        <v>32.722501158621917</v>
      </c>
      <c r="V181" s="156">
        <f t="shared" si="86"/>
        <v>-27.472184232873687</v>
      </c>
      <c r="W181" s="156">
        <f t="shared" si="86"/>
        <v>-27.290959484779577</v>
      </c>
      <c r="X181" s="156">
        <f t="shared" si="86"/>
        <v>-27.002166845300238</v>
      </c>
      <c r="Y181" s="156">
        <f t="shared" si="86"/>
        <v>-26.593907375235652</v>
      </c>
      <c r="Z181" s="156">
        <f t="shared" si="86"/>
        <v>0</v>
      </c>
      <c r="AA181" s="156">
        <f t="shared" si="86"/>
        <v>0</v>
      </c>
      <c r="AB181" s="156">
        <f t="shared" si="86"/>
        <v>0</v>
      </c>
      <c r="AC181" s="156">
        <f t="shared" si="86"/>
        <v>0</v>
      </c>
      <c r="AD181" s="156">
        <f t="shared" si="86"/>
        <v>0</v>
      </c>
      <c r="AE181" s="156">
        <f t="shared" si="86"/>
        <v>0</v>
      </c>
      <c r="AF181" s="156">
        <f t="shared" si="86"/>
        <v>0</v>
      </c>
      <c r="AG181" s="156">
        <f t="shared" si="86"/>
        <v>0</v>
      </c>
      <c r="AH181" s="156">
        <f t="shared" si="86"/>
        <v>0</v>
      </c>
      <c r="AI181" s="156">
        <f t="shared" si="86"/>
        <v>0</v>
      </c>
      <c r="AJ181" s="156">
        <f t="shared" si="86"/>
        <v>0</v>
      </c>
      <c r="AK181" s="156">
        <f t="shared" si="86"/>
        <v>0</v>
      </c>
      <c r="AL181" s="156">
        <f t="shared" si="86"/>
        <v>0</v>
      </c>
      <c r="AM181" s="156">
        <f t="shared" si="86"/>
        <v>0</v>
      </c>
      <c r="AN181" s="156">
        <f t="shared" si="86"/>
        <v>0</v>
      </c>
      <c r="AO181" s="156">
        <f t="shared" si="86"/>
        <v>0</v>
      </c>
    </row>
    <row r="184" spans="8:41" x14ac:dyDescent="0.25">
      <c r="K184" s="118"/>
    </row>
    <row r="185" spans="8:41" x14ac:dyDescent="0.25">
      <c r="K185" s="118"/>
      <c r="X185" t="s">
        <v>210</v>
      </c>
      <c r="Y185">
        <f>SUM(K18:Z18)/$D$12</f>
        <v>245.4932203984059</v>
      </c>
    </row>
    <row r="186" spans="8:41" x14ac:dyDescent="0.25">
      <c r="X186" t="s">
        <v>211</v>
      </c>
      <c r="Y186">
        <f>SUM(K19:Z19)/$D$12</f>
        <v>1195.2948413371803</v>
      </c>
    </row>
    <row r="187" spans="8:41" x14ac:dyDescent="0.25">
      <c r="X187" t="s">
        <v>212</v>
      </c>
      <c r="Y187">
        <f>SUM(K20:Z20)/$D$12</f>
        <v>16.836085657444222</v>
      </c>
    </row>
  </sheetData>
  <mergeCells count="1">
    <mergeCell ref="B7:E7"/>
  </mergeCells>
  <pageMargins left="0.38" right="0.31" top="0.39" bottom="0.39" header="0.3" footer="0.3"/>
  <pageSetup scale="60" fitToWidth="0" orientation="landscape" r:id="rId1"/>
  <colBreaks count="2" manualBreakCount="2">
    <brk id="6" min="9" max="81" man="1"/>
    <brk id="19" min="9" max="8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CBA35-195A-4F67-B28E-5CFF3F7DAA12}">
  <sheetPr>
    <pageSetUpPr fitToPage="1"/>
  </sheetPr>
  <dimension ref="A2:AO187"/>
  <sheetViews>
    <sheetView showGridLines="0" tabSelected="1" zoomScale="80" zoomScaleNormal="80" zoomScaleSheetLayoutView="80" workbookViewId="0">
      <pane xSplit="5" ySplit="11" topLeftCell="F162" activePane="bottomRight" state="frozen"/>
      <selection pane="topRight" activeCell="F1" sqref="F1"/>
      <selection pane="bottomLeft" activeCell="A12" sqref="A12"/>
      <selection pane="bottomRight" activeCell="G166" sqref="G166"/>
    </sheetView>
  </sheetViews>
  <sheetFormatPr defaultColWidth="8.5546875" defaultRowHeight="13.2" x14ac:dyDescent="0.25"/>
  <cols>
    <col min="2" max="2" width="34.21875" customWidth="1"/>
    <col min="3" max="3" width="13" customWidth="1"/>
    <col min="4" max="4" width="20" bestFit="1" customWidth="1"/>
    <col min="5" max="5" width="15.44140625" customWidth="1"/>
    <col min="6" max="6" width="4.44140625" customWidth="1"/>
    <col min="7" max="7" width="5.44140625" customWidth="1"/>
    <col min="8" max="8" width="23.44140625" customWidth="1"/>
    <col min="9" max="9" width="19.21875" customWidth="1"/>
    <col min="10" max="10" width="13.5546875" bestFit="1" customWidth="1"/>
    <col min="11" max="12" width="12.21875" customWidth="1"/>
    <col min="13" max="13" width="11.5546875" bestFit="1" customWidth="1"/>
    <col min="14" max="15" width="12.44140625" bestFit="1" customWidth="1"/>
    <col min="16" max="16" width="11.5546875" bestFit="1" customWidth="1"/>
    <col min="17" max="17" width="13.21875" bestFit="1" customWidth="1"/>
    <col min="18" max="19" width="12.44140625" bestFit="1" customWidth="1"/>
    <col min="20" max="20" width="12.77734375" bestFit="1" customWidth="1"/>
    <col min="21" max="21" width="13" bestFit="1" customWidth="1"/>
    <col min="22" max="23" width="11.5546875" bestFit="1" customWidth="1"/>
    <col min="24" max="30" width="12.21875" customWidth="1"/>
    <col min="31" max="31" width="13.44140625" bestFit="1" customWidth="1"/>
    <col min="32" max="35" width="10.77734375" bestFit="1" customWidth="1"/>
    <col min="36" max="36" width="10.5546875" bestFit="1" customWidth="1"/>
    <col min="37" max="40" width="10.77734375" bestFit="1" customWidth="1"/>
    <col min="41" max="41" width="10.5546875" bestFit="1" customWidth="1"/>
  </cols>
  <sheetData>
    <row r="2" spans="2:41" ht="23.25" customHeight="1" x14ac:dyDescent="0.25">
      <c r="B2" s="1" t="s">
        <v>0</v>
      </c>
      <c r="C2" s="1"/>
      <c r="D2" s="1"/>
      <c r="E2" s="1"/>
      <c r="G2" s="2" t="s">
        <v>1</v>
      </c>
      <c r="H2" s="2"/>
      <c r="I2" s="2"/>
      <c r="J2" s="2"/>
      <c r="L2" s="2" t="s">
        <v>2</v>
      </c>
      <c r="M2" s="2"/>
      <c r="N2" s="2"/>
      <c r="O2" s="2"/>
      <c r="Q2" s="2" t="s">
        <v>3</v>
      </c>
      <c r="R2" s="2"/>
      <c r="S2" s="2"/>
      <c r="T2" s="2" t="s">
        <v>4</v>
      </c>
      <c r="U2" s="2" t="s">
        <v>5</v>
      </c>
      <c r="V2" s="2" t="s">
        <v>6</v>
      </c>
      <c r="W2" s="2"/>
      <c r="X2" s="2"/>
      <c r="Y2" s="2"/>
      <c r="AA2" s="2" t="s">
        <v>7</v>
      </c>
      <c r="AB2" s="2"/>
      <c r="AC2" s="2"/>
      <c r="AD2" s="2"/>
    </row>
    <row r="3" spans="2:41" x14ac:dyDescent="0.25">
      <c r="B3" s="3"/>
      <c r="C3" s="3"/>
      <c r="D3" s="3"/>
      <c r="E3" s="3"/>
      <c r="G3" s="4" t="s">
        <v>8</v>
      </c>
      <c r="H3" s="3"/>
      <c r="I3" s="3"/>
      <c r="J3" s="5">
        <f>C85</f>
        <v>15</v>
      </c>
      <c r="L3" s="4" t="s">
        <v>9</v>
      </c>
      <c r="M3" s="3"/>
      <c r="N3" s="3"/>
      <c r="O3" s="6">
        <f>D13</f>
        <v>1000</v>
      </c>
      <c r="Q3" s="4" t="s">
        <v>10</v>
      </c>
      <c r="R3" s="3"/>
      <c r="S3" s="3"/>
      <c r="T3" s="7">
        <f>AVERAGEIF($K$11:$AE$11,"&lt;="&amp;$J$3,$K$168:$AE$168)/AVERAGEIF($K$11:$AE$11,"&lt;="&amp;$J$3,$K$154:$AE$154)</f>
        <v>10.923675055811488</v>
      </c>
      <c r="V3" s="4" t="s">
        <v>11</v>
      </c>
      <c r="W3" s="3"/>
      <c r="X3" s="3"/>
      <c r="Y3" s="8">
        <f>_xlfn.XLOOKUP($J$3+1,$K$11:$AE$11,$K$111:$AE$111)</f>
        <v>2540.3516846856733</v>
      </c>
      <c r="AA3" s="4" t="s">
        <v>12</v>
      </c>
      <c r="AB3" s="3"/>
      <c r="AC3" s="3"/>
      <c r="AD3" s="9">
        <f>SUM(J49:J50)</f>
        <v>886743.70565000002</v>
      </c>
    </row>
    <row r="4" spans="2:41" x14ac:dyDescent="0.25">
      <c r="B4" s="10" t="s">
        <v>13</v>
      </c>
      <c r="C4" s="11"/>
      <c r="D4" s="11"/>
      <c r="E4" s="3"/>
      <c r="G4" s="4" t="s">
        <v>14</v>
      </c>
      <c r="H4" s="3"/>
      <c r="I4" s="3"/>
      <c r="J4" s="9">
        <f>-J55</f>
        <v>1806700.7943500001</v>
      </c>
      <c r="L4" s="4" t="s">
        <v>15</v>
      </c>
      <c r="M4" s="3"/>
      <c r="N4" s="3"/>
      <c r="O4" s="6">
        <f>-$J$15/$D$12</f>
        <v>-499.99999999999994</v>
      </c>
      <c r="Q4" s="4" t="s">
        <v>16</v>
      </c>
      <c r="R4" s="3"/>
      <c r="S4" s="3"/>
      <c r="T4" s="6">
        <f>SUM(K177:AE177)</f>
        <v>384.15834252525059</v>
      </c>
      <c r="U4" s="12">
        <f>J146</f>
        <v>454.77808895771506</v>
      </c>
      <c r="V4" s="4" t="str">
        <f>"  - Less: EFM Discount "&amp;C87</f>
        <v xml:space="preserve">  - Less: EFM Discount 0.6</v>
      </c>
      <c r="W4" s="3"/>
      <c r="X4" s="3"/>
      <c r="Y4" s="8">
        <f>_xlfn.XLOOKUP($J$3+1,$K$11:$AE$11,K112:AE112)</f>
        <v>-1524.2110108114039</v>
      </c>
      <c r="AA4" s="4" t="s">
        <v>17</v>
      </c>
      <c r="AB4" s="3"/>
      <c r="AC4" s="3"/>
      <c r="AD4" s="9">
        <f>-(SUM($J$99:$AE$99)+SUM($J$92:$AE$92)+$J$90)</f>
        <v>-97980.755230786308</v>
      </c>
    </row>
    <row r="5" spans="2:41" x14ac:dyDescent="0.25">
      <c r="B5" s="13" t="s">
        <v>18</v>
      </c>
      <c r="C5" s="14" t="s">
        <v>19</v>
      </c>
      <c r="D5" s="3"/>
      <c r="E5" s="3"/>
      <c r="G5" s="4" t="s">
        <v>20</v>
      </c>
      <c r="H5" s="3"/>
      <c r="I5" s="3"/>
      <c r="J5" s="9">
        <f>SUM(J69:AE69)</f>
        <v>3241047.9313480454</v>
      </c>
      <c r="L5" s="15" t="s">
        <v>21</v>
      </c>
      <c r="M5" s="3"/>
      <c r="N5" s="3"/>
      <c r="O5" s="6">
        <f>-$J$49/$D$12</f>
        <v>0</v>
      </c>
      <c r="Q5" s="4" t="s">
        <v>22</v>
      </c>
      <c r="R5" s="3"/>
      <c r="S5" s="3"/>
      <c r="T5" s="6">
        <f>SUM(K176:AE176)</f>
        <v>81.875289477279281</v>
      </c>
      <c r="U5" s="12">
        <f>J145</f>
        <v>95.180165841011984</v>
      </c>
      <c r="V5" s="4" t="s">
        <v>23</v>
      </c>
      <c r="W5" s="3"/>
      <c r="X5" s="3"/>
      <c r="Y5" s="9">
        <f>SUM(Y3:Y4)</f>
        <v>1016.1406738742694</v>
      </c>
      <c r="AA5" s="3"/>
      <c r="AB5" s="3"/>
      <c r="AC5" s="3"/>
      <c r="AD5" s="6"/>
    </row>
    <row r="6" spans="2:41" x14ac:dyDescent="0.25">
      <c r="B6" s="13"/>
      <c r="C6" s="13"/>
      <c r="D6" s="3"/>
      <c r="E6" s="3"/>
      <c r="G6" s="4" t="s">
        <v>24</v>
      </c>
      <c r="H6" s="3"/>
      <c r="I6" s="3"/>
      <c r="J6" s="16">
        <f>I72</f>
        <v>2.7939040827809469</v>
      </c>
      <c r="L6" s="15" t="s">
        <v>25</v>
      </c>
      <c r="M6" s="3"/>
      <c r="N6" s="3"/>
      <c r="O6" s="6">
        <f>SUM($D$16:$D$18)/$D$12</f>
        <v>45</v>
      </c>
      <c r="Q6" s="4" t="s">
        <v>26</v>
      </c>
      <c r="R6" s="3"/>
      <c r="S6" s="3"/>
      <c r="T6" s="6">
        <f>SUM(K178:AE178)</f>
        <v>5.0397957870087451</v>
      </c>
      <c r="U6" s="12">
        <f>J147</f>
        <v>6.2317619790862731</v>
      </c>
      <c r="V6" s="17" t="s">
        <v>27</v>
      </c>
      <c r="W6" s="17"/>
      <c r="X6" s="17"/>
      <c r="Y6" s="18">
        <f>_xlfn.XLOOKUP($J$3+1,$K$11:$AE$11,K120:AE120)/$D$12</f>
        <v>205.26243763450438</v>
      </c>
      <c r="AA6" s="3" t="s">
        <v>28</v>
      </c>
      <c r="AB6" s="3"/>
      <c r="AC6" s="3"/>
      <c r="AD6" s="19">
        <f>(Y8/500)^(1/15)-1</f>
        <v>1.3422638149706234E-2</v>
      </c>
    </row>
    <row r="7" spans="2:41" x14ac:dyDescent="0.25">
      <c r="B7" s="159" t="s">
        <v>29</v>
      </c>
      <c r="C7" s="159"/>
      <c r="D7" s="159"/>
      <c r="E7" s="159"/>
      <c r="G7" s="20" t="s">
        <v>30</v>
      </c>
      <c r="H7" s="20"/>
      <c r="I7" s="20"/>
      <c r="J7" s="21">
        <f>I71</f>
        <v>7.0896336397523241E-2</v>
      </c>
      <c r="L7" s="20" t="s">
        <v>31</v>
      </c>
      <c r="M7" s="20"/>
      <c r="N7" s="20"/>
      <c r="O7" s="22">
        <f>SUM(O3:O6)</f>
        <v>545</v>
      </c>
      <c r="Q7" s="4" t="s">
        <v>32</v>
      </c>
      <c r="R7" s="3"/>
      <c r="S7" s="3"/>
      <c r="T7" s="6">
        <f>SUM(K180:AE180)</f>
        <v>-337.53597754271527</v>
      </c>
      <c r="V7" s="4" t="s">
        <v>33</v>
      </c>
      <c r="W7" s="4"/>
      <c r="X7" s="4"/>
      <c r="Y7" s="23">
        <f>C89</f>
        <v>0.05</v>
      </c>
      <c r="AA7" s="3"/>
      <c r="AB7" s="3"/>
      <c r="AC7" s="3"/>
      <c r="AD7" s="3"/>
    </row>
    <row r="8" spans="2:41" x14ac:dyDescent="0.25">
      <c r="C8" s="24"/>
      <c r="D8" s="24"/>
      <c r="G8" s="20" t="s">
        <v>34</v>
      </c>
      <c r="H8" s="20"/>
      <c r="I8" s="20"/>
      <c r="J8" s="21">
        <f>I78</f>
        <v>4.4271305303612563E-2</v>
      </c>
      <c r="L8" s="20"/>
      <c r="M8" s="20"/>
      <c r="N8" s="20"/>
      <c r="O8" s="22"/>
      <c r="Q8" s="20" t="s">
        <v>35</v>
      </c>
      <c r="R8" s="20"/>
      <c r="S8" s="20"/>
      <c r="T8" s="25">
        <f>SUM(T4:T7)</f>
        <v>133.53745024682337</v>
      </c>
      <c r="V8" s="20" t="s">
        <v>36</v>
      </c>
      <c r="W8" s="20"/>
      <c r="X8" s="20"/>
      <c r="Y8" s="25">
        <f>MEDIAN(Y5:Y6)</f>
        <v>610.70155575438685</v>
      </c>
      <c r="Z8" s="26">
        <f>(Y8/(O3+O4))^(1/J3)-1</f>
        <v>1.3422638149706234E-2</v>
      </c>
      <c r="AA8" s="3"/>
      <c r="AB8" s="3"/>
      <c r="AC8" s="3"/>
      <c r="AD8" s="3"/>
    </row>
    <row r="9" spans="2:41" x14ac:dyDescent="0.25">
      <c r="V9" s="4" t="s">
        <v>37</v>
      </c>
      <c r="Y9" s="27">
        <f>Y46/D12</f>
        <v>877.11957010224091</v>
      </c>
      <c r="Z9" s="28">
        <f>(Y9/(O3+O4))^(1/J3)-1</f>
        <v>3.8179828551561101E-2</v>
      </c>
    </row>
    <row r="10" spans="2:41" x14ac:dyDescent="0.25">
      <c r="B10" s="29"/>
      <c r="C10" s="29"/>
      <c r="D10" s="29"/>
      <c r="E10" s="29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2:41" x14ac:dyDescent="0.25">
      <c r="B11" s="2" t="s">
        <v>38</v>
      </c>
      <c r="C11" s="29"/>
      <c r="D11" s="29"/>
      <c r="E11" s="29"/>
      <c r="G11" s="2" t="s">
        <v>39</v>
      </c>
      <c r="H11" s="30"/>
      <c r="I11" s="30"/>
      <c r="J11" s="31">
        <v>0</v>
      </c>
      <c r="K11" s="32">
        <v>1</v>
      </c>
      <c r="L11" s="32">
        <v>2</v>
      </c>
      <c r="M11" s="32">
        <v>3</v>
      </c>
      <c r="N11" s="32">
        <v>4</v>
      </c>
      <c r="O11" s="32">
        <v>5</v>
      </c>
      <c r="P11" s="32">
        <v>6</v>
      </c>
      <c r="Q11" s="32">
        <v>7</v>
      </c>
      <c r="R11" s="32">
        <v>8</v>
      </c>
      <c r="S11" s="32">
        <v>9</v>
      </c>
      <c r="T11" s="32">
        <v>10</v>
      </c>
      <c r="U11" s="32">
        <v>11</v>
      </c>
      <c r="V11" s="32">
        <v>12</v>
      </c>
      <c r="W11" s="32">
        <v>13</v>
      </c>
      <c r="X11" s="32">
        <v>14</v>
      </c>
      <c r="Y11" s="32">
        <v>15</v>
      </c>
      <c r="Z11" s="32">
        <v>16</v>
      </c>
      <c r="AA11" s="32">
        <v>17</v>
      </c>
      <c r="AB11" s="32">
        <v>18</v>
      </c>
      <c r="AC11" s="32">
        <v>19</v>
      </c>
      <c r="AD11" s="32">
        <v>20</v>
      </c>
      <c r="AE11" s="32">
        <f>AD11+1</f>
        <v>21</v>
      </c>
      <c r="AF11" s="32">
        <f t="shared" ref="AF11:AN11" si="0">AE11+1</f>
        <v>22</v>
      </c>
      <c r="AG11" s="32">
        <f t="shared" si="0"/>
        <v>23</v>
      </c>
      <c r="AH11" s="32">
        <f t="shared" si="0"/>
        <v>24</v>
      </c>
      <c r="AI11" s="32">
        <f t="shared" si="0"/>
        <v>25</v>
      </c>
      <c r="AJ11" s="32">
        <f t="shared" si="0"/>
        <v>26</v>
      </c>
      <c r="AK11" s="32">
        <f t="shared" si="0"/>
        <v>27</v>
      </c>
      <c r="AL11" s="32">
        <f t="shared" si="0"/>
        <v>28</v>
      </c>
      <c r="AM11" s="32">
        <f t="shared" si="0"/>
        <v>29</v>
      </c>
      <c r="AN11" s="32">
        <f t="shared" si="0"/>
        <v>30</v>
      </c>
      <c r="AO11" s="32">
        <f>AN11+1</f>
        <v>31</v>
      </c>
    </row>
    <row r="12" spans="2:41" x14ac:dyDescent="0.25">
      <c r="B12" s="33" t="s">
        <v>40</v>
      </c>
      <c r="C12" s="34"/>
      <c r="D12">
        <f>2000*2.47105</f>
        <v>4942.1000000000004</v>
      </c>
      <c r="E12" s="34"/>
      <c r="G12" s="35"/>
      <c r="H12" s="35" t="s">
        <v>41</v>
      </c>
      <c r="I12" s="36"/>
      <c r="J12" s="37">
        <f>-D19</f>
        <v>-5164494.5</v>
      </c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</row>
    <row r="13" spans="2:41" x14ac:dyDescent="0.25">
      <c r="B13" s="33" t="s">
        <v>42</v>
      </c>
      <c r="C13" s="34"/>
      <c r="D13" s="38">
        <v>1000</v>
      </c>
      <c r="E13" s="34"/>
    </row>
    <row r="14" spans="2:41" x14ac:dyDescent="0.25">
      <c r="B14" s="33" t="s">
        <v>43</v>
      </c>
      <c r="C14" s="39"/>
      <c r="D14" s="39"/>
      <c r="E14" s="34"/>
      <c r="G14" s="40" t="s">
        <v>44</v>
      </c>
    </row>
    <row r="15" spans="2:41" x14ac:dyDescent="0.25">
      <c r="B15" s="33" t="s">
        <v>45</v>
      </c>
      <c r="C15" s="39"/>
      <c r="D15" s="39"/>
      <c r="E15" s="34"/>
      <c r="G15" s="36"/>
      <c r="H15" s="35" t="s">
        <v>46</v>
      </c>
      <c r="I15" s="36"/>
      <c r="J15" s="41">
        <f t="shared" ref="J15:AO15" si="1">IF(J11=$C$38,($D$13-$D$36)*$C$37*$D$12,0)</f>
        <v>2471050</v>
      </c>
      <c r="K15" s="41">
        <f t="shared" si="1"/>
        <v>0</v>
      </c>
      <c r="L15" s="41">
        <f t="shared" si="1"/>
        <v>0</v>
      </c>
      <c r="M15" s="41">
        <f t="shared" si="1"/>
        <v>0</v>
      </c>
      <c r="N15" s="41">
        <f t="shared" si="1"/>
        <v>0</v>
      </c>
      <c r="O15" s="41">
        <f t="shared" si="1"/>
        <v>0</v>
      </c>
      <c r="P15" s="41">
        <f t="shared" si="1"/>
        <v>0</v>
      </c>
      <c r="Q15" s="41">
        <f t="shared" si="1"/>
        <v>0</v>
      </c>
      <c r="R15" s="41">
        <f t="shared" si="1"/>
        <v>0</v>
      </c>
      <c r="S15" s="41">
        <f t="shared" si="1"/>
        <v>0</v>
      </c>
      <c r="T15" s="41">
        <f t="shared" si="1"/>
        <v>0</v>
      </c>
      <c r="U15" s="41">
        <f t="shared" si="1"/>
        <v>0</v>
      </c>
      <c r="V15" s="41">
        <f t="shared" si="1"/>
        <v>0</v>
      </c>
      <c r="W15" s="41">
        <f t="shared" si="1"/>
        <v>0</v>
      </c>
      <c r="X15" s="41">
        <f t="shared" si="1"/>
        <v>0</v>
      </c>
      <c r="Y15" s="41">
        <f t="shared" si="1"/>
        <v>0</v>
      </c>
      <c r="Z15" s="41">
        <f t="shared" si="1"/>
        <v>0</v>
      </c>
      <c r="AA15" s="41">
        <f t="shared" si="1"/>
        <v>0</v>
      </c>
      <c r="AB15" s="41">
        <f t="shared" si="1"/>
        <v>0</v>
      </c>
      <c r="AC15" s="41">
        <f t="shared" si="1"/>
        <v>0</v>
      </c>
      <c r="AD15" s="41">
        <f t="shared" si="1"/>
        <v>0</v>
      </c>
      <c r="AE15" s="41">
        <f t="shared" si="1"/>
        <v>0</v>
      </c>
      <c r="AF15" s="41">
        <f t="shared" si="1"/>
        <v>0</v>
      </c>
      <c r="AG15" s="41">
        <f t="shared" si="1"/>
        <v>0</v>
      </c>
      <c r="AH15" s="41">
        <f t="shared" si="1"/>
        <v>0</v>
      </c>
      <c r="AI15" s="41">
        <f t="shared" si="1"/>
        <v>0</v>
      </c>
      <c r="AJ15" s="41">
        <f t="shared" si="1"/>
        <v>0</v>
      </c>
      <c r="AK15" s="41">
        <f t="shared" si="1"/>
        <v>0</v>
      </c>
      <c r="AL15" s="41">
        <f t="shared" si="1"/>
        <v>0</v>
      </c>
      <c r="AM15" s="41">
        <f t="shared" si="1"/>
        <v>0</v>
      </c>
      <c r="AN15" s="41">
        <f t="shared" si="1"/>
        <v>0</v>
      </c>
      <c r="AO15" s="41">
        <f t="shared" si="1"/>
        <v>0</v>
      </c>
    </row>
    <row r="16" spans="2:41" x14ac:dyDescent="0.25">
      <c r="B16" s="33" t="s">
        <v>47</v>
      </c>
      <c r="C16" s="42">
        <v>0.01</v>
      </c>
      <c r="D16" s="43">
        <f>($D$12*$D$13)*C16</f>
        <v>49421</v>
      </c>
      <c r="E16" s="34"/>
      <c r="G16" s="36"/>
      <c r="H16" s="35" t="s">
        <v>48</v>
      </c>
      <c r="I16" s="36"/>
      <c r="J16" s="41">
        <f>D32</f>
        <v>0</v>
      </c>
      <c r="K16" s="41">
        <v>0</v>
      </c>
      <c r="L16" s="41">
        <v>0</v>
      </c>
      <c r="M16" s="41">
        <v>0</v>
      </c>
      <c r="N16" s="41">
        <v>0</v>
      </c>
      <c r="O16" s="41">
        <v>0</v>
      </c>
      <c r="P16" s="41">
        <v>0</v>
      </c>
      <c r="Q16" s="41">
        <v>0</v>
      </c>
      <c r="R16" s="41">
        <v>0</v>
      </c>
      <c r="S16" s="41">
        <v>0</v>
      </c>
      <c r="T16" s="41">
        <v>0</v>
      </c>
      <c r="U16" s="41">
        <v>0</v>
      </c>
      <c r="V16" s="41">
        <v>0</v>
      </c>
      <c r="W16" s="41">
        <v>0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C16" s="41">
        <v>0</v>
      </c>
      <c r="AD16" s="41">
        <v>0</v>
      </c>
      <c r="AE16" s="41">
        <v>0</v>
      </c>
      <c r="AF16" s="41">
        <v>0</v>
      </c>
      <c r="AG16" s="41">
        <v>0</v>
      </c>
      <c r="AH16" s="41">
        <v>0</v>
      </c>
      <c r="AI16" s="41">
        <v>0</v>
      </c>
      <c r="AJ16" s="41">
        <v>0</v>
      </c>
      <c r="AK16" s="41">
        <v>0</v>
      </c>
      <c r="AL16" s="41">
        <v>0</v>
      </c>
      <c r="AM16" s="41">
        <v>0</v>
      </c>
      <c r="AN16" s="41">
        <v>0</v>
      </c>
      <c r="AO16" s="41">
        <v>0</v>
      </c>
    </row>
    <row r="17" spans="2:41" x14ac:dyDescent="0.25">
      <c r="B17" s="33" t="s">
        <v>49</v>
      </c>
      <c r="C17" s="42">
        <v>0.01</v>
      </c>
      <c r="D17" s="43">
        <f>($D$12*$D$13)*C17</f>
        <v>49421</v>
      </c>
      <c r="E17" s="34"/>
      <c r="G17" s="40" t="s">
        <v>50</v>
      </c>
    </row>
    <row r="18" spans="2:41" x14ac:dyDescent="0.25">
      <c r="B18" s="44" t="s">
        <v>51</v>
      </c>
      <c r="C18" s="45">
        <v>2.5000000000000001E-2</v>
      </c>
      <c r="D18" s="46">
        <f>($D$12*$D$13)*C18</f>
        <v>123552.5</v>
      </c>
      <c r="E18" s="47"/>
      <c r="G18" s="36"/>
      <c r="H18" s="35" t="s">
        <v>52</v>
      </c>
      <c r="I18" s="36"/>
      <c r="J18" s="36"/>
      <c r="K18" s="48">
        <f t="shared" ref="K18:AO18" si="2">K167*$D$12*((1+$C$25)^K11)*((1+$C$23)^K11)</f>
        <v>294528.73296463088</v>
      </c>
      <c r="L18" s="48">
        <f t="shared" si="2"/>
        <v>0</v>
      </c>
      <c r="M18" s="48">
        <f t="shared" si="2"/>
        <v>0</v>
      </c>
      <c r="N18" s="48">
        <f t="shared" si="2"/>
        <v>0</v>
      </c>
      <c r="O18" s="48">
        <f t="shared" si="2"/>
        <v>0</v>
      </c>
      <c r="P18" s="48">
        <f t="shared" si="2"/>
        <v>0</v>
      </c>
      <c r="Q18" s="48">
        <f t="shared" si="2"/>
        <v>0</v>
      </c>
      <c r="R18" s="48">
        <f t="shared" si="2"/>
        <v>0</v>
      </c>
      <c r="S18" s="48">
        <f t="shared" si="2"/>
        <v>0</v>
      </c>
      <c r="T18" s="48">
        <f t="shared" si="2"/>
        <v>0</v>
      </c>
      <c r="U18" s="48">
        <f t="shared" si="2"/>
        <v>175861.16463823445</v>
      </c>
      <c r="V18" s="48">
        <f t="shared" si="2"/>
        <v>0</v>
      </c>
      <c r="W18" s="48">
        <f t="shared" si="2"/>
        <v>0</v>
      </c>
      <c r="X18" s="48">
        <f t="shared" si="2"/>
        <v>0</v>
      </c>
      <c r="Y18" s="48">
        <f t="shared" si="2"/>
        <v>0</v>
      </c>
      <c r="Z18" s="48">
        <f t="shared" si="2"/>
        <v>20606.478168466747</v>
      </c>
      <c r="AA18" s="48">
        <f t="shared" si="2"/>
        <v>0</v>
      </c>
      <c r="AB18" s="48">
        <f t="shared" si="2"/>
        <v>0</v>
      </c>
      <c r="AC18" s="48">
        <f t="shared" si="2"/>
        <v>0</v>
      </c>
      <c r="AD18" s="48">
        <f t="shared" si="2"/>
        <v>0</v>
      </c>
      <c r="AE18" s="48">
        <f t="shared" si="2"/>
        <v>1082400.3967014714</v>
      </c>
      <c r="AF18" s="48">
        <f t="shared" si="2"/>
        <v>0</v>
      </c>
      <c r="AG18" s="48">
        <f t="shared" si="2"/>
        <v>0</v>
      </c>
      <c r="AH18" s="48">
        <f t="shared" si="2"/>
        <v>0</v>
      </c>
      <c r="AI18" s="48">
        <f t="shared" si="2"/>
        <v>0</v>
      </c>
      <c r="AJ18" s="48">
        <f t="shared" si="2"/>
        <v>779193.71656968212</v>
      </c>
      <c r="AK18" s="48">
        <f t="shared" si="2"/>
        <v>0</v>
      </c>
      <c r="AL18" s="48">
        <f t="shared" si="2"/>
        <v>0</v>
      </c>
      <c r="AM18" s="48">
        <f t="shared" si="2"/>
        <v>0</v>
      </c>
      <c r="AN18" s="48">
        <f t="shared" si="2"/>
        <v>0</v>
      </c>
      <c r="AO18" s="48">
        <f t="shared" si="2"/>
        <v>1831320.1331839762</v>
      </c>
    </row>
    <row r="19" spans="2:41" x14ac:dyDescent="0.25">
      <c r="B19" s="49" t="s">
        <v>53</v>
      </c>
      <c r="C19" s="50"/>
      <c r="D19" s="51">
        <f>SUM(D16:D18)+(D13*D12)</f>
        <v>5164494.5</v>
      </c>
      <c r="E19" s="52">
        <f>J15/D19</f>
        <v>0.4784688995215311</v>
      </c>
      <c r="G19" s="53">
        <v>2</v>
      </c>
      <c r="H19" s="35" t="s">
        <v>54</v>
      </c>
      <c r="I19" s="36"/>
      <c r="J19" s="36"/>
      <c r="K19" s="48">
        <f t="shared" ref="K19:AO19" si="3">K168*$D$12*((1+$C$23)^K11)</f>
        <v>148281.1467734375</v>
      </c>
      <c r="L19" s="48">
        <f t="shared" si="3"/>
        <v>164440.72388594688</v>
      </c>
      <c r="M19" s="48">
        <f t="shared" si="3"/>
        <v>182044.99224671524</v>
      </c>
      <c r="N19" s="48">
        <f t="shared" si="3"/>
        <v>201726.73588128266</v>
      </c>
      <c r="O19" s="48">
        <f t="shared" si="3"/>
        <v>223451.31502139231</v>
      </c>
      <c r="P19" s="48">
        <f t="shared" si="3"/>
        <v>247734.54466402324</v>
      </c>
      <c r="Q19" s="48">
        <f t="shared" si="3"/>
        <v>274210.39995453868</v>
      </c>
      <c r="R19" s="48">
        <f t="shared" si="3"/>
        <v>116247.37749336539</v>
      </c>
      <c r="S19" s="48">
        <f t="shared" si="3"/>
        <v>71889.315698188715</v>
      </c>
      <c r="T19" s="48">
        <f t="shared" si="3"/>
        <v>79833.879439918121</v>
      </c>
      <c r="U19" s="48">
        <f t="shared" si="3"/>
        <v>87874.156574864333</v>
      </c>
      <c r="V19" s="48">
        <f t="shared" si="3"/>
        <v>96381.017741409683</v>
      </c>
      <c r="W19" s="48">
        <f t="shared" si="3"/>
        <v>106387.28208446213</v>
      </c>
      <c r="X19" s="48">
        <f t="shared" si="3"/>
        <v>117432.34856161126</v>
      </c>
      <c r="Y19" s="48">
        <f t="shared" si="3"/>
        <v>129623.55741676741</v>
      </c>
      <c r="Z19" s="48">
        <f t="shared" si="3"/>
        <v>143079.26215595641</v>
      </c>
      <c r="AA19" s="48">
        <f t="shared" si="3"/>
        <v>157933.03557920337</v>
      </c>
      <c r="AB19" s="48">
        <f t="shared" si="3"/>
        <v>174329.53393177158</v>
      </c>
      <c r="AC19" s="48">
        <f t="shared" si="3"/>
        <v>192426.45737210382</v>
      </c>
      <c r="AD19" s="48">
        <f t="shared" si="3"/>
        <v>212403.19174300681</v>
      </c>
      <c r="AE19" s="48">
        <f t="shared" si="3"/>
        <v>0</v>
      </c>
      <c r="AF19" s="48">
        <f t="shared" si="3"/>
        <v>0</v>
      </c>
      <c r="AG19" s="48">
        <f t="shared" si="3"/>
        <v>0</v>
      </c>
      <c r="AH19" s="48">
        <f t="shared" si="3"/>
        <v>0</v>
      </c>
      <c r="AI19" s="48">
        <f t="shared" si="3"/>
        <v>0</v>
      </c>
      <c r="AJ19" s="48">
        <f t="shared" si="3"/>
        <v>0</v>
      </c>
      <c r="AK19" s="48">
        <f t="shared" si="3"/>
        <v>0</v>
      </c>
      <c r="AL19" s="48">
        <f t="shared" si="3"/>
        <v>0</v>
      </c>
      <c r="AM19" s="48">
        <f t="shared" si="3"/>
        <v>0</v>
      </c>
      <c r="AN19" s="48">
        <f t="shared" si="3"/>
        <v>0</v>
      </c>
      <c r="AO19" s="48">
        <f t="shared" si="3"/>
        <v>0</v>
      </c>
    </row>
    <row r="20" spans="2:41" x14ac:dyDescent="0.25">
      <c r="B20" s="54" t="s">
        <v>55</v>
      </c>
      <c r="C20" s="55"/>
      <c r="D20" s="56">
        <f>D19/D12</f>
        <v>1045</v>
      </c>
      <c r="E20" s="55"/>
      <c r="G20" s="36"/>
      <c r="H20" s="35" t="s">
        <v>56</v>
      </c>
      <c r="I20" s="36"/>
      <c r="J20" s="36"/>
      <c r="K20" s="48">
        <f t="shared" ref="K20:AO20" si="4">K169*$D$12*((1+$C$23)^K11)</f>
        <v>1476.2758714285715</v>
      </c>
      <c r="L20" s="48">
        <f t="shared" si="4"/>
        <v>1543.4464235785713</v>
      </c>
      <c r="M20" s="48">
        <f t="shared" si="4"/>
        <v>1613.6732358513964</v>
      </c>
      <c r="N20" s="48">
        <f t="shared" si="4"/>
        <v>1687.0953680826346</v>
      </c>
      <c r="O20" s="48">
        <f t="shared" si="4"/>
        <v>1763.8582073303946</v>
      </c>
      <c r="P20" s="48">
        <f t="shared" si="4"/>
        <v>1844.1137557639274</v>
      </c>
      <c r="Q20" s="48">
        <f t="shared" si="4"/>
        <v>1928.0209316511859</v>
      </c>
      <c r="R20" s="48">
        <f t="shared" si="4"/>
        <v>2015.7458840413146</v>
      </c>
      <c r="S20" s="48">
        <f t="shared" si="4"/>
        <v>2107.4623217651938</v>
      </c>
      <c r="T20" s="48">
        <f t="shared" si="4"/>
        <v>2203.3518574055106</v>
      </c>
      <c r="U20" s="48">
        <f t="shared" si="4"/>
        <v>2303.604366917461</v>
      </c>
      <c r="V20" s="48">
        <f t="shared" si="4"/>
        <v>2408.4183656122054</v>
      </c>
      <c r="W20" s="48">
        <f t="shared" si="4"/>
        <v>2518.0014012475604</v>
      </c>
      <c r="X20" s="48">
        <f t="shared" si="4"/>
        <v>2632.5704650043249</v>
      </c>
      <c r="Y20" s="48">
        <f t="shared" si="4"/>
        <v>2752.3524211620211</v>
      </c>
      <c r="Z20" s="48">
        <f t="shared" si="4"/>
        <v>2874.8617850982801</v>
      </c>
      <c r="AA20" s="48">
        <f t="shared" si="4"/>
        <v>3002.327917602282</v>
      </c>
      <c r="AB20" s="48">
        <f t="shared" si="4"/>
        <v>3134.3705681157981</v>
      </c>
      <c r="AC20" s="48">
        <f t="shared" si="4"/>
        <v>3271.1388962064802</v>
      </c>
      <c r="AD20" s="48">
        <f t="shared" si="4"/>
        <v>3412.7866590966319</v>
      </c>
      <c r="AE20" s="48">
        <f t="shared" si="4"/>
        <v>3498.1063255740473</v>
      </c>
      <c r="AF20" s="48">
        <f t="shared" si="4"/>
        <v>3684.4454424359947</v>
      </c>
      <c r="AG20" s="48">
        <f t="shared" si="4"/>
        <v>3852.0877100668326</v>
      </c>
      <c r="AH20" s="48">
        <f t="shared" si="4"/>
        <v>4027.3577008748734</v>
      </c>
      <c r="AI20" s="48">
        <f t="shared" si="4"/>
        <v>4210.6024762646794</v>
      </c>
      <c r="AJ20" s="48">
        <f t="shared" si="4"/>
        <v>4402.184888934722</v>
      </c>
      <c r="AK20" s="48">
        <f t="shared" si="4"/>
        <v>4602.4843013812524</v>
      </c>
      <c r="AL20" s="48">
        <f t="shared" si="4"/>
        <v>4811.8973370940976</v>
      </c>
      <c r="AM20" s="48">
        <f t="shared" si="4"/>
        <v>5030.8386659318812</v>
      </c>
      <c r="AN20" s="48">
        <f t="shared" si="4"/>
        <v>5259.7418252317793</v>
      </c>
      <c r="AO20" s="48">
        <f t="shared" si="4"/>
        <v>5499.0600782798274</v>
      </c>
    </row>
    <row r="21" spans="2:41" x14ac:dyDescent="0.25">
      <c r="B21" s="57"/>
      <c r="D21" s="58"/>
    </row>
    <row r="22" spans="2:41" x14ac:dyDescent="0.25">
      <c r="B22" s="2" t="s">
        <v>57</v>
      </c>
      <c r="C22" s="29"/>
      <c r="D22" s="29"/>
      <c r="E22" s="29"/>
      <c r="G22" s="50" t="s">
        <v>58</v>
      </c>
      <c r="H22" s="59"/>
      <c r="I22" s="59"/>
      <c r="J22" s="60">
        <f t="shared" ref="J22:AO22" si="5">SUM(J12:J20)</f>
        <v>-2693444.5</v>
      </c>
      <c r="K22" s="60">
        <f t="shared" si="5"/>
        <v>444286.15560949693</v>
      </c>
      <c r="L22" s="60">
        <f t="shared" si="5"/>
        <v>165984.17030952545</v>
      </c>
      <c r="M22" s="60">
        <f t="shared" si="5"/>
        <v>183658.66548256663</v>
      </c>
      <c r="N22" s="60">
        <f t="shared" si="5"/>
        <v>203413.83124936529</v>
      </c>
      <c r="O22" s="60">
        <f t="shared" si="5"/>
        <v>225215.17322872271</v>
      </c>
      <c r="P22" s="60">
        <f t="shared" si="5"/>
        <v>249578.65841978716</v>
      </c>
      <c r="Q22" s="60">
        <f t="shared" si="5"/>
        <v>276138.42088618985</v>
      </c>
      <c r="R22" s="60">
        <f t="shared" si="5"/>
        <v>118263.12337740671</v>
      </c>
      <c r="S22" s="60">
        <f t="shared" si="5"/>
        <v>73996.778019953912</v>
      </c>
      <c r="T22" s="60">
        <f t="shared" si="5"/>
        <v>82037.231297323626</v>
      </c>
      <c r="U22" s="60">
        <f t="shared" si="5"/>
        <v>266038.92558001622</v>
      </c>
      <c r="V22" s="60">
        <f t="shared" si="5"/>
        <v>98789.436107021887</v>
      </c>
      <c r="W22" s="60">
        <f t="shared" si="5"/>
        <v>108905.28348570969</v>
      </c>
      <c r="X22" s="60">
        <f t="shared" si="5"/>
        <v>120064.91902661558</v>
      </c>
      <c r="Y22" s="60">
        <f t="shared" si="5"/>
        <v>132375.90983792942</v>
      </c>
      <c r="Z22" s="60">
        <f t="shared" si="5"/>
        <v>166560.60210952142</v>
      </c>
      <c r="AA22" s="60">
        <f t="shared" si="5"/>
        <v>160935.36349680566</v>
      </c>
      <c r="AB22" s="60">
        <f t="shared" si="5"/>
        <v>177463.90449988737</v>
      </c>
      <c r="AC22" s="60">
        <f t="shared" si="5"/>
        <v>195697.5962683103</v>
      </c>
      <c r="AD22" s="60">
        <f t="shared" si="5"/>
        <v>215815.97840210344</v>
      </c>
      <c r="AE22" s="60">
        <f t="shared" si="5"/>
        <v>1085898.5030270454</v>
      </c>
      <c r="AF22" s="60">
        <f t="shared" si="5"/>
        <v>3684.4454424359947</v>
      </c>
      <c r="AG22" s="60">
        <f t="shared" si="5"/>
        <v>3852.0877100668326</v>
      </c>
      <c r="AH22" s="60">
        <f t="shared" si="5"/>
        <v>4027.3577008748734</v>
      </c>
      <c r="AI22" s="60">
        <f t="shared" si="5"/>
        <v>4210.6024762646794</v>
      </c>
      <c r="AJ22" s="60">
        <f t="shared" si="5"/>
        <v>783595.90145861683</v>
      </c>
      <c r="AK22" s="60">
        <f t="shared" si="5"/>
        <v>4602.4843013812524</v>
      </c>
      <c r="AL22" s="60">
        <f t="shared" si="5"/>
        <v>4811.8973370940976</v>
      </c>
      <c r="AM22" s="60">
        <f t="shared" si="5"/>
        <v>5030.8386659318812</v>
      </c>
      <c r="AN22" s="60">
        <f t="shared" si="5"/>
        <v>5259.7418252317793</v>
      </c>
      <c r="AO22" s="60">
        <f t="shared" si="5"/>
        <v>1836819.193262256</v>
      </c>
    </row>
    <row r="23" spans="2:41" x14ac:dyDescent="0.25">
      <c r="B23" s="33" t="s">
        <v>59</v>
      </c>
      <c r="C23" s="61">
        <v>2.5000000000000001E-2</v>
      </c>
      <c r="D23" s="33" t="s">
        <v>60</v>
      </c>
      <c r="E23" s="33"/>
    </row>
    <row r="24" spans="2:41" x14ac:dyDescent="0.25">
      <c r="B24" s="62" t="s">
        <v>61</v>
      </c>
      <c r="C24" s="63">
        <v>1.4999999999999999E-2</v>
      </c>
      <c r="D24" s="57"/>
      <c r="E24" s="57"/>
      <c r="G24" s="40" t="s">
        <v>62</v>
      </c>
    </row>
    <row r="25" spans="2:41" x14ac:dyDescent="0.25">
      <c r="B25" s="62" t="s">
        <v>63</v>
      </c>
      <c r="C25" s="64">
        <v>0.01</v>
      </c>
      <c r="D25" s="62" t="s">
        <v>64</v>
      </c>
      <c r="E25" s="62"/>
      <c r="G25" s="36"/>
      <c r="H25" s="36" t="str">
        <f t="shared" ref="H25:H31" si="6">B45</f>
        <v>Property Management</v>
      </c>
      <c r="I25" s="36"/>
      <c r="J25" s="36"/>
      <c r="K25" s="41">
        <f t="shared" ref="K25:K32" si="7">$C45*$D$12*((1+$C$23)^K$11)</f>
        <v>17729.783750000002</v>
      </c>
      <c r="L25" s="41">
        <f>K25*(1+$C$24)*(1+$C$23)</f>
        <v>18445.623768906251</v>
      </c>
      <c r="M25" s="41">
        <f t="shared" ref="M25:AB25" si="8">L25*(1+$C$24)*(1+$C$23)</f>
        <v>19190.365828575836</v>
      </c>
      <c r="N25" s="41">
        <f t="shared" si="8"/>
        <v>19965.176848904579</v>
      </c>
      <c r="O25" s="41">
        <f t="shared" si="8"/>
        <v>20771.2708641791</v>
      </c>
      <c r="P25" s="41">
        <f t="shared" si="8"/>
        <v>21609.910925320328</v>
      </c>
      <c r="Q25" s="41">
        <f t="shared" si="8"/>
        <v>22482.41107893013</v>
      </c>
      <c r="R25" s="41">
        <f t="shared" si="8"/>
        <v>23390.138426241931</v>
      </c>
      <c r="S25" s="41">
        <f t="shared" si="8"/>
        <v>24334.515265201444</v>
      </c>
      <c r="T25" s="41">
        <f t="shared" si="8"/>
        <v>25317.021319033945</v>
      </c>
      <c r="U25" s="41">
        <f t="shared" si="8"/>
        <v>26339.196054789936</v>
      </c>
      <c r="V25" s="41">
        <f t="shared" si="8"/>
        <v>27402.641095502073</v>
      </c>
      <c r="W25" s="41">
        <f t="shared" si="8"/>
        <v>28509.022729732962</v>
      </c>
      <c r="X25" s="41">
        <f t="shared" si="8"/>
        <v>29660.074522445924</v>
      </c>
      <c r="Y25" s="41">
        <f t="shared" si="8"/>
        <v>30857.600031289672</v>
      </c>
      <c r="Z25" s="41">
        <f t="shared" si="8"/>
        <v>32103.475632552985</v>
      </c>
      <c r="AA25" s="41">
        <f t="shared" si="8"/>
        <v>33399.653461217305</v>
      </c>
      <c r="AB25" s="41">
        <f t="shared" si="8"/>
        <v>34748.164469713949</v>
      </c>
      <c r="AC25" s="41">
        <f t="shared" ref="AB25:AO32" si="9">AB25*(1+$C$24)*(1+$C$23)</f>
        <v>36151.121610178641</v>
      </c>
      <c r="AD25" s="41">
        <f t="shared" si="9"/>
        <v>37610.7231451896</v>
      </c>
      <c r="AE25" s="41">
        <f t="shared" si="9"/>
        <v>39129.25609217662</v>
      </c>
      <c r="AF25" s="41">
        <f t="shared" si="9"/>
        <v>40709.099806898244</v>
      </c>
      <c r="AG25" s="41">
        <f t="shared" si="9"/>
        <v>42352.729711601758</v>
      </c>
      <c r="AH25" s="41">
        <f t="shared" si="9"/>
        <v>44062.721173707672</v>
      </c>
      <c r="AI25" s="41">
        <f t="shared" si="9"/>
        <v>45841.753541096106</v>
      </c>
      <c r="AJ25" s="41">
        <f t="shared" si="9"/>
        <v>47692.61434031785</v>
      </c>
      <c r="AK25" s="41">
        <f t="shared" si="9"/>
        <v>49618.203644308174</v>
      </c>
      <c r="AL25" s="41">
        <f t="shared" si="9"/>
        <v>51621.538616447113</v>
      </c>
      <c r="AM25" s="41">
        <f t="shared" si="9"/>
        <v>53705.758238086157</v>
      </c>
      <c r="AN25" s="41">
        <f t="shared" si="9"/>
        <v>55874.128226948873</v>
      </c>
      <c r="AO25" s="41">
        <f t="shared" si="9"/>
        <v>58130.046154111922</v>
      </c>
    </row>
    <row r="26" spans="2:41" x14ac:dyDescent="0.25">
      <c r="B26" s="57"/>
      <c r="D26" s="58"/>
      <c r="G26" s="36"/>
      <c r="H26" s="36" t="str">
        <f t="shared" si="6"/>
        <v>Road Costs</v>
      </c>
      <c r="I26" s="36"/>
      <c r="J26" s="36"/>
      <c r="K26" s="41">
        <f t="shared" si="7"/>
        <v>10131.305</v>
      </c>
      <c r="L26" s="41">
        <f t="shared" ref="L26:AA32" si="10">K26*(1+$C$24)*(1+$C$23)</f>
        <v>10540.356439374998</v>
      </c>
      <c r="M26" s="41">
        <f t="shared" si="10"/>
        <v>10965.923330614762</v>
      </c>
      <c r="N26" s="41">
        <f t="shared" si="10"/>
        <v>11408.672485088329</v>
      </c>
      <c r="O26" s="41">
        <f t="shared" si="10"/>
        <v>11869.297636673769</v>
      </c>
      <c r="P26" s="41">
        <f t="shared" si="10"/>
        <v>12348.52052875447</v>
      </c>
      <c r="Q26" s="41">
        <f t="shared" si="10"/>
        <v>12847.092045102931</v>
      </c>
      <c r="R26" s="41">
        <f t="shared" si="10"/>
        <v>13365.793386423959</v>
      </c>
      <c r="S26" s="41">
        <f t="shared" si="10"/>
        <v>13905.437294400825</v>
      </c>
      <c r="T26" s="41">
        <f t="shared" si="10"/>
        <v>14466.869325162255</v>
      </c>
      <c r="U26" s="41">
        <f t="shared" si="10"/>
        <v>15050.969174165679</v>
      </c>
      <c r="V26" s="41">
        <f t="shared" si="10"/>
        <v>15658.652054572616</v>
      </c>
      <c r="W26" s="41">
        <f t="shared" si="10"/>
        <v>16290.870131275982</v>
      </c>
      <c r="X26" s="41">
        <f t="shared" si="10"/>
        <v>16948.614012826245</v>
      </c>
      <c r="Y26" s="41">
        <f t="shared" si="10"/>
        <v>17632.914303594102</v>
      </c>
      <c r="Z26" s="41">
        <f t="shared" si="10"/>
        <v>18344.843218601713</v>
      </c>
      <c r="AA26" s="41">
        <f t="shared" si="10"/>
        <v>19085.516263552756</v>
      </c>
      <c r="AB26" s="41">
        <f t="shared" si="9"/>
        <v>19856.093982693692</v>
      </c>
      <c r="AC26" s="41">
        <f t="shared" si="9"/>
        <v>20657.783777244946</v>
      </c>
      <c r="AD26" s="41">
        <f t="shared" si="9"/>
        <v>21491.841797251207</v>
      </c>
      <c r="AE26" s="41">
        <f t="shared" si="9"/>
        <v>22359.574909815219</v>
      </c>
      <c r="AF26" s="41">
        <f t="shared" si="9"/>
        <v>23262.342746799004</v>
      </c>
      <c r="AG26" s="41">
        <f t="shared" si="9"/>
        <v>24201.559835201009</v>
      </c>
      <c r="AH26" s="41">
        <f t="shared" si="9"/>
        <v>25178.697813547245</v>
      </c>
      <c r="AI26" s="41">
        <f t="shared" si="9"/>
        <v>26195.287737769209</v>
      </c>
      <c r="AJ26" s="41">
        <f t="shared" si="9"/>
        <v>27252.922480181638</v>
      </c>
      <c r="AK26" s="41">
        <f t="shared" si="9"/>
        <v>28353.259225318965</v>
      </c>
      <c r="AL26" s="41">
        <f t="shared" si="9"/>
        <v>29498.022066541213</v>
      </c>
      <c r="AM26" s="41">
        <f t="shared" si="9"/>
        <v>30689.004707477809</v>
      </c>
      <c r="AN26" s="41">
        <f t="shared" si="9"/>
        <v>31928.07327254222</v>
      </c>
      <c r="AO26" s="41">
        <f t="shared" si="9"/>
        <v>33217.169230921107</v>
      </c>
    </row>
    <row r="27" spans="2:41" x14ac:dyDescent="0.25">
      <c r="B27" s="2" t="s">
        <v>65</v>
      </c>
      <c r="C27" s="65"/>
      <c r="D27" s="29"/>
      <c r="E27" s="2" t="s">
        <v>66</v>
      </c>
      <c r="G27" s="36"/>
      <c r="H27" s="36" t="str">
        <f t="shared" si="6"/>
        <v>Property &amp; Excise Tax</v>
      </c>
      <c r="I27" s="36"/>
      <c r="J27" s="36"/>
      <c r="K27" s="41">
        <f t="shared" si="7"/>
        <v>7345.1961249999995</v>
      </c>
      <c r="L27" s="41">
        <f t="shared" si="10"/>
        <v>7641.7584185468731</v>
      </c>
      <c r="M27" s="41">
        <f t="shared" si="10"/>
        <v>7950.2944146957025</v>
      </c>
      <c r="N27" s="41">
        <f t="shared" si="10"/>
        <v>8271.2875516890399</v>
      </c>
      <c r="O27" s="41">
        <f t="shared" si="10"/>
        <v>8605.2407865884834</v>
      </c>
      <c r="P27" s="41">
        <f t="shared" si="10"/>
        <v>8952.6773833469924</v>
      </c>
      <c r="Q27" s="41">
        <f t="shared" si="10"/>
        <v>9314.1417326996252</v>
      </c>
      <c r="R27" s="41">
        <f t="shared" si="10"/>
        <v>9690.2002051573709</v>
      </c>
      <c r="S27" s="41">
        <f t="shared" si="10"/>
        <v>10081.442038440598</v>
      </c>
      <c r="T27" s="41">
        <f t="shared" si="10"/>
        <v>10488.480260742637</v>
      </c>
      <c r="U27" s="41">
        <f t="shared" si="10"/>
        <v>10911.95265127012</v>
      </c>
      <c r="V27" s="41">
        <f t="shared" si="10"/>
        <v>11352.522739565147</v>
      </c>
      <c r="W27" s="41">
        <f t="shared" si="10"/>
        <v>11810.880845175087</v>
      </c>
      <c r="X27" s="41">
        <f t="shared" si="10"/>
        <v>12287.745159299029</v>
      </c>
      <c r="Y27" s="41">
        <f t="shared" si="10"/>
        <v>12783.862870105726</v>
      </c>
      <c r="Z27" s="41">
        <f t="shared" si="10"/>
        <v>13300.011333486244</v>
      </c>
      <c r="AA27" s="41">
        <f t="shared" si="10"/>
        <v>13836.999291075748</v>
      </c>
      <c r="AB27" s="41">
        <f t="shared" si="9"/>
        <v>14395.668137452929</v>
      </c>
      <c r="AC27" s="41">
        <f t="shared" si="9"/>
        <v>14976.893238502587</v>
      </c>
      <c r="AD27" s="41">
        <f t="shared" si="9"/>
        <v>15581.585303007127</v>
      </c>
      <c r="AE27" s="41">
        <f t="shared" si="9"/>
        <v>16210.691809616037</v>
      </c>
      <c r="AF27" s="41">
        <f t="shared" si="9"/>
        <v>16865.198491429281</v>
      </c>
      <c r="AG27" s="41">
        <f t="shared" si="9"/>
        <v>17546.130880520734</v>
      </c>
      <c r="AH27" s="41">
        <f t="shared" si="9"/>
        <v>18254.555914821754</v>
      </c>
      <c r="AI27" s="41">
        <f t="shared" si="9"/>
        <v>18991.58360988268</v>
      </c>
      <c r="AJ27" s="41">
        <f t="shared" si="9"/>
        <v>19758.368798131687</v>
      </c>
      <c r="AK27" s="41">
        <f t="shared" si="9"/>
        <v>20556.112938356251</v>
      </c>
      <c r="AL27" s="41">
        <f t="shared" si="9"/>
        <v>21386.065998242382</v>
      </c>
      <c r="AM27" s="41">
        <f t="shared" si="9"/>
        <v>22249.528412921412</v>
      </c>
      <c r="AN27" s="41">
        <f t="shared" si="9"/>
        <v>23147.853122593111</v>
      </c>
      <c r="AO27" s="41">
        <f t="shared" si="9"/>
        <v>24082.447692417802</v>
      </c>
    </row>
    <row r="28" spans="2:41" x14ac:dyDescent="0.25">
      <c r="B28" s="33" t="s">
        <v>67</v>
      </c>
      <c r="C28" s="66">
        <f>D28/D19</f>
        <v>0.17169999999999999</v>
      </c>
      <c r="D28" s="67">
        <f>SUM(D66:D72)</f>
        <v>886743.70565000002</v>
      </c>
      <c r="E28" s="67">
        <f>MIN(K56:AO56)</f>
        <v>362613.0458097118</v>
      </c>
      <c r="G28" s="36"/>
      <c r="H28" s="36" t="str">
        <f t="shared" si="6"/>
        <v>Other Admin</v>
      </c>
      <c r="I28" s="36"/>
      <c r="J28" s="36"/>
      <c r="K28" s="41">
        <f t="shared" si="7"/>
        <v>6332.0656249999993</v>
      </c>
      <c r="L28" s="41">
        <f t="shared" si="10"/>
        <v>6587.7227746093731</v>
      </c>
      <c r="M28" s="41">
        <f t="shared" si="10"/>
        <v>6853.7020816342256</v>
      </c>
      <c r="N28" s="41">
        <f t="shared" si="10"/>
        <v>7130.4203031802053</v>
      </c>
      <c r="O28" s="41">
        <f t="shared" si="10"/>
        <v>7418.3110229211052</v>
      </c>
      <c r="P28" s="41">
        <f t="shared" si="10"/>
        <v>7717.8253304715436</v>
      </c>
      <c r="Q28" s="41">
        <f t="shared" si="10"/>
        <v>8029.4325281893307</v>
      </c>
      <c r="R28" s="41">
        <f t="shared" si="10"/>
        <v>8353.6208665149734</v>
      </c>
      <c r="S28" s="41">
        <f t="shared" si="10"/>
        <v>8690.8983090005131</v>
      </c>
      <c r="T28" s="41">
        <f t="shared" si="10"/>
        <v>9041.7933282264075</v>
      </c>
      <c r="U28" s="41">
        <f t="shared" si="10"/>
        <v>9406.8557338535466</v>
      </c>
      <c r="V28" s="41">
        <f t="shared" si="10"/>
        <v>9786.6575341078806</v>
      </c>
      <c r="W28" s="41">
        <f t="shared" si="10"/>
        <v>10181.793832047486</v>
      </c>
      <c r="X28" s="41">
        <f t="shared" si="10"/>
        <v>10592.883758016402</v>
      </c>
      <c r="Y28" s="41">
        <f t="shared" si="10"/>
        <v>11020.571439746313</v>
      </c>
      <c r="Z28" s="41">
        <f t="shared" si="10"/>
        <v>11465.527011626067</v>
      </c>
      <c r="AA28" s="41">
        <f t="shared" si="10"/>
        <v>11928.447664720466</v>
      </c>
      <c r="AB28" s="41">
        <f t="shared" si="9"/>
        <v>12410.058739183554</v>
      </c>
      <c r="AC28" s="41">
        <f t="shared" si="9"/>
        <v>12911.114860778087</v>
      </c>
      <c r="AD28" s="41">
        <f t="shared" si="9"/>
        <v>13432.401123281999</v>
      </c>
      <c r="AE28" s="41">
        <f t="shared" si="9"/>
        <v>13974.734318634508</v>
      </c>
      <c r="AF28" s="41">
        <f t="shared" si="9"/>
        <v>14538.964216749373</v>
      </c>
      <c r="AG28" s="41">
        <f t="shared" si="9"/>
        <v>15125.974897000628</v>
      </c>
      <c r="AH28" s="41">
        <f t="shared" si="9"/>
        <v>15736.686133467025</v>
      </c>
      <c r="AI28" s="41">
        <f t="shared" si="9"/>
        <v>16372.054836105754</v>
      </c>
      <c r="AJ28" s="41">
        <f t="shared" si="9"/>
        <v>17033.076550113521</v>
      </c>
      <c r="AK28" s="41">
        <f t="shared" si="9"/>
        <v>17720.787015824353</v>
      </c>
      <c r="AL28" s="41">
        <f t="shared" si="9"/>
        <v>18436.263791588259</v>
      </c>
      <c r="AM28" s="41">
        <f t="shared" si="9"/>
        <v>19180.627942173633</v>
      </c>
      <c r="AN28" s="41">
        <f t="shared" si="9"/>
        <v>19955.04579533889</v>
      </c>
      <c r="AO28" s="41">
        <f t="shared" si="9"/>
        <v>20760.730769325695</v>
      </c>
    </row>
    <row r="29" spans="2:41" x14ac:dyDescent="0.25">
      <c r="B29" s="33" t="s">
        <v>68</v>
      </c>
      <c r="C29" s="68">
        <v>0</v>
      </c>
      <c r="D29" s="67">
        <f>($D$19)*C29</f>
        <v>0</v>
      </c>
      <c r="E29" s="34"/>
      <c r="G29" s="36"/>
      <c r="H29" s="36" t="str">
        <f t="shared" si="6"/>
        <v>Other 1</v>
      </c>
      <c r="I29" s="36"/>
      <c r="J29" s="36"/>
      <c r="K29" s="41">
        <f t="shared" si="7"/>
        <v>0</v>
      </c>
      <c r="L29" s="41">
        <f t="shared" si="10"/>
        <v>0</v>
      </c>
      <c r="M29" s="41">
        <f t="shared" si="10"/>
        <v>0</v>
      </c>
      <c r="N29" s="41">
        <f t="shared" si="10"/>
        <v>0</v>
      </c>
      <c r="O29" s="41">
        <f t="shared" si="10"/>
        <v>0</v>
      </c>
      <c r="P29" s="41">
        <f t="shared" si="10"/>
        <v>0</v>
      </c>
      <c r="Q29" s="41">
        <f t="shared" si="10"/>
        <v>0</v>
      </c>
      <c r="R29" s="41">
        <f t="shared" si="10"/>
        <v>0</v>
      </c>
      <c r="S29" s="41">
        <f t="shared" si="10"/>
        <v>0</v>
      </c>
      <c r="T29" s="41">
        <f t="shared" si="10"/>
        <v>0</v>
      </c>
      <c r="U29" s="41">
        <f t="shared" si="10"/>
        <v>0</v>
      </c>
      <c r="V29" s="41">
        <f t="shared" si="10"/>
        <v>0</v>
      </c>
      <c r="W29" s="41">
        <f t="shared" si="10"/>
        <v>0</v>
      </c>
      <c r="X29" s="41">
        <f t="shared" si="10"/>
        <v>0</v>
      </c>
      <c r="Y29" s="41">
        <f t="shared" si="10"/>
        <v>0</v>
      </c>
      <c r="Z29" s="41">
        <f t="shared" si="10"/>
        <v>0</v>
      </c>
      <c r="AA29" s="41">
        <f t="shared" si="10"/>
        <v>0</v>
      </c>
      <c r="AB29" s="41">
        <f t="shared" si="9"/>
        <v>0</v>
      </c>
      <c r="AC29" s="41">
        <f t="shared" si="9"/>
        <v>0</v>
      </c>
      <c r="AD29" s="41">
        <f t="shared" si="9"/>
        <v>0</v>
      </c>
      <c r="AE29" s="41">
        <f t="shared" si="9"/>
        <v>0</v>
      </c>
      <c r="AF29" s="41">
        <f t="shared" si="9"/>
        <v>0</v>
      </c>
      <c r="AG29" s="41">
        <f t="shared" si="9"/>
        <v>0</v>
      </c>
      <c r="AH29" s="41">
        <f t="shared" si="9"/>
        <v>0</v>
      </c>
      <c r="AI29" s="41">
        <f t="shared" si="9"/>
        <v>0</v>
      </c>
      <c r="AJ29" s="41">
        <f t="shared" si="9"/>
        <v>0</v>
      </c>
      <c r="AK29" s="41">
        <f t="shared" si="9"/>
        <v>0</v>
      </c>
      <c r="AL29" s="41">
        <f t="shared" si="9"/>
        <v>0</v>
      </c>
      <c r="AM29" s="41">
        <f t="shared" si="9"/>
        <v>0</v>
      </c>
      <c r="AN29" s="41">
        <f t="shared" si="9"/>
        <v>0</v>
      </c>
      <c r="AO29" s="41">
        <f t="shared" si="9"/>
        <v>0</v>
      </c>
    </row>
    <row r="30" spans="2:41" x14ac:dyDescent="0.25">
      <c r="B30" s="33" t="s">
        <v>69</v>
      </c>
      <c r="C30" s="66">
        <f>D30/-J12</f>
        <v>0.34983110047846894</v>
      </c>
      <c r="D30" s="67">
        <f>D19-(D28+D29+D31+D32)</f>
        <v>1806700.7943500001</v>
      </c>
      <c r="E30" s="67"/>
      <c r="G30" s="36"/>
      <c r="H30" s="36" t="str">
        <f t="shared" si="6"/>
        <v>Other 2</v>
      </c>
      <c r="I30" s="36"/>
      <c r="J30" s="36"/>
      <c r="K30" s="41">
        <f t="shared" si="7"/>
        <v>0</v>
      </c>
      <c r="L30" s="41">
        <f t="shared" si="10"/>
        <v>0</v>
      </c>
      <c r="M30" s="41">
        <f t="shared" si="10"/>
        <v>0</v>
      </c>
      <c r="N30" s="41">
        <f t="shared" si="10"/>
        <v>0</v>
      </c>
      <c r="O30" s="41">
        <f t="shared" si="10"/>
        <v>0</v>
      </c>
      <c r="P30" s="41">
        <f t="shared" si="10"/>
        <v>0</v>
      </c>
      <c r="Q30" s="41">
        <f t="shared" si="10"/>
        <v>0</v>
      </c>
      <c r="R30" s="41">
        <f t="shared" si="10"/>
        <v>0</v>
      </c>
      <c r="S30" s="41">
        <f t="shared" si="10"/>
        <v>0</v>
      </c>
      <c r="T30" s="41">
        <f t="shared" si="10"/>
        <v>0</v>
      </c>
      <c r="U30" s="41">
        <f t="shared" si="10"/>
        <v>0</v>
      </c>
      <c r="V30" s="41">
        <f t="shared" si="10"/>
        <v>0</v>
      </c>
      <c r="W30" s="41">
        <f t="shared" si="10"/>
        <v>0</v>
      </c>
      <c r="X30" s="41">
        <f t="shared" si="10"/>
        <v>0</v>
      </c>
      <c r="Y30" s="41">
        <f t="shared" si="10"/>
        <v>0</v>
      </c>
      <c r="Z30" s="41">
        <f t="shared" si="10"/>
        <v>0</v>
      </c>
      <c r="AA30" s="41">
        <f t="shared" si="10"/>
        <v>0</v>
      </c>
      <c r="AB30" s="41">
        <f t="shared" si="9"/>
        <v>0</v>
      </c>
      <c r="AC30" s="41">
        <f t="shared" si="9"/>
        <v>0</v>
      </c>
      <c r="AD30" s="41">
        <f t="shared" si="9"/>
        <v>0</v>
      </c>
      <c r="AE30" s="41">
        <f t="shared" si="9"/>
        <v>0</v>
      </c>
      <c r="AF30" s="41">
        <f t="shared" si="9"/>
        <v>0</v>
      </c>
      <c r="AG30" s="41">
        <f t="shared" si="9"/>
        <v>0</v>
      </c>
      <c r="AH30" s="41">
        <f t="shared" si="9"/>
        <v>0</v>
      </c>
      <c r="AI30" s="41">
        <f t="shared" si="9"/>
        <v>0</v>
      </c>
      <c r="AJ30" s="41">
        <f t="shared" si="9"/>
        <v>0</v>
      </c>
      <c r="AK30" s="41">
        <f t="shared" si="9"/>
        <v>0</v>
      </c>
      <c r="AL30" s="41">
        <f t="shared" si="9"/>
        <v>0</v>
      </c>
      <c r="AM30" s="41">
        <f t="shared" si="9"/>
        <v>0</v>
      </c>
      <c r="AN30" s="41">
        <f t="shared" si="9"/>
        <v>0</v>
      </c>
      <c r="AO30" s="41">
        <f t="shared" si="9"/>
        <v>0</v>
      </c>
    </row>
    <row r="31" spans="2:41" x14ac:dyDescent="0.25">
      <c r="B31" s="33" t="s">
        <v>70</v>
      </c>
      <c r="C31" s="66">
        <f>J15/D19</f>
        <v>0.4784688995215311</v>
      </c>
      <c r="D31" s="67">
        <f>J15</f>
        <v>2471050</v>
      </c>
      <c r="E31" s="33"/>
      <c r="G31" s="36"/>
      <c r="H31" s="36" t="str">
        <f t="shared" si="6"/>
        <v>Other 3</v>
      </c>
      <c r="I31" s="36"/>
      <c r="J31" s="36"/>
      <c r="K31" s="41">
        <f t="shared" si="7"/>
        <v>0</v>
      </c>
      <c r="L31" s="41">
        <f t="shared" si="10"/>
        <v>0</v>
      </c>
      <c r="M31" s="41">
        <f t="shared" si="10"/>
        <v>0</v>
      </c>
      <c r="N31" s="41">
        <f t="shared" si="10"/>
        <v>0</v>
      </c>
      <c r="O31" s="41">
        <f t="shared" si="10"/>
        <v>0</v>
      </c>
      <c r="P31" s="41">
        <f t="shared" si="10"/>
        <v>0</v>
      </c>
      <c r="Q31" s="41">
        <f t="shared" si="10"/>
        <v>0</v>
      </c>
      <c r="R31" s="41">
        <f t="shared" si="10"/>
        <v>0</v>
      </c>
      <c r="S31" s="41">
        <f t="shared" si="10"/>
        <v>0</v>
      </c>
      <c r="T31" s="41">
        <f t="shared" si="10"/>
        <v>0</v>
      </c>
      <c r="U31" s="41">
        <f t="shared" si="10"/>
        <v>0</v>
      </c>
      <c r="V31" s="41">
        <f t="shared" si="10"/>
        <v>0</v>
      </c>
      <c r="W31" s="41">
        <f t="shared" si="10"/>
        <v>0</v>
      </c>
      <c r="X31" s="41">
        <f t="shared" si="10"/>
        <v>0</v>
      </c>
      <c r="Y31" s="41">
        <f t="shared" si="10"/>
        <v>0</v>
      </c>
      <c r="Z31" s="41">
        <f t="shared" si="10"/>
        <v>0</v>
      </c>
      <c r="AA31" s="41">
        <f t="shared" si="10"/>
        <v>0</v>
      </c>
      <c r="AB31" s="41">
        <f t="shared" si="9"/>
        <v>0</v>
      </c>
      <c r="AC31" s="41">
        <f t="shared" si="9"/>
        <v>0</v>
      </c>
      <c r="AD31" s="41">
        <f t="shared" si="9"/>
        <v>0</v>
      </c>
      <c r="AE31" s="41">
        <f t="shared" si="9"/>
        <v>0</v>
      </c>
      <c r="AF31" s="41">
        <f t="shared" si="9"/>
        <v>0</v>
      </c>
      <c r="AG31" s="41">
        <f t="shared" si="9"/>
        <v>0</v>
      </c>
      <c r="AH31" s="41">
        <f t="shared" si="9"/>
        <v>0</v>
      </c>
      <c r="AI31" s="41">
        <f t="shared" si="9"/>
        <v>0</v>
      </c>
      <c r="AJ31" s="41">
        <f t="shared" si="9"/>
        <v>0</v>
      </c>
      <c r="AK31" s="41">
        <f t="shared" si="9"/>
        <v>0</v>
      </c>
      <c r="AL31" s="41">
        <f t="shared" si="9"/>
        <v>0</v>
      </c>
      <c r="AM31" s="41">
        <f t="shared" si="9"/>
        <v>0</v>
      </c>
      <c r="AN31" s="41">
        <f t="shared" si="9"/>
        <v>0</v>
      </c>
      <c r="AO31" s="41">
        <f t="shared" si="9"/>
        <v>0</v>
      </c>
    </row>
    <row r="32" spans="2:41" x14ac:dyDescent="0.25">
      <c r="B32" s="69" t="s">
        <v>71</v>
      </c>
      <c r="C32" s="70">
        <f>D32/D19</f>
        <v>0</v>
      </c>
      <c r="D32" s="71">
        <v>0</v>
      </c>
      <c r="E32" s="72"/>
      <c r="G32" s="36"/>
      <c r="H32" s="35" t="s">
        <v>72</v>
      </c>
      <c r="I32" s="36"/>
      <c r="J32" s="36"/>
      <c r="K32" s="41">
        <f t="shared" si="7"/>
        <v>0</v>
      </c>
      <c r="L32" s="41">
        <f t="shared" si="10"/>
        <v>0</v>
      </c>
      <c r="M32" s="41">
        <f t="shared" si="10"/>
        <v>0</v>
      </c>
      <c r="N32" s="41">
        <f t="shared" si="10"/>
        <v>0</v>
      </c>
      <c r="O32" s="41">
        <f t="shared" si="10"/>
        <v>0</v>
      </c>
      <c r="P32" s="41">
        <f t="shared" si="10"/>
        <v>0</v>
      </c>
      <c r="Q32" s="41">
        <f t="shared" si="10"/>
        <v>0</v>
      </c>
      <c r="R32" s="41">
        <f t="shared" si="10"/>
        <v>0</v>
      </c>
      <c r="S32" s="41">
        <f t="shared" si="10"/>
        <v>0</v>
      </c>
      <c r="T32" s="41">
        <f t="shared" si="10"/>
        <v>0</v>
      </c>
      <c r="U32" s="41">
        <f t="shared" si="10"/>
        <v>0</v>
      </c>
      <c r="V32" s="41">
        <f t="shared" si="10"/>
        <v>0</v>
      </c>
      <c r="W32" s="41">
        <f t="shared" si="10"/>
        <v>0</v>
      </c>
      <c r="X32" s="41">
        <f t="shared" si="10"/>
        <v>0</v>
      </c>
      <c r="Y32" s="41">
        <f t="shared" si="10"/>
        <v>0</v>
      </c>
      <c r="Z32" s="41">
        <f t="shared" si="10"/>
        <v>0</v>
      </c>
      <c r="AA32" s="41">
        <f t="shared" si="10"/>
        <v>0</v>
      </c>
      <c r="AB32" s="41">
        <f t="shared" si="9"/>
        <v>0</v>
      </c>
      <c r="AC32" s="41">
        <f t="shared" si="9"/>
        <v>0</v>
      </c>
      <c r="AD32" s="41">
        <f t="shared" si="9"/>
        <v>0</v>
      </c>
      <c r="AE32" s="41">
        <f t="shared" si="9"/>
        <v>0</v>
      </c>
      <c r="AF32" s="41">
        <f t="shared" si="9"/>
        <v>0</v>
      </c>
      <c r="AG32" s="41">
        <f t="shared" si="9"/>
        <v>0</v>
      </c>
      <c r="AH32" s="41">
        <f t="shared" si="9"/>
        <v>0</v>
      </c>
      <c r="AI32" s="41">
        <f t="shared" si="9"/>
        <v>0</v>
      </c>
      <c r="AJ32" s="41">
        <f t="shared" si="9"/>
        <v>0</v>
      </c>
      <c r="AK32" s="41">
        <f t="shared" si="9"/>
        <v>0</v>
      </c>
      <c r="AL32" s="41">
        <f t="shared" si="9"/>
        <v>0</v>
      </c>
      <c r="AM32" s="41">
        <f t="shared" si="9"/>
        <v>0</v>
      </c>
      <c r="AN32" s="41">
        <f t="shared" si="9"/>
        <v>0</v>
      </c>
      <c r="AO32" s="41">
        <f t="shared" si="9"/>
        <v>0</v>
      </c>
    </row>
    <row r="33" spans="2:41" x14ac:dyDescent="0.25">
      <c r="B33" s="54" t="s">
        <v>73</v>
      </c>
      <c r="C33" s="73">
        <f>SUM(C28:C32)</f>
        <v>1</v>
      </c>
      <c r="D33" s="74">
        <f>SUM(D28:D32)</f>
        <v>5164494.5</v>
      </c>
      <c r="E33" s="75">
        <f>D19-D33</f>
        <v>0</v>
      </c>
      <c r="G33" s="36"/>
      <c r="H33" s="62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</row>
    <row r="34" spans="2:41" x14ac:dyDescent="0.25">
      <c r="B34" s="57"/>
      <c r="C34" s="76"/>
      <c r="D34" s="12"/>
      <c r="E34" s="12"/>
      <c r="G34" s="40" t="s">
        <v>74</v>
      </c>
    </row>
    <row r="35" spans="2:41" x14ac:dyDescent="0.25">
      <c r="B35" s="2" t="s">
        <v>44</v>
      </c>
      <c r="C35" s="2" t="s">
        <v>75</v>
      </c>
      <c r="D35" s="29"/>
      <c r="E35" s="2" t="s">
        <v>76</v>
      </c>
      <c r="G35" s="36"/>
      <c r="H35" s="36" t="str">
        <f t="shared" ref="H35:H40" si="11">B55</f>
        <v>Pre-Commercial Thinning</v>
      </c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</row>
    <row r="36" spans="2:41" x14ac:dyDescent="0.25">
      <c r="B36" s="33" t="s">
        <v>77</v>
      </c>
      <c r="C36" s="42">
        <v>0.5</v>
      </c>
      <c r="D36" s="67">
        <f>E36*D13</f>
        <v>500</v>
      </c>
      <c r="E36" s="77">
        <f>1-C36</f>
        <v>0.5</v>
      </c>
      <c r="G36" s="36"/>
      <c r="H36" s="36" t="str">
        <f t="shared" si="11"/>
        <v>Timber Stand Improvement</v>
      </c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</row>
    <row r="37" spans="2:41" x14ac:dyDescent="0.25">
      <c r="B37" s="33" t="s">
        <v>78</v>
      </c>
      <c r="C37" s="78">
        <v>1</v>
      </c>
      <c r="E37" s="34"/>
      <c r="G37" s="36"/>
      <c r="H37" s="36" t="str">
        <f t="shared" si="11"/>
        <v>Herbicide</v>
      </c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</row>
    <row r="38" spans="2:41" x14ac:dyDescent="0.25">
      <c r="B38" s="33" t="s">
        <v>79</v>
      </c>
      <c r="C38" s="38">
        <v>0</v>
      </c>
      <c r="D38" s="78"/>
      <c r="E38" s="34"/>
      <c r="G38" s="36"/>
      <c r="H38" s="36" t="str">
        <f t="shared" si="11"/>
        <v>Pruning</v>
      </c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</row>
    <row r="39" spans="2:41" x14ac:dyDescent="0.25">
      <c r="B39" s="33" t="s">
        <v>80</v>
      </c>
      <c r="C39" s="42">
        <f>'[1]Output from Pool'!F11</f>
        <v>0</v>
      </c>
      <c r="D39" s="33"/>
      <c r="E39" s="33"/>
      <c r="G39" s="36"/>
      <c r="H39" s="36" t="str">
        <f t="shared" si="11"/>
        <v>Planted Trees</v>
      </c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</row>
    <row r="40" spans="2:41" x14ac:dyDescent="0.25">
      <c r="B40" s="33" t="s">
        <v>81</v>
      </c>
      <c r="C40" s="42">
        <f>'[1]Output from Pool'!G11</f>
        <v>0</v>
      </c>
      <c r="D40" s="33"/>
      <c r="E40" s="33"/>
      <c r="G40" s="36"/>
      <c r="H40" s="36" t="str">
        <f t="shared" si="11"/>
        <v>Planting Costs</v>
      </c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</row>
    <row r="41" spans="2:41" x14ac:dyDescent="0.25">
      <c r="B41" s="33" t="s">
        <v>82</v>
      </c>
      <c r="C41" s="42">
        <f>'[1]Output from Pool'!H11</f>
        <v>0</v>
      </c>
      <c r="D41" s="33"/>
      <c r="E41" s="33"/>
      <c r="G41" s="36"/>
      <c r="H41" s="62"/>
      <c r="I41" s="63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</row>
    <row r="42" spans="2:41" x14ac:dyDescent="0.25">
      <c r="B42" s="33" t="s">
        <v>83</v>
      </c>
      <c r="C42" s="79">
        <f>IF(C38=0,0,(1-(C39+C40+C41)))</f>
        <v>0</v>
      </c>
      <c r="D42" s="80">
        <f>(1-(C39+C40+C41))*MAX(K15:O15)</f>
        <v>0</v>
      </c>
      <c r="E42" s="33"/>
      <c r="G42" s="50" t="s">
        <v>84</v>
      </c>
      <c r="H42" s="59"/>
      <c r="I42" s="59"/>
      <c r="J42" s="60">
        <f t="shared" ref="J42:AO42" si="12">SUM(J24:J32)-SUM(J35:J41)</f>
        <v>0</v>
      </c>
      <c r="K42" s="60">
        <f t="shared" si="12"/>
        <v>41538.3505</v>
      </c>
      <c r="L42" s="60">
        <f t="shared" si="12"/>
        <v>43215.461401437497</v>
      </c>
      <c r="M42" s="60">
        <f t="shared" si="12"/>
        <v>44960.285655520529</v>
      </c>
      <c r="N42" s="60">
        <f t="shared" si="12"/>
        <v>46775.557188862149</v>
      </c>
      <c r="O42" s="60">
        <f t="shared" si="12"/>
        <v>48664.120310362458</v>
      </c>
      <c r="P42" s="60">
        <f t="shared" si="12"/>
        <v>50628.934167893342</v>
      </c>
      <c r="Q42" s="60">
        <f t="shared" si="12"/>
        <v>52673.077384922013</v>
      </c>
      <c r="R42" s="60">
        <f t="shared" si="12"/>
        <v>54799.752884338239</v>
      </c>
      <c r="S42" s="60">
        <f t="shared" si="12"/>
        <v>57012.292907043382</v>
      </c>
      <c r="T42" s="60">
        <f t="shared" si="12"/>
        <v>59314.164233165247</v>
      </c>
      <c r="U42" s="60">
        <f t="shared" si="12"/>
        <v>61708.973614079281</v>
      </c>
      <c r="V42" s="60">
        <f t="shared" si="12"/>
        <v>64200.473423747717</v>
      </c>
      <c r="W42" s="60">
        <f t="shared" si="12"/>
        <v>66792.567538231524</v>
      </c>
      <c r="X42" s="60">
        <f t="shared" si="12"/>
        <v>69489.317452587595</v>
      </c>
      <c r="Y42" s="60">
        <f t="shared" si="12"/>
        <v>72294.948644735807</v>
      </c>
      <c r="Z42" s="60">
        <f t="shared" si="12"/>
        <v>75213.85719626701</v>
      </c>
      <c r="AA42" s="60">
        <f t="shared" si="12"/>
        <v>78250.61668056628</v>
      </c>
      <c r="AB42" s="60">
        <f t="shared" si="12"/>
        <v>81409.985329044124</v>
      </c>
      <c r="AC42" s="60">
        <f t="shared" si="12"/>
        <v>84696.913486704259</v>
      </c>
      <c r="AD42" s="60">
        <f t="shared" si="12"/>
        <v>88116.551368729939</v>
      </c>
      <c r="AE42" s="60">
        <f t="shared" si="12"/>
        <v>91674.257130242389</v>
      </c>
      <c r="AF42" s="60">
        <f t="shared" si="12"/>
        <v>95375.605261875899</v>
      </c>
      <c r="AG42" s="60">
        <f t="shared" si="12"/>
        <v>99226.395324324141</v>
      </c>
      <c r="AH42" s="60">
        <f t="shared" si="12"/>
        <v>103232.6610355437</v>
      </c>
      <c r="AI42" s="60">
        <f t="shared" si="12"/>
        <v>107400.67972485376</v>
      </c>
      <c r="AJ42" s="60">
        <f t="shared" si="12"/>
        <v>111736.9821687447</v>
      </c>
      <c r="AK42" s="60">
        <f t="shared" si="12"/>
        <v>116248.36282380775</v>
      </c>
      <c r="AL42" s="60">
        <f t="shared" si="12"/>
        <v>120941.89047281895</v>
      </c>
      <c r="AM42" s="60">
        <f t="shared" si="12"/>
        <v>125824.91930065901</v>
      </c>
      <c r="AN42" s="60">
        <f t="shared" si="12"/>
        <v>130905.10041742309</v>
      </c>
      <c r="AO42" s="60">
        <f t="shared" si="12"/>
        <v>136190.39384677651</v>
      </c>
    </row>
    <row r="44" spans="2:41" x14ac:dyDescent="0.25">
      <c r="B44" s="2" t="s">
        <v>85</v>
      </c>
      <c r="C44" s="81" t="s">
        <v>86</v>
      </c>
      <c r="D44" s="81" t="s">
        <v>87</v>
      </c>
      <c r="E44" s="81" t="s">
        <v>88</v>
      </c>
      <c r="G44" s="82" t="s">
        <v>89</v>
      </c>
      <c r="H44" s="83"/>
      <c r="I44" s="83"/>
      <c r="J44" s="84">
        <f>J22-SUM(J24:J32)-SUM(J35:J41)</f>
        <v>-2693444.5</v>
      </c>
      <c r="K44" s="84">
        <f t="shared" ref="K44:AO44" si="13">K22-SUM(K25:K32)-SUM(K35:K41)</f>
        <v>402747.80510949693</v>
      </c>
      <c r="L44" s="84">
        <f t="shared" si="13"/>
        <v>122768.70890808795</v>
      </c>
      <c r="M44" s="84">
        <f t="shared" si="13"/>
        <v>138698.3798270461</v>
      </c>
      <c r="N44" s="84">
        <f t="shared" si="13"/>
        <v>156638.27406050314</v>
      </c>
      <c r="O44" s="84">
        <f t="shared" si="13"/>
        <v>176551.05291836025</v>
      </c>
      <c r="P44" s="84">
        <f t="shared" si="13"/>
        <v>198949.72425189381</v>
      </c>
      <c r="Q44" s="84">
        <f t="shared" si="13"/>
        <v>223465.34350126784</v>
      </c>
      <c r="R44" s="84">
        <f t="shared" si="13"/>
        <v>63463.370493068469</v>
      </c>
      <c r="S44" s="84">
        <f t="shared" si="13"/>
        <v>16984.48511291053</v>
      </c>
      <c r="T44" s="84">
        <f t="shared" si="13"/>
        <v>22723.067064158378</v>
      </c>
      <c r="U44" s="84">
        <f t="shared" si="13"/>
        <v>204329.95196593693</v>
      </c>
      <c r="V44" s="84">
        <f t="shared" si="13"/>
        <v>34588.962683274171</v>
      </c>
      <c r="W44" s="84">
        <f t="shared" si="13"/>
        <v>42112.715947478166</v>
      </c>
      <c r="X44" s="84">
        <f t="shared" si="13"/>
        <v>50575.601574027984</v>
      </c>
      <c r="Y44" s="84">
        <f t="shared" si="13"/>
        <v>60080.961193193609</v>
      </c>
      <c r="Z44" s="84">
        <f t="shared" si="13"/>
        <v>91346.744913254413</v>
      </c>
      <c r="AA44" s="84">
        <f t="shared" si="13"/>
        <v>82684.746816239378</v>
      </c>
      <c r="AB44" s="84">
        <f t="shared" si="13"/>
        <v>96053.919170843248</v>
      </c>
      <c r="AC44" s="84">
        <f t="shared" si="13"/>
        <v>111000.68278160604</v>
      </c>
      <c r="AD44" s="84">
        <f t="shared" si="13"/>
        <v>127699.4270333735</v>
      </c>
      <c r="AE44" s="84">
        <f t="shared" si="13"/>
        <v>994224.24589680298</v>
      </c>
      <c r="AF44" s="84">
        <f t="shared" si="13"/>
        <v>-91691.159819439898</v>
      </c>
      <c r="AG44" s="84">
        <f t="shared" si="13"/>
        <v>-95374.307614257312</v>
      </c>
      <c r="AH44" s="84">
        <f t="shared" si="13"/>
        <v>-99205.303334668832</v>
      </c>
      <c r="AI44" s="84">
        <f t="shared" si="13"/>
        <v>-103190.07724858908</v>
      </c>
      <c r="AJ44" s="84">
        <f t="shared" si="13"/>
        <v>671858.91928987217</v>
      </c>
      <c r="AK44" s="84">
        <f t="shared" si="13"/>
        <v>-111645.8785224265</v>
      </c>
      <c r="AL44" s="84">
        <f t="shared" si="13"/>
        <v>-116129.99313572486</v>
      </c>
      <c r="AM44" s="84">
        <f t="shared" si="13"/>
        <v>-120794.08063472713</v>
      </c>
      <c r="AN44" s="84">
        <f t="shared" si="13"/>
        <v>-125645.35859219132</v>
      </c>
      <c r="AO44" s="84">
        <f t="shared" si="13"/>
        <v>1700628.7994154794</v>
      </c>
    </row>
    <row r="45" spans="2:41" x14ac:dyDescent="0.25">
      <c r="B45" s="33" t="s">
        <v>90</v>
      </c>
      <c r="C45" s="85">
        <v>3.5</v>
      </c>
      <c r="D45" s="85" t="s">
        <v>91</v>
      </c>
      <c r="E45" s="85" t="s">
        <v>92</v>
      </c>
      <c r="G45" s="34"/>
      <c r="H45" s="33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</row>
    <row r="46" spans="2:41" x14ac:dyDescent="0.25">
      <c r="B46" s="33" t="s">
        <v>93</v>
      </c>
      <c r="C46" s="85">
        <v>2</v>
      </c>
      <c r="D46" s="85" t="s">
        <v>91</v>
      </c>
      <c r="E46" s="85" t="s">
        <v>92</v>
      </c>
      <c r="G46" s="86" t="s">
        <v>6</v>
      </c>
      <c r="H46" s="34"/>
      <c r="I46" s="34"/>
      <c r="J46" s="43">
        <f>IF(J11=$C$85,MEDIAN(K115,K120),0)*((1+$C$23)^J11)</f>
        <v>0</v>
      </c>
      <c r="K46" s="43">
        <f t="shared" ref="K46:AO46" si="14">IF(K11=$C$85,MEDIAN(L115,L120),0)*((1+$C$23)^K11)</f>
        <v>0</v>
      </c>
      <c r="L46" s="43">
        <f t="shared" si="14"/>
        <v>0</v>
      </c>
      <c r="M46" s="43">
        <f t="shared" si="14"/>
        <v>0</v>
      </c>
      <c r="N46" s="43">
        <f t="shared" si="14"/>
        <v>0</v>
      </c>
      <c r="O46" s="43">
        <f t="shared" si="14"/>
        <v>0</v>
      </c>
      <c r="P46" s="43">
        <f t="shared" si="14"/>
        <v>0</v>
      </c>
      <c r="Q46" s="43">
        <f t="shared" si="14"/>
        <v>0</v>
      </c>
      <c r="R46" s="43">
        <f t="shared" si="14"/>
        <v>0</v>
      </c>
      <c r="S46" s="43">
        <f t="shared" si="14"/>
        <v>0</v>
      </c>
      <c r="T46" s="43">
        <f t="shared" si="14"/>
        <v>0</v>
      </c>
      <c r="U46" s="43">
        <f t="shared" si="14"/>
        <v>0</v>
      </c>
      <c r="V46" s="43">
        <f t="shared" si="14"/>
        <v>0</v>
      </c>
      <c r="W46" s="43">
        <f t="shared" si="14"/>
        <v>0</v>
      </c>
      <c r="X46" s="43">
        <f t="shared" si="14"/>
        <v>0</v>
      </c>
      <c r="Y46" s="43">
        <f t="shared" si="14"/>
        <v>4334812.6274022851</v>
      </c>
      <c r="Z46" s="43">
        <f t="shared" si="14"/>
        <v>0</v>
      </c>
      <c r="AA46" s="43">
        <f t="shared" si="14"/>
        <v>0</v>
      </c>
      <c r="AB46" s="43">
        <f t="shared" si="14"/>
        <v>0</v>
      </c>
      <c r="AC46" s="43">
        <f t="shared" si="14"/>
        <v>0</v>
      </c>
      <c r="AD46" s="43">
        <f t="shared" si="14"/>
        <v>0</v>
      </c>
      <c r="AE46" s="43">
        <f t="shared" si="14"/>
        <v>0</v>
      </c>
      <c r="AF46" s="43">
        <f t="shared" si="14"/>
        <v>0</v>
      </c>
      <c r="AG46" s="43">
        <f t="shared" si="14"/>
        <v>0</v>
      </c>
      <c r="AH46" s="43">
        <f t="shared" si="14"/>
        <v>0</v>
      </c>
      <c r="AI46" s="43">
        <f t="shared" si="14"/>
        <v>0</v>
      </c>
      <c r="AJ46" s="43">
        <f t="shared" si="14"/>
        <v>0</v>
      </c>
      <c r="AK46" s="43">
        <f t="shared" si="14"/>
        <v>0</v>
      </c>
      <c r="AL46" s="43">
        <f t="shared" si="14"/>
        <v>0</v>
      </c>
      <c r="AM46" s="43">
        <f t="shared" si="14"/>
        <v>0</v>
      </c>
      <c r="AN46" s="43">
        <f t="shared" si="14"/>
        <v>0</v>
      </c>
      <c r="AO46" s="43">
        <f t="shared" si="14"/>
        <v>0</v>
      </c>
    </row>
    <row r="47" spans="2:41" x14ac:dyDescent="0.25">
      <c r="B47" s="33" t="s">
        <v>94</v>
      </c>
      <c r="C47" s="85">
        <v>1.45</v>
      </c>
      <c r="D47" s="85" t="s">
        <v>91</v>
      </c>
      <c r="E47" s="85" t="s">
        <v>92</v>
      </c>
      <c r="G47" s="34"/>
      <c r="H47" s="33"/>
      <c r="I47" s="34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</row>
    <row r="48" spans="2:41" x14ac:dyDescent="0.25">
      <c r="B48" s="33" t="s">
        <v>95</v>
      </c>
      <c r="C48" s="85">
        <v>1.25</v>
      </c>
      <c r="D48" s="85" t="s">
        <v>91</v>
      </c>
      <c r="E48" s="85" t="s">
        <v>92</v>
      </c>
      <c r="G48" s="87" t="s">
        <v>96</v>
      </c>
      <c r="H48" s="88"/>
      <c r="I48" s="89"/>
      <c r="J48" s="72">
        <f>SUM(J44:J47)</f>
        <v>-2693444.5</v>
      </c>
      <c r="K48" s="72">
        <f t="shared" ref="K48:AO48" si="15">SUM(K44:K47)</f>
        <v>402747.80510949693</v>
      </c>
      <c r="L48" s="72">
        <f t="shared" si="15"/>
        <v>122768.70890808795</v>
      </c>
      <c r="M48" s="72">
        <f t="shared" si="15"/>
        <v>138698.3798270461</v>
      </c>
      <c r="N48" s="72">
        <f t="shared" si="15"/>
        <v>156638.27406050314</v>
      </c>
      <c r="O48" s="72">
        <f t="shared" si="15"/>
        <v>176551.05291836025</v>
      </c>
      <c r="P48" s="72">
        <f t="shared" si="15"/>
        <v>198949.72425189381</v>
      </c>
      <c r="Q48" s="72">
        <f t="shared" si="15"/>
        <v>223465.34350126784</v>
      </c>
      <c r="R48" s="72">
        <f t="shared" si="15"/>
        <v>63463.370493068469</v>
      </c>
      <c r="S48" s="72">
        <f t="shared" si="15"/>
        <v>16984.48511291053</v>
      </c>
      <c r="T48" s="72">
        <f t="shared" si="15"/>
        <v>22723.067064158378</v>
      </c>
      <c r="U48" s="72">
        <f t="shared" si="15"/>
        <v>204329.95196593693</v>
      </c>
      <c r="V48" s="72">
        <f t="shared" si="15"/>
        <v>34588.962683274171</v>
      </c>
      <c r="W48" s="72">
        <f t="shared" si="15"/>
        <v>42112.715947478166</v>
      </c>
      <c r="X48" s="72">
        <f t="shared" si="15"/>
        <v>50575.601574027984</v>
      </c>
      <c r="Y48" s="72">
        <f t="shared" si="15"/>
        <v>4394893.5885954788</v>
      </c>
      <c r="Z48" s="72">
        <f t="shared" si="15"/>
        <v>91346.744913254413</v>
      </c>
      <c r="AA48" s="72">
        <f t="shared" si="15"/>
        <v>82684.746816239378</v>
      </c>
      <c r="AB48" s="72">
        <f t="shared" si="15"/>
        <v>96053.919170843248</v>
      </c>
      <c r="AC48" s="72">
        <f t="shared" si="15"/>
        <v>111000.68278160604</v>
      </c>
      <c r="AD48" s="72">
        <f t="shared" si="15"/>
        <v>127699.4270333735</v>
      </c>
      <c r="AE48" s="72">
        <f t="shared" si="15"/>
        <v>994224.24589680298</v>
      </c>
      <c r="AF48" s="72">
        <f t="shared" si="15"/>
        <v>-91691.159819439898</v>
      </c>
      <c r="AG48" s="72">
        <f t="shared" si="15"/>
        <v>-95374.307614257312</v>
      </c>
      <c r="AH48" s="72">
        <f t="shared" si="15"/>
        <v>-99205.303334668832</v>
      </c>
      <c r="AI48" s="72">
        <f t="shared" si="15"/>
        <v>-103190.07724858908</v>
      </c>
      <c r="AJ48" s="72">
        <f t="shared" si="15"/>
        <v>671858.91928987217</v>
      </c>
      <c r="AK48" s="72">
        <f t="shared" si="15"/>
        <v>-111645.8785224265</v>
      </c>
      <c r="AL48" s="72">
        <f t="shared" si="15"/>
        <v>-116129.99313572486</v>
      </c>
      <c r="AM48" s="72">
        <f t="shared" si="15"/>
        <v>-120794.08063472713</v>
      </c>
      <c r="AN48" s="72">
        <f t="shared" si="15"/>
        <v>-125645.35859219132</v>
      </c>
      <c r="AO48" s="72">
        <f t="shared" si="15"/>
        <v>1700628.7994154794</v>
      </c>
    </row>
    <row r="49" spans="2:41" x14ac:dyDescent="0.25">
      <c r="B49" s="33" t="s">
        <v>97</v>
      </c>
      <c r="C49" s="85"/>
      <c r="D49" s="85"/>
      <c r="E49" s="85"/>
      <c r="G49" s="90"/>
      <c r="H49" s="91" t="s">
        <v>98</v>
      </c>
      <c r="I49" s="90"/>
      <c r="J49" s="92">
        <f>J90</f>
        <v>0</v>
      </c>
      <c r="K49" s="93">
        <f>K92</f>
        <v>0</v>
      </c>
      <c r="L49" s="93">
        <f t="shared" ref="L49:AO49" si="16">L92</f>
        <v>0</v>
      </c>
      <c r="M49" s="93">
        <f t="shared" si="16"/>
        <v>0</v>
      </c>
      <c r="N49" s="93">
        <f t="shared" si="16"/>
        <v>0</v>
      </c>
      <c r="O49" s="93">
        <f t="shared" si="16"/>
        <v>0</v>
      </c>
      <c r="P49" s="93">
        <f t="shared" si="16"/>
        <v>0</v>
      </c>
      <c r="Q49" s="93">
        <f t="shared" si="16"/>
        <v>0</v>
      </c>
      <c r="R49" s="93">
        <f t="shared" si="16"/>
        <v>0</v>
      </c>
      <c r="S49" s="93">
        <f t="shared" si="16"/>
        <v>0</v>
      </c>
      <c r="T49" s="93">
        <f t="shared" si="16"/>
        <v>0</v>
      </c>
      <c r="U49" s="93">
        <f t="shared" si="16"/>
        <v>0</v>
      </c>
      <c r="V49" s="93">
        <f t="shared" si="16"/>
        <v>0</v>
      </c>
      <c r="W49" s="93">
        <f t="shared" si="16"/>
        <v>0</v>
      </c>
      <c r="X49" s="93">
        <f t="shared" si="16"/>
        <v>0</v>
      </c>
      <c r="Y49" s="93">
        <f t="shared" si="16"/>
        <v>0</v>
      </c>
      <c r="Z49" s="93">
        <f t="shared" si="16"/>
        <v>0</v>
      </c>
      <c r="AA49" s="93">
        <f t="shared" si="16"/>
        <v>0</v>
      </c>
      <c r="AB49" s="93">
        <f t="shared" si="16"/>
        <v>0</v>
      </c>
      <c r="AC49" s="93">
        <f t="shared" si="16"/>
        <v>0</v>
      </c>
      <c r="AD49" s="93">
        <f t="shared" si="16"/>
        <v>0</v>
      </c>
      <c r="AE49" s="93">
        <f t="shared" si="16"/>
        <v>0</v>
      </c>
      <c r="AF49" s="93">
        <f t="shared" si="16"/>
        <v>0</v>
      </c>
      <c r="AG49" s="93">
        <f t="shared" si="16"/>
        <v>0</v>
      </c>
      <c r="AH49" s="93">
        <f t="shared" si="16"/>
        <v>0</v>
      </c>
      <c r="AI49" s="93">
        <f t="shared" si="16"/>
        <v>0</v>
      </c>
      <c r="AJ49" s="93">
        <f t="shared" si="16"/>
        <v>0</v>
      </c>
      <c r="AK49" s="93">
        <f t="shared" si="16"/>
        <v>0</v>
      </c>
      <c r="AL49" s="93">
        <f t="shared" si="16"/>
        <v>0</v>
      </c>
      <c r="AM49" s="93">
        <f t="shared" si="16"/>
        <v>0</v>
      </c>
      <c r="AN49" s="93">
        <f t="shared" si="16"/>
        <v>0</v>
      </c>
      <c r="AO49" s="93">
        <f t="shared" si="16"/>
        <v>0</v>
      </c>
    </row>
    <row r="50" spans="2:41" x14ac:dyDescent="0.25">
      <c r="B50" s="33" t="s">
        <v>99</v>
      </c>
      <c r="C50" s="85"/>
      <c r="D50" s="85"/>
      <c r="E50" s="85"/>
      <c r="G50" s="36"/>
      <c r="H50" s="35" t="s">
        <v>100</v>
      </c>
      <c r="I50" s="36"/>
      <c r="J50" s="94">
        <f>J97</f>
        <v>886743.70565000002</v>
      </c>
      <c r="K50" s="41">
        <f t="shared" ref="K50:AO50" si="17">IF(K11=$C$70,-SUM(K101:K102),-K102)</f>
        <v>-17734.874113000002</v>
      </c>
      <c r="L50" s="41">
        <f t="shared" si="17"/>
        <v>-17734.874113000002</v>
      </c>
      <c r="M50" s="41">
        <f t="shared" si="17"/>
        <v>-17734.874113000002</v>
      </c>
      <c r="N50" s="41">
        <f t="shared" si="17"/>
        <v>-232879.9596354466</v>
      </c>
      <c r="O50" s="41">
        <f t="shared" si="17"/>
        <v>-232879.9596354466</v>
      </c>
      <c r="P50" s="41">
        <f t="shared" si="17"/>
        <v>-232879.9596354466</v>
      </c>
      <c r="Q50" s="41">
        <f t="shared" si="17"/>
        <v>-228313.68591710433</v>
      </c>
      <c r="R50" s="41">
        <f t="shared" si="17"/>
        <v>0</v>
      </c>
      <c r="S50" s="41">
        <f t="shared" si="17"/>
        <v>0</v>
      </c>
      <c r="T50" s="41">
        <f t="shared" si="17"/>
        <v>0</v>
      </c>
      <c r="U50" s="41">
        <f t="shared" si="17"/>
        <v>0</v>
      </c>
      <c r="V50" s="41">
        <f t="shared" si="17"/>
        <v>0</v>
      </c>
      <c r="W50" s="41">
        <f t="shared" si="17"/>
        <v>0</v>
      </c>
      <c r="X50" s="41">
        <f t="shared" si="17"/>
        <v>0</v>
      </c>
      <c r="Y50" s="41">
        <f t="shared" si="17"/>
        <v>0</v>
      </c>
      <c r="Z50" s="41">
        <f t="shared" si="17"/>
        <v>0</v>
      </c>
      <c r="AA50" s="41">
        <f t="shared" si="17"/>
        <v>0</v>
      </c>
      <c r="AB50" s="41">
        <f t="shared" si="17"/>
        <v>0</v>
      </c>
      <c r="AC50" s="41">
        <f t="shared" si="17"/>
        <v>0</v>
      </c>
      <c r="AD50" s="41">
        <f t="shared" si="17"/>
        <v>0</v>
      </c>
      <c r="AE50" s="41">
        <f t="shared" si="17"/>
        <v>0</v>
      </c>
      <c r="AF50" s="41">
        <f t="shared" si="17"/>
        <v>0</v>
      </c>
      <c r="AG50" s="41">
        <f t="shared" si="17"/>
        <v>0</v>
      </c>
      <c r="AH50" s="41">
        <f t="shared" si="17"/>
        <v>0</v>
      </c>
      <c r="AI50" s="41">
        <f t="shared" si="17"/>
        <v>0</v>
      </c>
      <c r="AJ50" s="41">
        <f t="shared" si="17"/>
        <v>0</v>
      </c>
      <c r="AK50" s="41">
        <f t="shared" si="17"/>
        <v>0</v>
      </c>
      <c r="AL50" s="41">
        <f t="shared" si="17"/>
        <v>0</v>
      </c>
      <c r="AM50" s="41">
        <f t="shared" si="17"/>
        <v>0</v>
      </c>
      <c r="AN50" s="41">
        <f t="shared" si="17"/>
        <v>0</v>
      </c>
      <c r="AO50" s="41">
        <f t="shared" si="17"/>
        <v>0</v>
      </c>
    </row>
    <row r="51" spans="2:41" x14ac:dyDescent="0.25">
      <c r="B51" s="33" t="s">
        <v>101</v>
      </c>
      <c r="C51" s="95"/>
      <c r="D51" s="85"/>
      <c r="E51" s="85"/>
      <c r="G51" s="36"/>
      <c r="H51" s="62" t="s">
        <v>102</v>
      </c>
      <c r="I51" s="62"/>
      <c r="J51" s="96"/>
      <c r="K51" s="96">
        <f t="shared" ref="K51:AO51" si="18">-IF(SUM(K48:K50)&gt;0,SUM(K48:K50)*$C$63,IF(K11=$C$85,K46+J56,0))-(K15*$C$39)</f>
        <v>0</v>
      </c>
      <c r="L51" s="96">
        <f t="shared" si="18"/>
        <v>0</v>
      </c>
      <c r="M51" s="96">
        <f t="shared" si="18"/>
        <v>0</v>
      </c>
      <c r="N51" s="96">
        <f t="shared" si="18"/>
        <v>0</v>
      </c>
      <c r="O51" s="96">
        <f t="shared" si="18"/>
        <v>0</v>
      </c>
      <c r="P51" s="96">
        <f t="shared" si="18"/>
        <v>0</v>
      </c>
      <c r="Q51" s="96">
        <f t="shared" si="18"/>
        <v>0</v>
      </c>
      <c r="R51" s="96">
        <f t="shared" si="18"/>
        <v>0</v>
      </c>
      <c r="S51" s="96">
        <f t="shared" si="18"/>
        <v>0</v>
      </c>
      <c r="T51" s="96">
        <f t="shared" si="18"/>
        <v>0</v>
      </c>
      <c r="U51" s="96">
        <f t="shared" si="18"/>
        <v>0</v>
      </c>
      <c r="V51" s="96">
        <f t="shared" si="18"/>
        <v>0</v>
      </c>
      <c r="W51" s="96">
        <f t="shared" si="18"/>
        <v>0</v>
      </c>
      <c r="X51" s="96">
        <f t="shared" si="18"/>
        <v>0</v>
      </c>
      <c r="Y51" s="96">
        <f t="shared" si="18"/>
        <v>0</v>
      </c>
      <c r="Z51" s="96">
        <f t="shared" si="18"/>
        <v>0</v>
      </c>
      <c r="AA51" s="96">
        <f t="shared" si="18"/>
        <v>0</v>
      </c>
      <c r="AB51" s="96">
        <f t="shared" si="18"/>
        <v>0</v>
      </c>
      <c r="AC51" s="96">
        <f t="shared" si="18"/>
        <v>0</v>
      </c>
      <c r="AD51" s="96">
        <f t="shared" si="18"/>
        <v>0</v>
      </c>
      <c r="AE51" s="96">
        <f t="shared" si="18"/>
        <v>0</v>
      </c>
      <c r="AF51" s="96">
        <f t="shared" si="18"/>
        <v>0</v>
      </c>
      <c r="AG51" s="96">
        <f t="shared" si="18"/>
        <v>0</v>
      </c>
      <c r="AH51" s="96">
        <f t="shared" si="18"/>
        <v>0</v>
      </c>
      <c r="AI51" s="96">
        <f t="shared" si="18"/>
        <v>0</v>
      </c>
      <c r="AJ51" s="96">
        <f t="shared" si="18"/>
        <v>0</v>
      </c>
      <c r="AK51" s="96">
        <f t="shared" si="18"/>
        <v>0</v>
      </c>
      <c r="AL51" s="96">
        <f t="shared" si="18"/>
        <v>0</v>
      </c>
      <c r="AM51" s="96">
        <f t="shared" si="18"/>
        <v>0</v>
      </c>
      <c r="AN51" s="96">
        <f t="shared" si="18"/>
        <v>0</v>
      </c>
      <c r="AO51" s="96">
        <f t="shared" si="18"/>
        <v>0</v>
      </c>
    </row>
    <row r="52" spans="2:41" x14ac:dyDescent="0.25">
      <c r="B52" s="33" t="s">
        <v>72</v>
      </c>
      <c r="C52" s="97">
        <v>0</v>
      </c>
      <c r="D52" s="85"/>
      <c r="E52" s="85" t="s">
        <v>103</v>
      </c>
      <c r="G52" s="36"/>
      <c r="H52" s="62" t="s">
        <v>104</v>
      </c>
      <c r="I52" s="62"/>
      <c r="J52" s="96">
        <v>0</v>
      </c>
      <c r="K52" s="96">
        <f>-SUM(K105:K106)</f>
        <v>-18067.007943500001</v>
      </c>
      <c r="L52" s="96">
        <f t="shared" ref="L52:AE52" si="19">-SUM(L105:L106)</f>
        <v>-18067.007943500001</v>
      </c>
      <c r="M52" s="96">
        <f t="shared" si="19"/>
        <v>-18067.007943500001</v>
      </c>
      <c r="N52" s="96">
        <f t="shared" si="19"/>
        <v>-18067.007943500001</v>
      </c>
      <c r="O52" s="96">
        <f t="shared" si="19"/>
        <v>-18067.007943500001</v>
      </c>
      <c r="P52" s="96">
        <f t="shared" si="19"/>
        <v>-18067.007943500001</v>
      </c>
      <c r="Q52" s="96">
        <f t="shared" si="19"/>
        <v>-18067.007943500001</v>
      </c>
      <c r="R52" s="96">
        <f t="shared" si="19"/>
        <v>-18067.007943500001</v>
      </c>
      <c r="S52" s="96">
        <f t="shared" si="19"/>
        <v>-18067.007943500001</v>
      </c>
      <c r="T52" s="96">
        <f t="shared" si="19"/>
        <v>-18067.007943500001</v>
      </c>
      <c r="U52" s="96">
        <f t="shared" si="19"/>
        <v>-18067.007943500001</v>
      </c>
      <c r="V52" s="96">
        <f t="shared" si="19"/>
        <v>-18067.007943500001</v>
      </c>
      <c r="W52" s="96">
        <f t="shared" si="19"/>
        <v>-18067.007943500001</v>
      </c>
      <c r="X52" s="96">
        <f t="shared" si="19"/>
        <v>-18067.007943500001</v>
      </c>
      <c r="Y52" s="96">
        <f t="shared" si="19"/>
        <v>-18067.007943500001</v>
      </c>
      <c r="Z52" s="96">
        <f t="shared" si="19"/>
        <v>0</v>
      </c>
      <c r="AA52" s="96">
        <f t="shared" si="19"/>
        <v>0</v>
      </c>
      <c r="AB52" s="96">
        <f t="shared" si="19"/>
        <v>0</v>
      </c>
      <c r="AC52" s="96">
        <f t="shared" si="19"/>
        <v>0</v>
      </c>
      <c r="AD52" s="96">
        <f t="shared" si="19"/>
        <v>0</v>
      </c>
      <c r="AE52" s="96">
        <f t="shared" si="19"/>
        <v>0</v>
      </c>
      <c r="AF52" s="96">
        <f t="shared" ref="AF52:AO52" si="20">-SUM(AF105:AF106)</f>
        <v>0</v>
      </c>
      <c r="AG52" s="96">
        <f t="shared" si="20"/>
        <v>0</v>
      </c>
      <c r="AH52" s="96">
        <f t="shared" si="20"/>
        <v>0</v>
      </c>
      <c r="AI52" s="96">
        <f t="shared" si="20"/>
        <v>0</v>
      </c>
      <c r="AJ52" s="96">
        <f t="shared" si="20"/>
        <v>0</v>
      </c>
      <c r="AK52" s="96">
        <f t="shared" si="20"/>
        <v>0</v>
      </c>
      <c r="AL52" s="96">
        <f t="shared" si="20"/>
        <v>0</v>
      </c>
      <c r="AM52" s="96">
        <f t="shared" si="20"/>
        <v>0</v>
      </c>
      <c r="AN52" s="96">
        <f t="shared" si="20"/>
        <v>0</v>
      </c>
      <c r="AO52" s="96">
        <f t="shared" si="20"/>
        <v>0</v>
      </c>
    </row>
    <row r="53" spans="2:41" x14ac:dyDescent="0.25">
      <c r="G53" s="36"/>
      <c r="H53" s="62" t="s">
        <v>105</v>
      </c>
      <c r="I53" s="62"/>
      <c r="J53" s="96">
        <f t="shared" ref="J53:AO53" si="21">-($C$42*J15)</f>
        <v>0</v>
      </c>
      <c r="K53" s="96">
        <f t="shared" si="21"/>
        <v>0</v>
      </c>
      <c r="L53" s="96">
        <f t="shared" si="21"/>
        <v>0</v>
      </c>
      <c r="M53" s="96">
        <f t="shared" si="21"/>
        <v>0</v>
      </c>
      <c r="N53" s="96">
        <f t="shared" si="21"/>
        <v>0</v>
      </c>
      <c r="O53" s="96">
        <f t="shared" si="21"/>
        <v>0</v>
      </c>
      <c r="P53" s="96">
        <f t="shared" si="21"/>
        <v>0</v>
      </c>
      <c r="Q53" s="96">
        <f t="shared" si="21"/>
        <v>0</v>
      </c>
      <c r="R53" s="96">
        <f t="shared" si="21"/>
        <v>0</v>
      </c>
      <c r="S53" s="96">
        <f t="shared" si="21"/>
        <v>0</v>
      </c>
      <c r="T53" s="96">
        <f t="shared" si="21"/>
        <v>0</v>
      </c>
      <c r="U53" s="96">
        <f t="shared" si="21"/>
        <v>0</v>
      </c>
      <c r="V53" s="96">
        <f t="shared" si="21"/>
        <v>0</v>
      </c>
      <c r="W53" s="96">
        <f t="shared" si="21"/>
        <v>0</v>
      </c>
      <c r="X53" s="96">
        <f t="shared" si="21"/>
        <v>0</v>
      </c>
      <c r="Y53" s="96">
        <f t="shared" si="21"/>
        <v>0</v>
      </c>
      <c r="Z53" s="96">
        <f t="shared" si="21"/>
        <v>0</v>
      </c>
      <c r="AA53" s="96">
        <f t="shared" si="21"/>
        <v>0</v>
      </c>
      <c r="AB53" s="96">
        <f t="shared" si="21"/>
        <v>0</v>
      </c>
      <c r="AC53" s="96">
        <f t="shared" si="21"/>
        <v>0</v>
      </c>
      <c r="AD53" s="96">
        <f t="shared" si="21"/>
        <v>0</v>
      </c>
      <c r="AE53" s="96">
        <f t="shared" si="21"/>
        <v>0</v>
      </c>
      <c r="AF53" s="96">
        <f t="shared" si="21"/>
        <v>0</v>
      </c>
      <c r="AG53" s="96">
        <f t="shared" si="21"/>
        <v>0</v>
      </c>
      <c r="AH53" s="96">
        <f t="shared" si="21"/>
        <v>0</v>
      </c>
      <c r="AI53" s="96">
        <f t="shared" si="21"/>
        <v>0</v>
      </c>
      <c r="AJ53" s="96">
        <f t="shared" si="21"/>
        <v>0</v>
      </c>
      <c r="AK53" s="96">
        <f t="shared" si="21"/>
        <v>0</v>
      </c>
      <c r="AL53" s="96">
        <f t="shared" si="21"/>
        <v>0</v>
      </c>
      <c r="AM53" s="96">
        <f t="shared" si="21"/>
        <v>0</v>
      </c>
      <c r="AN53" s="96">
        <f t="shared" si="21"/>
        <v>0</v>
      </c>
      <c r="AO53" s="96">
        <f t="shared" si="21"/>
        <v>0</v>
      </c>
    </row>
    <row r="54" spans="2:41" x14ac:dyDescent="0.25">
      <c r="B54" s="2" t="s">
        <v>74</v>
      </c>
      <c r="C54" s="81" t="s">
        <v>86</v>
      </c>
      <c r="D54" s="81" t="s">
        <v>87</v>
      </c>
      <c r="E54" s="29"/>
      <c r="H54" s="98"/>
      <c r="I54" s="98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</row>
    <row r="55" spans="2:41" x14ac:dyDescent="0.25">
      <c r="B55" s="33" t="s">
        <v>106</v>
      </c>
      <c r="C55" s="100">
        <v>150</v>
      </c>
      <c r="D55" s="85" t="s">
        <v>91</v>
      </c>
      <c r="E55" s="34"/>
      <c r="G55" s="101" t="s">
        <v>107</v>
      </c>
      <c r="H55" s="102"/>
      <c r="I55" s="103"/>
      <c r="J55" s="104">
        <f>SUM(J48:J53)</f>
        <v>-1806700.7943500001</v>
      </c>
      <c r="K55" s="104">
        <f t="shared" ref="K55:AO55" si="22">SUM(K48:K53)</f>
        <v>366945.92305299692</v>
      </c>
      <c r="L55" s="104">
        <f t="shared" si="22"/>
        <v>86966.826851587946</v>
      </c>
      <c r="M55" s="104">
        <f t="shared" si="22"/>
        <v>102896.49777054609</v>
      </c>
      <c r="N55" s="104">
        <f t="shared" si="22"/>
        <v>-94308.69351844347</v>
      </c>
      <c r="O55" s="104">
        <f t="shared" si="22"/>
        <v>-74395.914660586364</v>
      </c>
      <c r="P55" s="104">
        <f t="shared" si="22"/>
        <v>-51997.243327052791</v>
      </c>
      <c r="Q55" s="104">
        <f t="shared" si="22"/>
        <v>-22915.350359336495</v>
      </c>
      <c r="R55" s="104">
        <f t="shared" si="22"/>
        <v>45396.362549568468</v>
      </c>
      <c r="S55" s="104">
        <f t="shared" si="22"/>
        <v>-1082.5228305894707</v>
      </c>
      <c r="T55" s="104">
        <f t="shared" si="22"/>
        <v>4656.0591206583777</v>
      </c>
      <c r="U55" s="104">
        <f t="shared" si="22"/>
        <v>186262.94402243692</v>
      </c>
      <c r="V55" s="104">
        <f t="shared" si="22"/>
        <v>16521.95473977417</v>
      </c>
      <c r="W55" s="104">
        <f t="shared" si="22"/>
        <v>24045.708003978165</v>
      </c>
      <c r="X55" s="104">
        <f t="shared" si="22"/>
        <v>32508.593630527983</v>
      </c>
      <c r="Y55" s="104">
        <f t="shared" si="22"/>
        <v>4376826.580651979</v>
      </c>
      <c r="Z55" s="104">
        <f t="shared" si="22"/>
        <v>91346.744913254413</v>
      </c>
      <c r="AA55" s="104">
        <f t="shared" si="22"/>
        <v>82684.746816239378</v>
      </c>
      <c r="AB55" s="104">
        <f t="shared" si="22"/>
        <v>96053.919170843248</v>
      </c>
      <c r="AC55" s="104">
        <f t="shared" si="22"/>
        <v>111000.68278160604</v>
      </c>
      <c r="AD55" s="104">
        <f t="shared" si="22"/>
        <v>127699.4270333735</v>
      </c>
      <c r="AE55" s="104">
        <f t="shared" si="22"/>
        <v>994224.24589680298</v>
      </c>
      <c r="AF55" s="104">
        <f t="shared" si="22"/>
        <v>-91691.159819439898</v>
      </c>
      <c r="AG55" s="104">
        <f t="shared" si="22"/>
        <v>-95374.307614257312</v>
      </c>
      <c r="AH55" s="104">
        <f t="shared" si="22"/>
        <v>-99205.303334668832</v>
      </c>
      <c r="AI55" s="104">
        <f t="shared" si="22"/>
        <v>-103190.07724858908</v>
      </c>
      <c r="AJ55" s="104">
        <f t="shared" si="22"/>
        <v>671858.91928987217</v>
      </c>
      <c r="AK55" s="104">
        <f t="shared" si="22"/>
        <v>-111645.8785224265</v>
      </c>
      <c r="AL55" s="104">
        <f t="shared" si="22"/>
        <v>-116129.99313572486</v>
      </c>
      <c r="AM55" s="104">
        <f t="shared" si="22"/>
        <v>-120794.08063472713</v>
      </c>
      <c r="AN55" s="104">
        <f t="shared" si="22"/>
        <v>-125645.35859219132</v>
      </c>
      <c r="AO55" s="104">
        <f t="shared" si="22"/>
        <v>1700628.7994154794</v>
      </c>
    </row>
    <row r="56" spans="2:41" x14ac:dyDescent="0.25">
      <c r="B56" s="33" t="s">
        <v>108</v>
      </c>
      <c r="C56" s="100"/>
      <c r="D56" s="85"/>
      <c r="E56" s="34"/>
      <c r="G56" s="90"/>
      <c r="H56" s="105" t="s">
        <v>109</v>
      </c>
      <c r="I56" s="105"/>
      <c r="J56" s="106">
        <f>D17</f>
        <v>49421</v>
      </c>
      <c r="K56" s="105">
        <f>J56+K55</f>
        <v>416366.92305299692</v>
      </c>
      <c r="L56" s="105">
        <f t="shared" ref="L56:AO56" si="23">K56+L55</f>
        <v>503333.74990458484</v>
      </c>
      <c r="M56" s="105">
        <f t="shared" si="23"/>
        <v>606230.24767513096</v>
      </c>
      <c r="N56" s="105">
        <f t="shared" si="23"/>
        <v>511921.55415668746</v>
      </c>
      <c r="O56" s="105">
        <f t="shared" si="23"/>
        <v>437525.63949610107</v>
      </c>
      <c r="P56" s="105">
        <f t="shared" si="23"/>
        <v>385528.39616904827</v>
      </c>
      <c r="Q56" s="105">
        <f t="shared" si="23"/>
        <v>362613.0458097118</v>
      </c>
      <c r="R56" s="105">
        <f t="shared" si="23"/>
        <v>408009.40835928026</v>
      </c>
      <c r="S56" s="105">
        <f t="shared" si="23"/>
        <v>406926.88552869076</v>
      </c>
      <c r="T56" s="105">
        <f t="shared" si="23"/>
        <v>411582.94464934914</v>
      </c>
      <c r="U56" s="105">
        <f t="shared" si="23"/>
        <v>597845.88867178606</v>
      </c>
      <c r="V56" s="105">
        <f t="shared" si="23"/>
        <v>614367.84341156017</v>
      </c>
      <c r="W56" s="105">
        <f t="shared" si="23"/>
        <v>638413.5514155383</v>
      </c>
      <c r="X56" s="105">
        <f t="shared" si="23"/>
        <v>670922.14504606626</v>
      </c>
      <c r="Y56" s="105">
        <f t="shared" si="23"/>
        <v>5047748.7256980455</v>
      </c>
      <c r="Z56" s="105">
        <f t="shared" si="23"/>
        <v>5139095.4706113003</v>
      </c>
      <c r="AA56" s="105">
        <f t="shared" si="23"/>
        <v>5221780.2174275396</v>
      </c>
      <c r="AB56" s="105">
        <f t="shared" si="23"/>
        <v>5317834.1365983831</v>
      </c>
      <c r="AC56" s="105">
        <f t="shared" si="23"/>
        <v>5428834.8193799891</v>
      </c>
      <c r="AD56" s="105">
        <f t="shared" si="23"/>
        <v>5556534.2464133622</v>
      </c>
      <c r="AE56" s="105">
        <f t="shared" si="23"/>
        <v>6550758.4923101654</v>
      </c>
      <c r="AF56" s="105">
        <f t="shared" si="23"/>
        <v>6459067.3324907254</v>
      </c>
      <c r="AG56" s="105">
        <f t="shared" si="23"/>
        <v>6363693.0248764679</v>
      </c>
      <c r="AH56" s="105">
        <f t="shared" si="23"/>
        <v>6264487.7215417987</v>
      </c>
      <c r="AI56" s="105">
        <f t="shared" si="23"/>
        <v>6161297.6442932095</v>
      </c>
      <c r="AJ56" s="105">
        <f t="shared" si="23"/>
        <v>6833156.5635830816</v>
      </c>
      <c r="AK56" s="105">
        <f t="shared" si="23"/>
        <v>6721510.6850606548</v>
      </c>
      <c r="AL56" s="105">
        <f t="shared" si="23"/>
        <v>6605380.6919249296</v>
      </c>
      <c r="AM56" s="105">
        <f t="shared" si="23"/>
        <v>6484586.6112902025</v>
      </c>
      <c r="AN56" s="105">
        <f t="shared" si="23"/>
        <v>6358941.2526980108</v>
      </c>
      <c r="AO56" s="105">
        <f t="shared" si="23"/>
        <v>8059570.0521134902</v>
      </c>
    </row>
    <row r="57" spans="2:41" x14ac:dyDescent="0.25">
      <c r="B57" s="33" t="s">
        <v>110</v>
      </c>
      <c r="C57" s="100">
        <v>125</v>
      </c>
      <c r="D57" s="85" t="s">
        <v>91</v>
      </c>
      <c r="E57" s="34"/>
      <c r="H57" s="107"/>
      <c r="I57" s="107"/>
      <c r="J57" s="108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</row>
    <row r="58" spans="2:41" x14ac:dyDescent="0.25">
      <c r="B58" s="33" t="s">
        <v>111</v>
      </c>
      <c r="C58" s="100"/>
      <c r="D58" s="85"/>
      <c r="E58" s="34"/>
      <c r="G58" s="2" t="s">
        <v>112</v>
      </c>
      <c r="H58" s="2"/>
      <c r="I58" s="2"/>
      <c r="J58" s="32"/>
      <c r="K58" s="32">
        <v>1</v>
      </c>
      <c r="L58" s="32">
        <v>2</v>
      </c>
      <c r="M58" s="32">
        <v>3</v>
      </c>
      <c r="N58" s="32">
        <v>4</v>
      </c>
      <c r="O58" s="32">
        <v>5</v>
      </c>
      <c r="P58" s="32">
        <v>6</v>
      </c>
      <c r="Q58" s="32">
        <v>7</v>
      </c>
      <c r="R58" s="32">
        <v>8</v>
      </c>
      <c r="S58" s="32">
        <v>9</v>
      </c>
      <c r="T58" s="32">
        <v>10</v>
      </c>
      <c r="U58" s="32">
        <v>11</v>
      </c>
      <c r="V58" s="32">
        <v>12</v>
      </c>
      <c r="W58" s="32">
        <v>13</v>
      </c>
      <c r="X58" s="32">
        <v>14</v>
      </c>
      <c r="Y58" s="32">
        <v>15</v>
      </c>
      <c r="Z58" s="32">
        <v>16</v>
      </c>
      <c r="AA58" s="32">
        <v>17</v>
      </c>
      <c r="AB58" s="32">
        <v>18</v>
      </c>
      <c r="AC58" s="32">
        <v>19</v>
      </c>
      <c r="AD58" s="32">
        <v>20</v>
      </c>
      <c r="AE58" s="32">
        <v>21</v>
      </c>
      <c r="AF58" s="32">
        <v>22</v>
      </c>
      <c r="AG58" s="32">
        <v>23</v>
      </c>
      <c r="AH58" s="32">
        <v>24</v>
      </c>
      <c r="AI58" s="32">
        <v>25</v>
      </c>
      <c r="AJ58" s="32">
        <v>26</v>
      </c>
      <c r="AK58" s="32">
        <v>27</v>
      </c>
      <c r="AL58" s="32">
        <v>28</v>
      </c>
      <c r="AM58" s="32">
        <v>29</v>
      </c>
      <c r="AN58" s="32">
        <v>30</v>
      </c>
      <c r="AO58" s="32">
        <v>31</v>
      </c>
    </row>
    <row r="59" spans="2:41" x14ac:dyDescent="0.25">
      <c r="B59" s="33" t="s">
        <v>113</v>
      </c>
      <c r="C59" s="100">
        <v>650</v>
      </c>
      <c r="D59" s="85" t="s">
        <v>91</v>
      </c>
      <c r="E59" s="34"/>
      <c r="G59" t="s">
        <v>114</v>
      </c>
      <c r="J59">
        <v>1</v>
      </c>
      <c r="K59" s="27">
        <f>J59*(1+$C$23)</f>
        <v>1.0249999999999999</v>
      </c>
      <c r="L59" s="27">
        <f t="shared" ref="L59:AO59" si="24">K59*(1+$C$23)</f>
        <v>1.0506249999999999</v>
      </c>
      <c r="M59" s="27">
        <f t="shared" si="24"/>
        <v>1.0768906249999999</v>
      </c>
      <c r="N59" s="27">
        <f t="shared" si="24"/>
        <v>1.1038128906249998</v>
      </c>
      <c r="O59" s="27">
        <f t="shared" si="24"/>
        <v>1.1314082128906247</v>
      </c>
      <c r="P59" s="27">
        <f t="shared" si="24"/>
        <v>1.1596934182128902</v>
      </c>
      <c r="Q59" s="27">
        <f t="shared" si="24"/>
        <v>1.1886857536682123</v>
      </c>
      <c r="R59" s="27">
        <f t="shared" si="24"/>
        <v>1.2184028975099175</v>
      </c>
      <c r="S59" s="27">
        <f t="shared" si="24"/>
        <v>1.2488629699476652</v>
      </c>
      <c r="T59" s="27">
        <f t="shared" si="24"/>
        <v>1.2800845441963566</v>
      </c>
      <c r="U59" s="27">
        <f t="shared" si="24"/>
        <v>1.3120866578012655</v>
      </c>
      <c r="V59" s="27">
        <f t="shared" si="24"/>
        <v>1.3448888242462971</v>
      </c>
      <c r="W59" s="27">
        <f t="shared" si="24"/>
        <v>1.3785110448524545</v>
      </c>
      <c r="X59" s="27">
        <f t="shared" si="24"/>
        <v>1.4129738209737657</v>
      </c>
      <c r="Y59" s="27">
        <f t="shared" si="24"/>
        <v>1.4482981664981096</v>
      </c>
      <c r="Z59" s="27">
        <f t="shared" si="24"/>
        <v>1.4845056206605622</v>
      </c>
      <c r="AA59" s="27">
        <f t="shared" si="24"/>
        <v>1.5216182611770761</v>
      </c>
      <c r="AB59" s="27">
        <f t="shared" si="24"/>
        <v>1.5596587177065029</v>
      </c>
      <c r="AC59" s="27">
        <f t="shared" si="24"/>
        <v>1.5986501856491653</v>
      </c>
      <c r="AD59" s="27">
        <f t="shared" si="24"/>
        <v>1.6386164402903942</v>
      </c>
      <c r="AE59" s="27">
        <f t="shared" si="24"/>
        <v>1.6795818512976539</v>
      </c>
      <c r="AF59" s="27">
        <f t="shared" si="24"/>
        <v>1.721571397580095</v>
      </c>
      <c r="AG59" s="27">
        <f t="shared" si="24"/>
        <v>1.7646106825195973</v>
      </c>
      <c r="AH59" s="27">
        <f t="shared" si="24"/>
        <v>1.8087259495825871</v>
      </c>
      <c r="AI59" s="27">
        <f t="shared" si="24"/>
        <v>1.8539440983221516</v>
      </c>
      <c r="AJ59" s="27">
        <f t="shared" si="24"/>
        <v>1.9002927007802053</v>
      </c>
      <c r="AK59" s="27">
        <f t="shared" si="24"/>
        <v>1.9478000182997102</v>
      </c>
      <c r="AL59" s="27">
        <f t="shared" si="24"/>
        <v>1.9964950187572028</v>
      </c>
      <c r="AM59" s="27">
        <f t="shared" si="24"/>
        <v>2.0464073942261325</v>
      </c>
      <c r="AN59" s="27">
        <f t="shared" si="24"/>
        <v>2.0975675790817858</v>
      </c>
      <c r="AO59" s="27">
        <f t="shared" si="24"/>
        <v>2.1500067685588302</v>
      </c>
    </row>
    <row r="60" spans="2:41" x14ac:dyDescent="0.25">
      <c r="B60" s="33" t="s">
        <v>115</v>
      </c>
      <c r="C60" s="100">
        <v>0.25</v>
      </c>
      <c r="D60" s="85" t="s">
        <v>116</v>
      </c>
      <c r="E60" s="34"/>
      <c r="G60" s="50" t="s">
        <v>117</v>
      </c>
      <c r="H60" s="50"/>
      <c r="I60" s="50"/>
      <c r="J60" s="60">
        <f t="shared" ref="J60:AO60" si="25">J22/J59</f>
        <v>-2693444.5</v>
      </c>
      <c r="K60" s="60">
        <f t="shared" si="25"/>
        <v>433449.90791170433</v>
      </c>
      <c r="L60" s="60">
        <f t="shared" si="25"/>
        <v>157986.12284071429</v>
      </c>
      <c r="M60" s="60">
        <f t="shared" si="25"/>
        <v>170545.32857741858</v>
      </c>
      <c r="N60" s="60">
        <f t="shared" si="25"/>
        <v>184282.89158155106</v>
      </c>
      <c r="O60" s="60">
        <f t="shared" si="25"/>
        <v>199057.39649292672</v>
      </c>
      <c r="P60" s="60">
        <f t="shared" si="25"/>
        <v>215210.89496600977</v>
      </c>
      <c r="Q60" s="60">
        <f t="shared" si="25"/>
        <v>232305.65356238469</v>
      </c>
      <c r="R60" s="60">
        <f t="shared" si="25"/>
        <v>97064.052965652168</v>
      </c>
      <c r="S60" s="60">
        <f t="shared" si="25"/>
        <v>59251.318840092456</v>
      </c>
      <c r="T60" s="60">
        <f t="shared" si="25"/>
        <v>64087.353971473036</v>
      </c>
      <c r="U60" s="60">
        <f t="shared" si="25"/>
        <v>202760.17898530574</v>
      </c>
      <c r="V60" s="60">
        <f t="shared" si="25"/>
        <v>73455.466597683626</v>
      </c>
      <c r="W60" s="60">
        <f t="shared" si="25"/>
        <v>79002.111656904497</v>
      </c>
      <c r="X60" s="60">
        <f t="shared" si="25"/>
        <v>84973.208451853396</v>
      </c>
      <c r="Y60" s="60">
        <f t="shared" si="25"/>
        <v>91401.006298313368</v>
      </c>
      <c r="Z60" s="60">
        <f t="shared" si="25"/>
        <v>112199.37451998785</v>
      </c>
      <c r="AA60" s="60">
        <f t="shared" si="25"/>
        <v>105765.92539860235</v>
      </c>
      <c r="AB60" s="60">
        <f t="shared" si="25"/>
        <v>113783.80570388514</v>
      </c>
      <c r="AC60" s="60">
        <f t="shared" si="25"/>
        <v>122414.27050461524</v>
      </c>
      <c r="AD60" s="60">
        <f t="shared" si="25"/>
        <v>131706.22062345274</v>
      </c>
      <c r="AE60" s="60">
        <f t="shared" si="25"/>
        <v>646529.07638176391</v>
      </c>
      <c r="AF60" s="60">
        <f t="shared" si="25"/>
        <v>2140.1641823365494</v>
      </c>
      <c r="AG60" s="60">
        <f t="shared" si="25"/>
        <v>2182.9674659832808</v>
      </c>
      <c r="AH60" s="60">
        <f t="shared" si="25"/>
        <v>2226.6268153029464</v>
      </c>
      <c r="AI60" s="60">
        <f t="shared" si="25"/>
        <v>2271.1593516090052</v>
      </c>
      <c r="AJ60" s="60">
        <f t="shared" si="25"/>
        <v>412355.37090517423</v>
      </c>
      <c r="AK60" s="60">
        <f t="shared" si="25"/>
        <v>2362.9141894140093</v>
      </c>
      <c r="AL60" s="60">
        <f t="shared" si="25"/>
        <v>2410.172473202289</v>
      </c>
      <c r="AM60" s="60">
        <f t="shared" si="25"/>
        <v>2458.375922666336</v>
      </c>
      <c r="AN60" s="60">
        <f t="shared" si="25"/>
        <v>2507.5434411196616</v>
      </c>
      <c r="AO60" s="60">
        <f t="shared" si="25"/>
        <v>854331.81891492056</v>
      </c>
    </row>
    <row r="61" spans="2:41" x14ac:dyDescent="0.25">
      <c r="G61" s="50" t="s">
        <v>118</v>
      </c>
      <c r="H61" s="50"/>
      <c r="I61" s="50"/>
      <c r="J61" s="60">
        <f t="shared" ref="J61:AO61" si="26">J42/J59</f>
        <v>0</v>
      </c>
      <c r="K61" s="60">
        <f t="shared" si="26"/>
        <v>40525.22</v>
      </c>
      <c r="L61" s="60">
        <f t="shared" si="26"/>
        <v>41133.098299999998</v>
      </c>
      <c r="M61" s="60">
        <f t="shared" si="26"/>
        <v>41750.094774499994</v>
      </c>
      <c r="N61" s="60">
        <f t="shared" si="26"/>
        <v>42376.346196117483</v>
      </c>
      <c r="O61" s="60">
        <f t="shared" si="26"/>
        <v>43011.991389059243</v>
      </c>
      <c r="P61" s="60">
        <f t="shared" si="26"/>
        <v>43657.171259895134</v>
      </c>
      <c r="Q61" s="60">
        <f t="shared" si="26"/>
        <v>44312.028828793555</v>
      </c>
      <c r="R61" s="60">
        <f t="shared" si="26"/>
        <v>44976.709261225456</v>
      </c>
      <c r="S61" s="60">
        <f t="shared" si="26"/>
        <v>45651.359900143834</v>
      </c>
      <c r="T61" s="60">
        <f t="shared" si="26"/>
        <v>46336.130298645992</v>
      </c>
      <c r="U61" s="60">
        <f t="shared" si="26"/>
        <v>47031.172253125675</v>
      </c>
      <c r="V61" s="60">
        <f t="shared" si="26"/>
        <v>47736.63983692255</v>
      </c>
      <c r="W61" s="60">
        <f t="shared" si="26"/>
        <v>48452.689434476386</v>
      </c>
      <c r="X61" s="60">
        <f t="shared" si="26"/>
        <v>49179.479775993517</v>
      </c>
      <c r="Y61" s="60">
        <f t="shared" si="26"/>
        <v>49917.17197263342</v>
      </c>
      <c r="Z61" s="60">
        <f t="shared" si="26"/>
        <v>50665.929552222922</v>
      </c>
      <c r="AA61" s="60">
        <f t="shared" si="26"/>
        <v>51425.918495506266</v>
      </c>
      <c r="AB61" s="60">
        <f t="shared" si="26"/>
        <v>52197.307272938851</v>
      </c>
      <c r="AC61" s="60">
        <f t="shared" si="26"/>
        <v>52980.266882032927</v>
      </c>
      <c r="AD61" s="60">
        <f t="shared" si="26"/>
        <v>53774.970885263421</v>
      </c>
      <c r="AE61" s="60">
        <f t="shared" si="26"/>
        <v>54581.595448542364</v>
      </c>
      <c r="AF61" s="60">
        <f t="shared" si="26"/>
        <v>55400.319380270492</v>
      </c>
      <c r="AG61" s="60">
        <f t="shared" si="26"/>
        <v>56231.324170974556</v>
      </c>
      <c r="AH61" s="60">
        <f t="shared" si="26"/>
        <v>57074.794033539161</v>
      </c>
      <c r="AI61" s="60">
        <f t="shared" si="26"/>
        <v>57930.915944042252</v>
      </c>
      <c r="AJ61" s="60">
        <f t="shared" si="26"/>
        <v>58799.879683202867</v>
      </c>
      <c r="AK61" s="60">
        <f t="shared" si="26"/>
        <v>59681.877878450912</v>
      </c>
      <c r="AL61" s="60">
        <f t="shared" si="26"/>
        <v>60577.106046627661</v>
      </c>
      <c r="AM61" s="60">
        <f t="shared" si="26"/>
        <v>61485.762637327083</v>
      </c>
      <c r="AN61" s="60">
        <f t="shared" si="26"/>
        <v>62408.049076886979</v>
      </c>
      <c r="AO61" s="60">
        <f t="shared" si="26"/>
        <v>63344.169813040273</v>
      </c>
    </row>
    <row r="62" spans="2:41" x14ac:dyDescent="0.25">
      <c r="B62" s="2" t="s">
        <v>119</v>
      </c>
      <c r="C62" s="81"/>
      <c r="D62" s="81"/>
      <c r="E62" s="29"/>
      <c r="G62" s="40" t="s">
        <v>120</v>
      </c>
      <c r="H62" s="40"/>
      <c r="I62" s="40"/>
      <c r="J62" s="12">
        <f t="shared" ref="J62:AO62" si="27">J60-J61</f>
        <v>-2693444.5</v>
      </c>
      <c r="K62" s="12">
        <f t="shared" si="27"/>
        <v>392924.6879117043</v>
      </c>
      <c r="L62" s="12">
        <f t="shared" si="27"/>
        <v>116853.02454071429</v>
      </c>
      <c r="M62" s="12">
        <f t="shared" si="27"/>
        <v>128795.23380291858</v>
      </c>
      <c r="N62" s="12">
        <f t="shared" si="27"/>
        <v>141906.54538543356</v>
      </c>
      <c r="O62" s="12">
        <f t="shared" si="27"/>
        <v>156045.40510386747</v>
      </c>
      <c r="P62" s="12">
        <f t="shared" si="27"/>
        <v>171553.72370611463</v>
      </c>
      <c r="Q62" s="12">
        <f t="shared" si="27"/>
        <v>187993.62473359113</v>
      </c>
      <c r="R62" s="12">
        <f t="shared" si="27"/>
        <v>52087.343704426712</v>
      </c>
      <c r="S62" s="12">
        <f t="shared" si="27"/>
        <v>13599.958939948621</v>
      </c>
      <c r="T62" s="12">
        <f t="shared" si="27"/>
        <v>17751.223672827044</v>
      </c>
      <c r="U62" s="12">
        <f t="shared" si="27"/>
        <v>155729.00673218007</v>
      </c>
      <c r="V62" s="12">
        <f t="shared" si="27"/>
        <v>25718.826760761076</v>
      </c>
      <c r="W62" s="12">
        <f t="shared" si="27"/>
        <v>30549.422222428111</v>
      </c>
      <c r="X62" s="12">
        <f t="shared" si="27"/>
        <v>35793.728675859878</v>
      </c>
      <c r="Y62" s="12">
        <f t="shared" si="27"/>
        <v>41483.834325679949</v>
      </c>
      <c r="Z62" s="12">
        <f t="shared" si="27"/>
        <v>61533.444967764925</v>
      </c>
      <c r="AA62" s="12">
        <f t="shared" si="27"/>
        <v>54340.006903096088</v>
      </c>
      <c r="AB62" s="12">
        <f t="shared" si="27"/>
        <v>61586.498430946289</v>
      </c>
      <c r="AC62" s="12">
        <f t="shared" si="27"/>
        <v>69434.003622582313</v>
      </c>
      <c r="AD62" s="12">
        <f t="shared" si="27"/>
        <v>77931.249738189319</v>
      </c>
      <c r="AE62" s="12">
        <f t="shared" si="27"/>
        <v>591947.48093322152</v>
      </c>
      <c r="AF62" s="12">
        <f t="shared" si="27"/>
        <v>-53260.155197933942</v>
      </c>
      <c r="AG62" s="12">
        <f t="shared" si="27"/>
        <v>-54048.356704991274</v>
      </c>
      <c r="AH62" s="12">
        <f t="shared" si="27"/>
        <v>-54848.167218236216</v>
      </c>
      <c r="AI62" s="12">
        <f t="shared" si="27"/>
        <v>-55659.756592433245</v>
      </c>
      <c r="AJ62" s="12">
        <f t="shared" si="27"/>
        <v>353555.49122197134</v>
      </c>
      <c r="AK62" s="12">
        <f t="shared" si="27"/>
        <v>-57318.9636890369</v>
      </c>
      <c r="AL62" s="12">
        <f t="shared" si="27"/>
        <v>-58166.933573425369</v>
      </c>
      <c r="AM62" s="12">
        <f t="shared" si="27"/>
        <v>-59027.386714660744</v>
      </c>
      <c r="AN62" s="12">
        <f t="shared" si="27"/>
        <v>-59900.505635767317</v>
      </c>
      <c r="AO62" s="12">
        <f t="shared" si="27"/>
        <v>790987.64910188026</v>
      </c>
    </row>
    <row r="63" spans="2:41" x14ac:dyDescent="0.25">
      <c r="B63" s="33" t="s">
        <v>121</v>
      </c>
      <c r="C63" s="42">
        <v>0</v>
      </c>
      <c r="D63" s="67"/>
      <c r="E63" s="34"/>
      <c r="G63" s="86" t="s">
        <v>6</v>
      </c>
      <c r="H63" s="34"/>
      <c r="I63" s="34"/>
      <c r="J63" s="43">
        <f>IF(J11=$C$85,MEDIAN(K115,K120),0)</f>
        <v>0</v>
      </c>
      <c r="K63" s="43">
        <f t="shared" ref="K63:AO63" si="28">IF(K11=$C$85,MEDIAN(L115,L120),0)</f>
        <v>0</v>
      </c>
      <c r="L63" s="43">
        <f t="shared" si="28"/>
        <v>0</v>
      </c>
      <c r="M63" s="43">
        <f t="shared" si="28"/>
        <v>0</v>
      </c>
      <c r="N63" s="43">
        <f t="shared" si="28"/>
        <v>0</v>
      </c>
      <c r="O63" s="43">
        <f t="shared" si="28"/>
        <v>0</v>
      </c>
      <c r="P63" s="43">
        <f t="shared" si="28"/>
        <v>0</v>
      </c>
      <c r="Q63" s="43">
        <f t="shared" si="28"/>
        <v>0</v>
      </c>
      <c r="R63" s="43">
        <f t="shared" si="28"/>
        <v>0</v>
      </c>
      <c r="S63" s="43">
        <f t="shared" si="28"/>
        <v>0</v>
      </c>
      <c r="T63" s="43">
        <f t="shared" si="28"/>
        <v>0</v>
      </c>
      <c r="U63" s="43">
        <f t="shared" si="28"/>
        <v>0</v>
      </c>
      <c r="V63" s="43">
        <f t="shared" si="28"/>
        <v>0</v>
      </c>
      <c r="W63" s="43">
        <f t="shared" si="28"/>
        <v>0</v>
      </c>
      <c r="X63" s="43">
        <f t="shared" si="28"/>
        <v>0</v>
      </c>
      <c r="Y63" s="43">
        <f t="shared" si="28"/>
        <v>2993038.8145719855</v>
      </c>
      <c r="Z63" s="43">
        <f t="shared" si="28"/>
        <v>0</v>
      </c>
      <c r="AA63" s="43">
        <f t="shared" si="28"/>
        <v>0</v>
      </c>
      <c r="AB63" s="43">
        <f t="shared" si="28"/>
        <v>0</v>
      </c>
      <c r="AC63" s="43">
        <f t="shared" si="28"/>
        <v>0</v>
      </c>
      <c r="AD63" s="43">
        <f t="shared" si="28"/>
        <v>0</v>
      </c>
      <c r="AE63" s="43">
        <f t="shared" si="28"/>
        <v>0</v>
      </c>
      <c r="AF63" s="43">
        <f t="shared" si="28"/>
        <v>0</v>
      </c>
      <c r="AG63" s="43">
        <f t="shared" si="28"/>
        <v>0</v>
      </c>
      <c r="AH63" s="43">
        <f t="shared" si="28"/>
        <v>0</v>
      </c>
      <c r="AI63" s="43">
        <f t="shared" si="28"/>
        <v>0</v>
      </c>
      <c r="AJ63" s="43">
        <f t="shared" si="28"/>
        <v>0</v>
      </c>
      <c r="AK63" s="43">
        <f t="shared" si="28"/>
        <v>0</v>
      </c>
      <c r="AL63" s="43">
        <f t="shared" si="28"/>
        <v>0</v>
      </c>
      <c r="AM63" s="43">
        <f t="shared" si="28"/>
        <v>0</v>
      </c>
      <c r="AN63" s="43">
        <f t="shared" si="28"/>
        <v>0</v>
      </c>
      <c r="AO63" s="43">
        <f t="shared" si="28"/>
        <v>0</v>
      </c>
    </row>
    <row r="64" spans="2:41" x14ac:dyDescent="0.25">
      <c r="B64" s="57"/>
      <c r="C64" s="109"/>
      <c r="D64" s="12"/>
      <c r="G64" s="40" t="s">
        <v>122</v>
      </c>
      <c r="H64" s="40"/>
      <c r="I64" s="40"/>
      <c r="J64" s="12">
        <f>J62+J63</f>
        <v>-2693444.5</v>
      </c>
      <c r="K64" s="12">
        <f t="shared" ref="K64:AO64" si="29">K62+K63</f>
        <v>392924.6879117043</v>
      </c>
      <c r="L64" s="12">
        <f t="shared" si="29"/>
        <v>116853.02454071429</v>
      </c>
      <c r="M64" s="12">
        <f t="shared" si="29"/>
        <v>128795.23380291858</v>
      </c>
      <c r="N64" s="12">
        <f t="shared" si="29"/>
        <v>141906.54538543356</v>
      </c>
      <c r="O64" s="12">
        <f t="shared" si="29"/>
        <v>156045.40510386747</v>
      </c>
      <c r="P64" s="12">
        <f t="shared" si="29"/>
        <v>171553.72370611463</v>
      </c>
      <c r="Q64" s="12">
        <f t="shared" si="29"/>
        <v>187993.62473359113</v>
      </c>
      <c r="R64" s="12">
        <f t="shared" si="29"/>
        <v>52087.343704426712</v>
      </c>
      <c r="S64" s="12">
        <f t="shared" si="29"/>
        <v>13599.958939948621</v>
      </c>
      <c r="T64" s="12">
        <f t="shared" si="29"/>
        <v>17751.223672827044</v>
      </c>
      <c r="U64" s="12">
        <f t="shared" si="29"/>
        <v>155729.00673218007</v>
      </c>
      <c r="V64" s="12">
        <f t="shared" si="29"/>
        <v>25718.826760761076</v>
      </c>
      <c r="W64" s="12">
        <f t="shared" si="29"/>
        <v>30549.422222428111</v>
      </c>
      <c r="X64" s="12">
        <f t="shared" si="29"/>
        <v>35793.728675859878</v>
      </c>
      <c r="Y64" s="12">
        <f t="shared" si="29"/>
        <v>3034522.6488976656</v>
      </c>
      <c r="Z64" s="12">
        <f t="shared" si="29"/>
        <v>61533.444967764925</v>
      </c>
      <c r="AA64" s="12">
        <f t="shared" si="29"/>
        <v>54340.006903096088</v>
      </c>
      <c r="AB64" s="12">
        <f t="shared" si="29"/>
        <v>61586.498430946289</v>
      </c>
      <c r="AC64" s="12">
        <f t="shared" si="29"/>
        <v>69434.003622582313</v>
      </c>
      <c r="AD64" s="12">
        <f t="shared" si="29"/>
        <v>77931.249738189319</v>
      </c>
      <c r="AE64" s="12">
        <f t="shared" si="29"/>
        <v>591947.48093322152</v>
      </c>
      <c r="AF64" s="12">
        <f t="shared" si="29"/>
        <v>-53260.155197933942</v>
      </c>
      <c r="AG64" s="12">
        <f t="shared" si="29"/>
        <v>-54048.356704991274</v>
      </c>
      <c r="AH64" s="12">
        <f t="shared" si="29"/>
        <v>-54848.167218236216</v>
      </c>
      <c r="AI64" s="12">
        <f t="shared" si="29"/>
        <v>-55659.756592433245</v>
      </c>
      <c r="AJ64" s="12">
        <f t="shared" si="29"/>
        <v>353555.49122197134</v>
      </c>
      <c r="AK64" s="12">
        <f t="shared" si="29"/>
        <v>-57318.9636890369</v>
      </c>
      <c r="AL64" s="12">
        <f t="shared" si="29"/>
        <v>-58166.933573425369</v>
      </c>
      <c r="AM64" s="12">
        <f t="shared" si="29"/>
        <v>-59027.386714660744</v>
      </c>
      <c r="AN64" s="12">
        <f t="shared" si="29"/>
        <v>-59900.505635767317</v>
      </c>
      <c r="AO64" s="12">
        <f t="shared" si="29"/>
        <v>790987.64910188026</v>
      </c>
    </row>
    <row r="65" spans="2:41" x14ac:dyDescent="0.25">
      <c r="B65" s="2" t="s">
        <v>123</v>
      </c>
      <c r="C65" s="81"/>
      <c r="D65" s="81"/>
      <c r="E65" s="29"/>
      <c r="G65" s="101" t="s">
        <v>124</v>
      </c>
      <c r="H65" s="102"/>
      <c r="I65" s="103"/>
      <c r="J65" s="104">
        <f>J64+SUM(J49:J53)</f>
        <v>-1806700.7943500001</v>
      </c>
      <c r="K65" s="104">
        <f t="shared" ref="K65:AO65" si="30">K64+SUM(K49:K53)</f>
        <v>357122.80585520429</v>
      </c>
      <c r="L65" s="104">
        <f t="shared" si="30"/>
        <v>81051.142484214288</v>
      </c>
      <c r="M65" s="104">
        <f t="shared" si="30"/>
        <v>92993.351746418572</v>
      </c>
      <c r="N65" s="104">
        <f t="shared" si="30"/>
        <v>-109040.42219351305</v>
      </c>
      <c r="O65" s="104">
        <f t="shared" si="30"/>
        <v>-94901.562475079147</v>
      </c>
      <c r="P65" s="104">
        <f t="shared" si="30"/>
        <v>-79393.243872831983</v>
      </c>
      <c r="Q65" s="104">
        <f t="shared" si="30"/>
        <v>-58387.069127013208</v>
      </c>
      <c r="R65" s="104">
        <f t="shared" si="30"/>
        <v>34020.335760926711</v>
      </c>
      <c r="S65" s="104">
        <f t="shared" si="30"/>
        <v>-4467.0490035513794</v>
      </c>
      <c r="T65" s="104">
        <f t="shared" si="30"/>
        <v>-315.78427067295706</v>
      </c>
      <c r="U65" s="104">
        <f t="shared" si="30"/>
        <v>137661.99878868007</v>
      </c>
      <c r="V65" s="104">
        <f t="shared" si="30"/>
        <v>7651.8188172610753</v>
      </c>
      <c r="W65" s="104">
        <f t="shared" si="30"/>
        <v>12482.41427892811</v>
      </c>
      <c r="X65" s="104">
        <f t="shared" si="30"/>
        <v>17726.720732359878</v>
      </c>
      <c r="Y65" s="104">
        <f t="shared" si="30"/>
        <v>3016455.6409541657</v>
      </c>
      <c r="Z65" s="104">
        <f t="shared" si="30"/>
        <v>61533.444967764925</v>
      </c>
      <c r="AA65" s="104">
        <f t="shared" si="30"/>
        <v>54340.006903096088</v>
      </c>
      <c r="AB65" s="104">
        <f t="shared" si="30"/>
        <v>61586.498430946289</v>
      </c>
      <c r="AC65" s="104">
        <f t="shared" si="30"/>
        <v>69434.003622582313</v>
      </c>
      <c r="AD65" s="104">
        <f t="shared" si="30"/>
        <v>77931.249738189319</v>
      </c>
      <c r="AE65" s="104">
        <f t="shared" si="30"/>
        <v>591947.48093322152</v>
      </c>
      <c r="AF65" s="104">
        <f t="shared" si="30"/>
        <v>-53260.155197933942</v>
      </c>
      <c r="AG65" s="104">
        <f t="shared" si="30"/>
        <v>-54048.356704991274</v>
      </c>
      <c r="AH65" s="104">
        <f t="shared" si="30"/>
        <v>-54848.167218236216</v>
      </c>
      <c r="AI65" s="104">
        <f t="shared" si="30"/>
        <v>-55659.756592433245</v>
      </c>
      <c r="AJ65" s="104">
        <f t="shared" si="30"/>
        <v>353555.49122197134</v>
      </c>
      <c r="AK65" s="104">
        <f t="shared" si="30"/>
        <v>-57318.9636890369</v>
      </c>
      <c r="AL65" s="104">
        <f t="shared" si="30"/>
        <v>-58166.933573425369</v>
      </c>
      <c r="AM65" s="104">
        <f t="shared" si="30"/>
        <v>-59027.386714660744</v>
      </c>
      <c r="AN65" s="104">
        <f t="shared" si="30"/>
        <v>-59900.505635767317</v>
      </c>
      <c r="AO65" s="104">
        <f t="shared" si="30"/>
        <v>790987.64910188026</v>
      </c>
    </row>
    <row r="66" spans="2:41" x14ac:dyDescent="0.25">
      <c r="B66" s="33" t="s">
        <v>125</v>
      </c>
      <c r="C66" s="97">
        <v>0.17</v>
      </c>
      <c r="D66" s="67">
        <f>C66*D19</f>
        <v>877964.06500000006</v>
      </c>
      <c r="E66" s="34"/>
      <c r="G66" s="90"/>
      <c r="H66" s="105" t="s">
        <v>109</v>
      </c>
      <c r="I66" s="105"/>
      <c r="J66" s="106">
        <f>D17</f>
        <v>49421</v>
      </c>
      <c r="K66" s="105">
        <f>J66+K65</f>
        <v>406543.80585520429</v>
      </c>
      <c r="L66" s="105">
        <f t="shared" ref="L66:AO66" si="31">K66+L65</f>
        <v>487594.94833941857</v>
      </c>
      <c r="M66" s="105">
        <f t="shared" si="31"/>
        <v>580588.30008583714</v>
      </c>
      <c r="N66" s="105">
        <f t="shared" si="31"/>
        <v>471547.87789232412</v>
      </c>
      <c r="O66" s="105">
        <f t="shared" si="31"/>
        <v>376646.31541724497</v>
      </c>
      <c r="P66" s="105">
        <f t="shared" si="31"/>
        <v>297253.07154441299</v>
      </c>
      <c r="Q66" s="105">
        <f t="shared" si="31"/>
        <v>238866.00241739978</v>
      </c>
      <c r="R66" s="105">
        <f t="shared" si="31"/>
        <v>272886.33817832649</v>
      </c>
      <c r="S66" s="105">
        <f t="shared" si="31"/>
        <v>268419.28917477513</v>
      </c>
      <c r="T66" s="105">
        <f t="shared" si="31"/>
        <v>268103.50490410218</v>
      </c>
      <c r="U66" s="105">
        <f t="shared" si="31"/>
        <v>405765.50369278225</v>
      </c>
      <c r="V66" s="105">
        <f t="shared" si="31"/>
        <v>413417.32251004333</v>
      </c>
      <c r="W66" s="105">
        <f t="shared" si="31"/>
        <v>425899.73678897147</v>
      </c>
      <c r="X66" s="105">
        <f t="shared" si="31"/>
        <v>443626.45752133132</v>
      </c>
      <c r="Y66" s="105">
        <f t="shared" si="31"/>
        <v>3460082.0984754972</v>
      </c>
      <c r="Z66" s="105">
        <f t="shared" si="31"/>
        <v>3521615.5434432621</v>
      </c>
      <c r="AA66" s="105">
        <f t="shared" si="31"/>
        <v>3575955.5503463582</v>
      </c>
      <c r="AB66" s="105">
        <f t="shared" si="31"/>
        <v>3637542.0487773046</v>
      </c>
      <c r="AC66" s="105">
        <f t="shared" si="31"/>
        <v>3706976.0523998868</v>
      </c>
      <c r="AD66" s="105">
        <f t="shared" si="31"/>
        <v>3784907.3021380762</v>
      </c>
      <c r="AE66" s="105">
        <f t="shared" si="31"/>
        <v>4376854.7830712982</v>
      </c>
      <c r="AF66" s="105">
        <f t="shared" si="31"/>
        <v>4323594.6278733639</v>
      </c>
      <c r="AG66" s="105">
        <f t="shared" si="31"/>
        <v>4269546.2711683726</v>
      </c>
      <c r="AH66" s="105">
        <f t="shared" si="31"/>
        <v>4214698.1039501363</v>
      </c>
      <c r="AI66" s="105">
        <f t="shared" si="31"/>
        <v>4159038.3473577029</v>
      </c>
      <c r="AJ66" s="105">
        <f t="shared" si="31"/>
        <v>4512593.8385796743</v>
      </c>
      <c r="AK66" s="105">
        <f t="shared" si="31"/>
        <v>4455274.8748906376</v>
      </c>
      <c r="AL66" s="105">
        <f t="shared" si="31"/>
        <v>4397107.9413172118</v>
      </c>
      <c r="AM66" s="105">
        <f t="shared" si="31"/>
        <v>4338080.5546025513</v>
      </c>
      <c r="AN66" s="105">
        <f t="shared" si="31"/>
        <v>4278180.048966784</v>
      </c>
      <c r="AO66" s="105">
        <f t="shared" si="31"/>
        <v>5069167.6980686644</v>
      </c>
    </row>
    <row r="67" spans="2:41" x14ac:dyDescent="0.25">
      <c r="B67" s="33" t="s">
        <v>126</v>
      </c>
      <c r="C67" s="42"/>
      <c r="D67" s="67">
        <f>C40*SUM(J15:O15)</f>
        <v>0</v>
      </c>
      <c r="E67" s="34"/>
      <c r="H67" s="107"/>
      <c r="I67" s="107"/>
      <c r="J67" s="108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</row>
    <row r="68" spans="2:41" x14ac:dyDescent="0.25">
      <c r="B68" s="33" t="s">
        <v>127</v>
      </c>
      <c r="C68" s="110">
        <v>3</v>
      </c>
      <c r="D68" s="34"/>
      <c r="E68" s="34"/>
      <c r="G68" s="2" t="s">
        <v>128</v>
      </c>
      <c r="H68" s="2"/>
      <c r="I68" s="2"/>
      <c r="J68" s="32"/>
      <c r="K68" s="32">
        <v>1</v>
      </c>
      <c r="L68" s="32">
        <v>2</v>
      </c>
      <c r="M68" s="32">
        <v>3</v>
      </c>
      <c r="N68" s="32">
        <v>4</v>
      </c>
      <c r="O68" s="32">
        <v>5</v>
      </c>
      <c r="P68" s="32">
        <v>6</v>
      </c>
      <c r="Q68" s="32">
        <v>7</v>
      </c>
      <c r="R68" s="32">
        <v>8</v>
      </c>
      <c r="S68" s="32">
        <v>9</v>
      </c>
      <c r="T68" s="32">
        <v>10</v>
      </c>
      <c r="U68" s="32">
        <v>11</v>
      </c>
      <c r="V68" s="32">
        <v>12</v>
      </c>
      <c r="W68" s="32">
        <v>13</v>
      </c>
      <c r="X68" s="32">
        <v>14</v>
      </c>
      <c r="Y68" s="32">
        <v>15</v>
      </c>
      <c r="Z68" s="32">
        <v>16</v>
      </c>
      <c r="AA68" s="32">
        <v>17</v>
      </c>
      <c r="AB68" s="32">
        <v>18</v>
      </c>
      <c r="AC68" s="32">
        <v>19</v>
      </c>
      <c r="AD68" s="32">
        <v>20</v>
      </c>
      <c r="AE68" s="32">
        <v>21</v>
      </c>
      <c r="AF68" s="32">
        <v>22</v>
      </c>
      <c r="AG68" s="32">
        <v>23</v>
      </c>
      <c r="AH68" s="32">
        <v>24</v>
      </c>
      <c r="AI68" s="32">
        <v>25</v>
      </c>
      <c r="AJ68" s="32">
        <v>26</v>
      </c>
      <c r="AK68" s="32">
        <v>27</v>
      </c>
      <c r="AL68" s="32">
        <v>28</v>
      </c>
      <c r="AM68" s="32">
        <v>29</v>
      </c>
      <c r="AN68" s="32">
        <v>30</v>
      </c>
      <c r="AO68" s="32">
        <v>31</v>
      </c>
    </row>
    <row r="69" spans="2:41" x14ac:dyDescent="0.25">
      <c r="B69" s="33" t="s">
        <v>129</v>
      </c>
      <c r="C69" s="111">
        <v>0.02</v>
      </c>
      <c r="D69" s="34"/>
      <c r="E69" s="34"/>
      <c r="G69" s="50" t="s">
        <v>130</v>
      </c>
      <c r="H69" s="59"/>
      <c r="I69" s="59"/>
      <c r="J69" s="60">
        <f>J55</f>
        <v>-1806700.7943500001</v>
      </c>
      <c r="K69" s="60">
        <f t="shared" ref="K69:AO69" si="32">IF(K11&lt;$C$85,-K51,IF(K11=$C$85,SUM(-K51,K56),0))</f>
        <v>0</v>
      </c>
      <c r="L69" s="60">
        <f t="shared" si="32"/>
        <v>0</v>
      </c>
      <c r="M69" s="60">
        <f t="shared" si="32"/>
        <v>0</v>
      </c>
      <c r="N69" s="60">
        <f t="shared" si="32"/>
        <v>0</v>
      </c>
      <c r="O69" s="60">
        <f t="shared" si="32"/>
        <v>0</v>
      </c>
      <c r="P69" s="60">
        <f t="shared" si="32"/>
        <v>0</v>
      </c>
      <c r="Q69" s="60">
        <f t="shared" si="32"/>
        <v>0</v>
      </c>
      <c r="R69" s="60">
        <f t="shared" si="32"/>
        <v>0</v>
      </c>
      <c r="S69" s="60">
        <f t="shared" si="32"/>
        <v>0</v>
      </c>
      <c r="T69" s="60">
        <f t="shared" si="32"/>
        <v>0</v>
      </c>
      <c r="U69" s="60">
        <f t="shared" si="32"/>
        <v>0</v>
      </c>
      <c r="V69" s="60">
        <f t="shared" si="32"/>
        <v>0</v>
      </c>
      <c r="W69" s="60">
        <f t="shared" si="32"/>
        <v>0</v>
      </c>
      <c r="X69" s="60">
        <f t="shared" si="32"/>
        <v>0</v>
      </c>
      <c r="Y69" s="60">
        <f t="shared" si="32"/>
        <v>5047748.7256980455</v>
      </c>
      <c r="Z69" s="60">
        <f t="shared" si="32"/>
        <v>0</v>
      </c>
      <c r="AA69" s="60">
        <f t="shared" si="32"/>
        <v>0</v>
      </c>
      <c r="AB69" s="60">
        <f t="shared" si="32"/>
        <v>0</v>
      </c>
      <c r="AC69" s="60">
        <f t="shared" si="32"/>
        <v>0</v>
      </c>
      <c r="AD69" s="60">
        <f t="shared" si="32"/>
        <v>0</v>
      </c>
      <c r="AE69" s="60">
        <f t="shared" si="32"/>
        <v>0</v>
      </c>
      <c r="AF69" s="60">
        <f t="shared" si="32"/>
        <v>0</v>
      </c>
      <c r="AG69" s="60">
        <f t="shared" si="32"/>
        <v>0</v>
      </c>
      <c r="AH69" s="60">
        <f t="shared" si="32"/>
        <v>0</v>
      </c>
      <c r="AI69" s="60">
        <f t="shared" si="32"/>
        <v>0</v>
      </c>
      <c r="AJ69" s="60">
        <f t="shared" si="32"/>
        <v>0</v>
      </c>
      <c r="AK69" s="60">
        <f t="shared" si="32"/>
        <v>0</v>
      </c>
      <c r="AL69" s="60">
        <f t="shared" si="32"/>
        <v>0</v>
      </c>
      <c r="AM69" s="60">
        <f t="shared" si="32"/>
        <v>0</v>
      </c>
      <c r="AN69" s="60">
        <f t="shared" si="32"/>
        <v>0</v>
      </c>
      <c r="AO69" s="60">
        <f t="shared" si="32"/>
        <v>0</v>
      </c>
    </row>
    <row r="70" spans="2:41" ht="13.8" thickBot="1" x14ac:dyDescent="0.3">
      <c r="B70" s="33" t="s">
        <v>131</v>
      </c>
      <c r="C70" s="110">
        <v>7</v>
      </c>
      <c r="D70" s="34"/>
      <c r="E70" s="34"/>
      <c r="K70" s="112">
        <f>K69/-$J$69</f>
        <v>0</v>
      </c>
      <c r="L70" s="112">
        <f>L69/-$J$69</f>
        <v>0</v>
      </c>
      <c r="M70" s="112">
        <f>M69/-$J$69</f>
        <v>0</v>
      </c>
      <c r="N70" s="112">
        <f t="shared" ref="N70:AO70" si="33">N69/-$J$69</f>
        <v>0</v>
      </c>
      <c r="O70" s="112">
        <f t="shared" si="33"/>
        <v>0</v>
      </c>
      <c r="P70" s="112">
        <f t="shared" si="33"/>
        <v>0</v>
      </c>
      <c r="Q70" s="112">
        <f>Q69/-$J$69</f>
        <v>0</v>
      </c>
      <c r="R70" s="112">
        <f t="shared" si="33"/>
        <v>0</v>
      </c>
      <c r="S70" s="112">
        <f t="shared" si="33"/>
        <v>0</v>
      </c>
      <c r="T70" s="112">
        <f t="shared" si="33"/>
        <v>0</v>
      </c>
      <c r="U70" s="112">
        <f t="shared" si="33"/>
        <v>0</v>
      </c>
      <c r="V70" s="112">
        <f t="shared" si="33"/>
        <v>0</v>
      </c>
      <c r="W70" s="112">
        <f t="shared" si="33"/>
        <v>0</v>
      </c>
      <c r="X70" s="112">
        <f t="shared" si="33"/>
        <v>0</v>
      </c>
      <c r="Y70" s="112">
        <f t="shared" si="33"/>
        <v>2.7939040827809469</v>
      </c>
      <c r="Z70" s="112">
        <f t="shared" si="33"/>
        <v>0</v>
      </c>
      <c r="AA70" s="112">
        <f t="shared" si="33"/>
        <v>0</v>
      </c>
      <c r="AB70" s="112">
        <f t="shared" si="33"/>
        <v>0</v>
      </c>
      <c r="AC70" s="112">
        <f t="shared" si="33"/>
        <v>0</v>
      </c>
      <c r="AD70" s="112">
        <f t="shared" si="33"/>
        <v>0</v>
      </c>
      <c r="AE70" s="112">
        <f t="shared" si="33"/>
        <v>0</v>
      </c>
      <c r="AF70" s="112">
        <f t="shared" si="33"/>
        <v>0</v>
      </c>
      <c r="AG70" s="112">
        <f t="shared" si="33"/>
        <v>0</v>
      </c>
      <c r="AH70" s="112">
        <f t="shared" si="33"/>
        <v>0</v>
      </c>
      <c r="AI70" s="112">
        <f t="shared" si="33"/>
        <v>0</v>
      </c>
      <c r="AJ70" s="112">
        <f t="shared" si="33"/>
        <v>0</v>
      </c>
      <c r="AK70" s="112">
        <f t="shared" si="33"/>
        <v>0</v>
      </c>
      <c r="AL70" s="112">
        <f t="shared" si="33"/>
        <v>0</v>
      </c>
      <c r="AM70" s="112">
        <f t="shared" si="33"/>
        <v>0</v>
      </c>
      <c r="AN70" s="112">
        <f t="shared" si="33"/>
        <v>0</v>
      </c>
      <c r="AO70" s="112">
        <f t="shared" si="33"/>
        <v>0</v>
      </c>
    </row>
    <row r="71" spans="2:41" x14ac:dyDescent="0.25">
      <c r="B71" s="33" t="s">
        <v>132</v>
      </c>
      <c r="C71" s="110">
        <v>4</v>
      </c>
      <c r="D71" s="34"/>
      <c r="E71" s="34"/>
      <c r="G71" s="113"/>
      <c r="H71" s="114" t="s">
        <v>133</v>
      </c>
      <c r="I71" s="115">
        <f>IRR(J69:AO69)</f>
        <v>7.0896336397523241E-2</v>
      </c>
    </row>
    <row r="72" spans="2:41" x14ac:dyDescent="0.25">
      <c r="B72" s="33" t="s">
        <v>134</v>
      </c>
      <c r="C72" s="42">
        <v>0.01</v>
      </c>
      <c r="D72" s="67">
        <f>D66*C72</f>
        <v>8779.6406500000012</v>
      </c>
      <c r="E72" s="34"/>
      <c r="G72" s="116"/>
      <c r="H72" s="40" t="s">
        <v>135</v>
      </c>
      <c r="I72" s="117">
        <f>SUM(K69:AO69)/-J69</f>
        <v>2.7939040827809469</v>
      </c>
      <c r="Y72" s="118"/>
    </row>
    <row r="73" spans="2:41" ht="13.8" thickBot="1" x14ac:dyDescent="0.3">
      <c r="G73" s="119"/>
      <c r="H73" s="120" t="s">
        <v>136</v>
      </c>
      <c r="I73" s="121">
        <f>J69+NPV(0.05,K69:AO69)</f>
        <v>621352.64957766514</v>
      </c>
    </row>
    <row r="74" spans="2:41" x14ac:dyDescent="0.25">
      <c r="B74" s="2" t="s">
        <v>137</v>
      </c>
      <c r="C74" s="81"/>
      <c r="D74" s="81"/>
      <c r="E74" s="29"/>
      <c r="H74" s="40"/>
      <c r="I74" s="122"/>
      <c r="J74" s="12"/>
    </row>
    <row r="75" spans="2:41" x14ac:dyDescent="0.25">
      <c r="B75" s="33" t="s">
        <v>125</v>
      </c>
      <c r="C75" s="34"/>
      <c r="D75" s="67">
        <f>D29</f>
        <v>0</v>
      </c>
      <c r="E75" s="34"/>
      <c r="G75" s="2" t="s">
        <v>138</v>
      </c>
      <c r="H75" s="2"/>
      <c r="I75" s="2"/>
      <c r="J75" s="32"/>
      <c r="K75" s="32">
        <v>1</v>
      </c>
      <c r="L75" s="32">
        <v>2</v>
      </c>
      <c r="M75" s="32">
        <v>3</v>
      </c>
      <c r="N75" s="32">
        <v>4</v>
      </c>
      <c r="O75" s="32">
        <v>5</v>
      </c>
      <c r="P75" s="32">
        <v>6</v>
      </c>
      <c r="Q75" s="32">
        <v>7</v>
      </c>
      <c r="R75" s="32">
        <v>8</v>
      </c>
      <c r="S75" s="32">
        <v>9</v>
      </c>
      <c r="T75" s="32">
        <v>10</v>
      </c>
      <c r="U75" s="32">
        <v>11</v>
      </c>
      <c r="V75" s="32">
        <v>12</v>
      </c>
      <c r="W75" s="32">
        <v>13</v>
      </c>
      <c r="X75" s="32">
        <v>14</v>
      </c>
      <c r="Y75" s="32">
        <v>15</v>
      </c>
      <c r="Z75" s="32">
        <v>16</v>
      </c>
      <c r="AA75" s="32">
        <v>17</v>
      </c>
      <c r="AB75" s="32">
        <v>18</v>
      </c>
      <c r="AC75" s="32">
        <v>19</v>
      </c>
      <c r="AD75" s="32">
        <v>20</v>
      </c>
      <c r="AE75" s="32">
        <v>21</v>
      </c>
      <c r="AF75" s="32">
        <v>22</v>
      </c>
      <c r="AG75" s="32">
        <v>23</v>
      </c>
      <c r="AH75" s="32">
        <v>24</v>
      </c>
      <c r="AI75" s="32">
        <v>25</v>
      </c>
      <c r="AJ75" s="32">
        <v>26</v>
      </c>
      <c r="AK75" s="32">
        <v>27</v>
      </c>
      <c r="AL75" s="32">
        <v>28</v>
      </c>
      <c r="AM75" s="32">
        <v>29</v>
      </c>
      <c r="AN75" s="32">
        <v>30</v>
      </c>
      <c r="AO75" s="32">
        <v>31</v>
      </c>
    </row>
    <row r="76" spans="2:41" x14ac:dyDescent="0.25">
      <c r="B76" s="33" t="s">
        <v>139</v>
      </c>
      <c r="C76" s="42">
        <v>1.2500000000000001E-2</v>
      </c>
      <c r="D76" s="123"/>
      <c r="E76" s="34"/>
      <c r="G76" s="50" t="s">
        <v>130</v>
      </c>
      <c r="H76" s="59"/>
      <c r="I76" s="59"/>
      <c r="J76" s="60">
        <f>J55</f>
        <v>-1806700.7943500001</v>
      </c>
      <c r="K76" s="60">
        <f>IF(K11&lt;$C$85,-K51,IF(K11=$C$85,SUM(-K51,K66),0))</f>
        <v>0</v>
      </c>
      <c r="L76" s="60">
        <f t="shared" ref="L76:AO76" si="34">IF(L11&lt;$C$85,-L51,IF(L11=$C$85,SUM(-L51,L66),0))</f>
        <v>0</v>
      </c>
      <c r="M76" s="60">
        <f t="shared" si="34"/>
        <v>0</v>
      </c>
      <c r="N76" s="60">
        <f t="shared" si="34"/>
        <v>0</v>
      </c>
      <c r="O76" s="60">
        <f t="shared" si="34"/>
        <v>0</v>
      </c>
      <c r="P76" s="60">
        <f t="shared" si="34"/>
        <v>0</v>
      </c>
      <c r="Q76" s="60">
        <f t="shared" si="34"/>
        <v>0</v>
      </c>
      <c r="R76" s="60">
        <f t="shared" si="34"/>
        <v>0</v>
      </c>
      <c r="S76" s="60">
        <f t="shared" si="34"/>
        <v>0</v>
      </c>
      <c r="T76" s="60">
        <f t="shared" si="34"/>
        <v>0</v>
      </c>
      <c r="U76" s="60">
        <f t="shared" si="34"/>
        <v>0</v>
      </c>
      <c r="V76" s="60">
        <f t="shared" si="34"/>
        <v>0</v>
      </c>
      <c r="W76" s="60">
        <f t="shared" si="34"/>
        <v>0</v>
      </c>
      <c r="X76" s="60">
        <f t="shared" si="34"/>
        <v>0</v>
      </c>
      <c r="Y76" s="60">
        <f>IF(Y11&lt;$C$85,-Y51,IF(Y11=$C$85,SUM(-Y51,Y66),0))</f>
        <v>3460082.0984754972</v>
      </c>
      <c r="Z76" s="60">
        <f t="shared" si="34"/>
        <v>0</v>
      </c>
      <c r="AA76" s="60">
        <f t="shared" si="34"/>
        <v>0</v>
      </c>
      <c r="AB76" s="60">
        <f t="shared" si="34"/>
        <v>0</v>
      </c>
      <c r="AC76" s="60">
        <f t="shared" si="34"/>
        <v>0</v>
      </c>
      <c r="AD76" s="60">
        <f t="shared" si="34"/>
        <v>0</v>
      </c>
      <c r="AE76" s="60">
        <f t="shared" si="34"/>
        <v>0</v>
      </c>
      <c r="AF76" s="60">
        <f t="shared" si="34"/>
        <v>0</v>
      </c>
      <c r="AG76" s="60">
        <f t="shared" si="34"/>
        <v>0</v>
      </c>
      <c r="AH76" s="60">
        <f t="shared" si="34"/>
        <v>0</v>
      </c>
      <c r="AI76" s="60">
        <f t="shared" si="34"/>
        <v>0</v>
      </c>
      <c r="AJ76" s="60">
        <f t="shared" si="34"/>
        <v>0</v>
      </c>
      <c r="AK76" s="60">
        <f t="shared" si="34"/>
        <v>0</v>
      </c>
      <c r="AL76" s="60">
        <f t="shared" si="34"/>
        <v>0</v>
      </c>
      <c r="AM76" s="60">
        <f t="shared" si="34"/>
        <v>0</v>
      </c>
      <c r="AN76" s="60">
        <f t="shared" si="34"/>
        <v>0</v>
      </c>
      <c r="AO76" s="60">
        <f t="shared" si="34"/>
        <v>0</v>
      </c>
    </row>
    <row r="77" spans="2:41" ht="13.8" thickBot="1" x14ac:dyDescent="0.3">
      <c r="K77" s="112">
        <f t="shared" ref="K77:AO77" si="35">K76/-$J$69</f>
        <v>0</v>
      </c>
      <c r="L77" s="112">
        <f t="shared" si="35"/>
        <v>0</v>
      </c>
      <c r="M77" s="112">
        <f t="shared" si="35"/>
        <v>0</v>
      </c>
      <c r="N77" s="112">
        <f t="shared" si="35"/>
        <v>0</v>
      </c>
      <c r="O77" s="112">
        <f t="shared" si="35"/>
        <v>0</v>
      </c>
      <c r="P77" s="112">
        <f t="shared" si="35"/>
        <v>0</v>
      </c>
      <c r="Q77" s="112">
        <f t="shared" si="35"/>
        <v>0</v>
      </c>
      <c r="R77" s="112">
        <f t="shared" si="35"/>
        <v>0</v>
      </c>
      <c r="S77" s="112">
        <f t="shared" si="35"/>
        <v>0</v>
      </c>
      <c r="T77" s="112">
        <f t="shared" si="35"/>
        <v>0</v>
      </c>
      <c r="U77" s="112">
        <f t="shared" si="35"/>
        <v>0</v>
      </c>
      <c r="V77" s="112">
        <f t="shared" si="35"/>
        <v>0</v>
      </c>
      <c r="W77" s="112">
        <f t="shared" si="35"/>
        <v>0</v>
      </c>
      <c r="X77" s="112">
        <f t="shared" si="35"/>
        <v>0</v>
      </c>
      <c r="Y77" s="112">
        <f t="shared" si="35"/>
        <v>1.9151384165524414</v>
      </c>
      <c r="Z77" s="112">
        <f t="shared" si="35"/>
        <v>0</v>
      </c>
      <c r="AA77" s="112">
        <f t="shared" si="35"/>
        <v>0</v>
      </c>
      <c r="AB77" s="112">
        <f t="shared" si="35"/>
        <v>0</v>
      </c>
      <c r="AC77" s="112">
        <f t="shared" si="35"/>
        <v>0</v>
      </c>
      <c r="AD77" s="112">
        <f t="shared" si="35"/>
        <v>0</v>
      </c>
      <c r="AE77" s="112">
        <f t="shared" si="35"/>
        <v>0</v>
      </c>
      <c r="AF77" s="112">
        <f t="shared" si="35"/>
        <v>0</v>
      </c>
      <c r="AG77" s="112">
        <f t="shared" si="35"/>
        <v>0</v>
      </c>
      <c r="AH77" s="112">
        <f t="shared" si="35"/>
        <v>0</v>
      </c>
      <c r="AI77" s="112">
        <f t="shared" si="35"/>
        <v>0</v>
      </c>
      <c r="AJ77" s="112">
        <f t="shared" si="35"/>
        <v>0</v>
      </c>
      <c r="AK77" s="112">
        <f t="shared" si="35"/>
        <v>0</v>
      </c>
      <c r="AL77" s="112">
        <f t="shared" si="35"/>
        <v>0</v>
      </c>
      <c r="AM77" s="112">
        <f t="shared" si="35"/>
        <v>0</v>
      </c>
      <c r="AN77" s="112">
        <f t="shared" si="35"/>
        <v>0</v>
      </c>
      <c r="AO77" s="112">
        <f t="shared" si="35"/>
        <v>0</v>
      </c>
    </row>
    <row r="78" spans="2:41" x14ac:dyDescent="0.25">
      <c r="B78" s="2" t="s">
        <v>140</v>
      </c>
      <c r="C78" s="81"/>
      <c r="D78" s="81"/>
      <c r="E78" s="29"/>
      <c r="G78" s="113"/>
      <c r="H78" s="114" t="s">
        <v>133</v>
      </c>
      <c r="I78" s="115">
        <f>IRR(J76:AO76)</f>
        <v>4.4271305303612563E-2</v>
      </c>
    </row>
    <row r="79" spans="2:41" x14ac:dyDescent="0.25">
      <c r="B79" s="33" t="s">
        <v>141</v>
      </c>
      <c r="C79" s="42">
        <v>0.01</v>
      </c>
      <c r="D79" s="34"/>
      <c r="E79" s="34"/>
      <c r="G79" s="116"/>
      <c r="H79" s="40" t="s">
        <v>135</v>
      </c>
      <c r="I79" s="117">
        <f>SUM(K76:AO76)/-J76</f>
        <v>1.9151384165524414</v>
      </c>
      <c r="X79" s="124" t="s">
        <v>142</v>
      </c>
      <c r="Y79" s="124">
        <v>2159202</v>
      </c>
    </row>
    <row r="80" spans="2:41" ht="13.8" thickBot="1" x14ac:dyDescent="0.3">
      <c r="B80" s="33" t="s">
        <v>143</v>
      </c>
      <c r="C80" s="42">
        <v>0</v>
      </c>
      <c r="D80" s="34"/>
      <c r="E80" s="34"/>
      <c r="G80" s="119"/>
      <c r="H80" s="120" t="s">
        <v>136</v>
      </c>
      <c r="I80" s="121">
        <f>J76+NPV(0.05,K76:AO76)</f>
        <v>-142342.14418480266</v>
      </c>
      <c r="X80" s="124" t="s">
        <v>144</v>
      </c>
      <c r="Y80" s="124">
        <v>2008115</v>
      </c>
    </row>
    <row r="81" spans="1:41" x14ac:dyDescent="0.25">
      <c r="B81" s="33" t="s">
        <v>145</v>
      </c>
      <c r="D81" s="125">
        <f>C18</f>
        <v>2.5000000000000001E-2</v>
      </c>
      <c r="E81" s="34"/>
      <c r="H81" s="40"/>
      <c r="I81" s="122"/>
      <c r="J81" s="12"/>
    </row>
    <row r="82" spans="1:41" x14ac:dyDescent="0.25">
      <c r="B82" s="33" t="s">
        <v>146</v>
      </c>
      <c r="C82" s="85" t="s">
        <v>147</v>
      </c>
      <c r="D82" s="34"/>
      <c r="E82" s="34"/>
      <c r="G82" s="2" t="s">
        <v>148</v>
      </c>
      <c r="H82" s="2"/>
      <c r="I82" s="2"/>
      <c r="J82" s="32"/>
      <c r="K82" s="32">
        <v>1</v>
      </c>
      <c r="L82" s="32">
        <v>2</v>
      </c>
      <c r="M82" s="32">
        <v>3</v>
      </c>
      <c r="N82" s="32">
        <v>4</v>
      </c>
      <c r="O82" s="32">
        <v>5</v>
      </c>
      <c r="P82" s="32">
        <v>6</v>
      </c>
      <c r="Q82" s="32">
        <v>7</v>
      </c>
      <c r="R82" s="32">
        <v>8</v>
      </c>
      <c r="S82" s="32">
        <v>9</v>
      </c>
      <c r="T82" s="32">
        <v>10</v>
      </c>
      <c r="U82" s="32">
        <v>11</v>
      </c>
      <c r="V82" s="32">
        <v>12</v>
      </c>
      <c r="W82" s="32">
        <v>13</v>
      </c>
      <c r="X82" s="32">
        <v>14</v>
      </c>
      <c r="Y82" s="32">
        <v>15</v>
      </c>
      <c r="Z82" s="32">
        <v>16</v>
      </c>
      <c r="AA82" s="32">
        <v>17</v>
      </c>
      <c r="AB82" s="32">
        <v>18</v>
      </c>
      <c r="AC82" s="32">
        <v>19</v>
      </c>
      <c r="AD82" s="32">
        <v>20</v>
      </c>
      <c r="AE82" s="32">
        <v>21</v>
      </c>
      <c r="AF82" s="32">
        <v>22</v>
      </c>
      <c r="AG82" s="32">
        <v>23</v>
      </c>
      <c r="AH82" s="32">
        <v>24</v>
      </c>
      <c r="AI82" s="32">
        <v>25</v>
      </c>
      <c r="AJ82" s="32">
        <v>26</v>
      </c>
      <c r="AK82" s="32">
        <v>27</v>
      </c>
      <c r="AL82" s="32">
        <v>28</v>
      </c>
      <c r="AM82" s="32">
        <v>29</v>
      </c>
      <c r="AN82" s="32">
        <v>30</v>
      </c>
      <c r="AO82" s="32">
        <v>31</v>
      </c>
    </row>
    <row r="83" spans="1:41" x14ac:dyDescent="0.25">
      <c r="G83" s="50" t="s">
        <v>149</v>
      </c>
      <c r="H83" s="59"/>
      <c r="I83" s="59"/>
      <c r="J83" s="60">
        <f>-J97</f>
        <v>-886743.70565000002</v>
      </c>
      <c r="K83" s="60">
        <f>K102</f>
        <v>17734.874113000002</v>
      </c>
      <c r="L83" s="60">
        <f t="shared" ref="L83:AO83" si="36">L102</f>
        <v>17734.874113000002</v>
      </c>
      <c r="M83" s="60">
        <f t="shared" si="36"/>
        <v>17734.874113000002</v>
      </c>
      <c r="N83" s="60">
        <f t="shared" si="36"/>
        <v>232879.9596354466</v>
      </c>
      <c r="O83" s="60">
        <f t="shared" si="36"/>
        <v>232879.9596354466</v>
      </c>
      <c r="P83" s="60">
        <f t="shared" si="36"/>
        <v>232879.9596354466</v>
      </c>
      <c r="Q83" s="60">
        <f t="shared" si="36"/>
        <v>228313.68591710433</v>
      </c>
      <c r="R83" s="60">
        <f t="shared" si="36"/>
        <v>0</v>
      </c>
      <c r="S83" s="60">
        <f t="shared" si="36"/>
        <v>0</v>
      </c>
      <c r="T83" s="60">
        <f t="shared" si="36"/>
        <v>0</v>
      </c>
      <c r="U83" s="60">
        <f t="shared" si="36"/>
        <v>0</v>
      </c>
      <c r="V83" s="60">
        <f t="shared" si="36"/>
        <v>0</v>
      </c>
      <c r="W83" s="60">
        <f t="shared" si="36"/>
        <v>0</v>
      </c>
      <c r="X83" s="60">
        <f t="shared" si="36"/>
        <v>0</v>
      </c>
      <c r="Y83" s="60">
        <f t="shared" si="36"/>
        <v>0</v>
      </c>
      <c r="Z83" s="60">
        <f t="shared" si="36"/>
        <v>0</v>
      </c>
      <c r="AA83" s="60">
        <f t="shared" si="36"/>
        <v>0</v>
      </c>
      <c r="AB83" s="60">
        <f t="shared" si="36"/>
        <v>0</v>
      </c>
      <c r="AC83" s="60">
        <f t="shared" si="36"/>
        <v>0</v>
      </c>
      <c r="AD83" s="60">
        <f t="shared" si="36"/>
        <v>0</v>
      </c>
      <c r="AE83" s="60">
        <f t="shared" si="36"/>
        <v>0</v>
      </c>
      <c r="AF83" s="60">
        <f t="shared" si="36"/>
        <v>0</v>
      </c>
      <c r="AG83" s="60">
        <f t="shared" si="36"/>
        <v>0</v>
      </c>
      <c r="AH83" s="60">
        <f t="shared" si="36"/>
        <v>0</v>
      </c>
      <c r="AI83" s="60">
        <f t="shared" si="36"/>
        <v>0</v>
      </c>
      <c r="AJ83" s="60">
        <f t="shared" si="36"/>
        <v>0</v>
      </c>
      <c r="AK83" s="60">
        <f t="shared" si="36"/>
        <v>0</v>
      </c>
      <c r="AL83" s="60">
        <f t="shared" si="36"/>
        <v>0</v>
      </c>
      <c r="AM83" s="60">
        <f t="shared" si="36"/>
        <v>0</v>
      </c>
      <c r="AN83" s="60">
        <f t="shared" si="36"/>
        <v>0</v>
      </c>
      <c r="AO83" s="60">
        <f t="shared" si="36"/>
        <v>0</v>
      </c>
    </row>
    <row r="84" spans="1:41" ht="13.8" thickBot="1" x14ac:dyDescent="0.3">
      <c r="B84" s="2" t="s">
        <v>6</v>
      </c>
      <c r="C84" s="81"/>
      <c r="D84" s="81"/>
      <c r="E84" s="29"/>
      <c r="K84" s="112">
        <f>K83/-$J$69</f>
        <v>9.8161655590462658E-3</v>
      </c>
      <c r="L84" s="112">
        <f>L83/-$J$69</f>
        <v>9.8161655590462658E-3</v>
      </c>
      <c r="M84" s="112">
        <f>M83/-$J$69</f>
        <v>9.8161655590462658E-3</v>
      </c>
      <c r="N84" s="112">
        <f t="shared" ref="N84:P84" si="37">N83/-$J$69</f>
        <v>0.12889791179796886</v>
      </c>
      <c r="O84" s="112">
        <f t="shared" si="37"/>
        <v>0.12889791179796886</v>
      </c>
      <c r="P84" s="112">
        <f t="shared" si="37"/>
        <v>0.12889791179796886</v>
      </c>
      <c r="Q84" s="112">
        <f>Q83/-$J$69</f>
        <v>0.12637050176271447</v>
      </c>
      <c r="R84" s="112">
        <f t="shared" ref="R84:AO84" si="38">R83/-$J$69</f>
        <v>0</v>
      </c>
      <c r="S84" s="112">
        <f t="shared" si="38"/>
        <v>0</v>
      </c>
      <c r="T84" s="112">
        <f t="shared" si="38"/>
        <v>0</v>
      </c>
      <c r="U84" s="112">
        <f t="shared" si="38"/>
        <v>0</v>
      </c>
      <c r="V84" s="112">
        <f t="shared" si="38"/>
        <v>0</v>
      </c>
      <c r="W84" s="112">
        <f t="shared" si="38"/>
        <v>0</v>
      </c>
      <c r="X84" s="112">
        <f t="shared" si="38"/>
        <v>0</v>
      </c>
      <c r="Y84" s="112">
        <f t="shared" si="38"/>
        <v>0</v>
      </c>
      <c r="Z84" s="112">
        <f t="shared" si="38"/>
        <v>0</v>
      </c>
      <c r="AA84" s="112">
        <f t="shared" si="38"/>
        <v>0</v>
      </c>
      <c r="AB84" s="112">
        <f t="shared" si="38"/>
        <v>0</v>
      </c>
      <c r="AC84" s="112">
        <f t="shared" si="38"/>
        <v>0</v>
      </c>
      <c r="AD84" s="112">
        <f t="shared" si="38"/>
        <v>0</v>
      </c>
      <c r="AE84" s="112">
        <f t="shared" si="38"/>
        <v>0</v>
      </c>
      <c r="AF84" s="112">
        <f t="shared" si="38"/>
        <v>0</v>
      </c>
      <c r="AG84" s="112">
        <f t="shared" si="38"/>
        <v>0</v>
      </c>
      <c r="AH84" s="112">
        <f t="shared" si="38"/>
        <v>0</v>
      </c>
      <c r="AI84" s="112">
        <f t="shared" si="38"/>
        <v>0</v>
      </c>
      <c r="AJ84" s="112">
        <f t="shared" si="38"/>
        <v>0</v>
      </c>
      <c r="AK84" s="112">
        <f t="shared" si="38"/>
        <v>0</v>
      </c>
      <c r="AL84" s="112">
        <f t="shared" si="38"/>
        <v>0</v>
      </c>
      <c r="AM84" s="112">
        <f t="shared" si="38"/>
        <v>0</v>
      </c>
      <c r="AN84" s="112">
        <f t="shared" si="38"/>
        <v>0</v>
      </c>
      <c r="AO84" s="112">
        <f t="shared" si="38"/>
        <v>0</v>
      </c>
    </row>
    <row r="85" spans="1:41" x14ac:dyDescent="0.25">
      <c r="B85" s="33" t="s">
        <v>150</v>
      </c>
      <c r="C85" s="110">
        <v>15</v>
      </c>
      <c r="D85" s="34"/>
      <c r="E85" s="34"/>
      <c r="G85" s="113"/>
      <c r="H85" s="114" t="s">
        <v>133</v>
      </c>
      <c r="I85" s="115">
        <f>IRR(J83:AE83)</f>
        <v>1.9130271372206575E-2</v>
      </c>
    </row>
    <row r="86" spans="1:41" ht="13.8" thickBot="1" x14ac:dyDescent="0.3">
      <c r="B86" s="33" t="s">
        <v>151</v>
      </c>
      <c r="C86" s="42">
        <v>0.06</v>
      </c>
      <c r="D86" s="34"/>
      <c r="E86" s="34"/>
      <c r="G86" s="119"/>
      <c r="H86" s="120" t="s">
        <v>136</v>
      </c>
      <c r="I86" s="121">
        <f>J83+NPV(0.05,K83:AE83)</f>
        <v>-128351.89808606787</v>
      </c>
    </row>
    <row r="87" spans="1:41" x14ac:dyDescent="0.25">
      <c r="B87" s="33" t="s">
        <v>152</v>
      </c>
      <c r="C87" s="42">
        <f>C36+10%</f>
        <v>0.6</v>
      </c>
      <c r="D87" s="34"/>
      <c r="E87" s="34"/>
      <c r="H87" s="40"/>
      <c r="I87" s="122"/>
      <c r="J87" s="12"/>
    </row>
    <row r="88" spans="1:41" x14ac:dyDescent="0.25">
      <c r="B88" s="33" t="s">
        <v>153</v>
      </c>
      <c r="C88" s="42">
        <v>0.5</v>
      </c>
      <c r="D88" s="34"/>
      <c r="E88" s="34"/>
      <c r="J88" s="12"/>
    </row>
    <row r="89" spans="1:41" x14ac:dyDescent="0.25">
      <c r="B89" s="33" t="s">
        <v>154</v>
      </c>
      <c r="C89" s="42">
        <v>0.05</v>
      </c>
      <c r="D89" s="34"/>
      <c r="E89" s="34"/>
      <c r="G89" s="2" t="s">
        <v>155</v>
      </c>
      <c r="H89" s="2"/>
      <c r="I89" s="2"/>
      <c r="J89" s="32"/>
      <c r="K89" s="32">
        <v>1</v>
      </c>
      <c r="L89" s="32">
        <v>2</v>
      </c>
      <c r="M89" s="32">
        <v>3</v>
      </c>
      <c r="N89" s="32">
        <v>4</v>
      </c>
      <c r="O89" s="32">
        <v>5</v>
      </c>
      <c r="P89" s="32">
        <v>6</v>
      </c>
      <c r="Q89" s="32">
        <v>7</v>
      </c>
      <c r="R89" s="32">
        <v>8</v>
      </c>
      <c r="S89" s="32">
        <v>9</v>
      </c>
      <c r="T89" s="32">
        <v>10</v>
      </c>
      <c r="U89" s="32">
        <v>11</v>
      </c>
      <c r="V89" s="32">
        <v>12</v>
      </c>
      <c r="W89" s="32">
        <v>13</v>
      </c>
      <c r="X89" s="32">
        <v>14</v>
      </c>
      <c r="Y89" s="32">
        <v>15</v>
      </c>
      <c r="Z89" s="32">
        <v>16</v>
      </c>
      <c r="AA89" s="32">
        <v>17</v>
      </c>
      <c r="AB89" s="32">
        <v>18</v>
      </c>
      <c r="AC89" s="32">
        <v>19</v>
      </c>
      <c r="AD89" s="32">
        <v>20</v>
      </c>
      <c r="AE89" s="32">
        <v>21</v>
      </c>
      <c r="AF89" s="32">
        <v>22</v>
      </c>
      <c r="AG89" s="32">
        <v>23</v>
      </c>
      <c r="AH89" s="32">
        <v>24</v>
      </c>
      <c r="AI89" s="32">
        <v>25</v>
      </c>
      <c r="AJ89" s="32">
        <v>26</v>
      </c>
      <c r="AK89" s="32">
        <v>27</v>
      </c>
      <c r="AL89" s="32">
        <v>28</v>
      </c>
      <c r="AM89" s="32">
        <v>29</v>
      </c>
      <c r="AN89" s="32">
        <v>30</v>
      </c>
      <c r="AO89" s="32">
        <v>31</v>
      </c>
    </row>
    <row r="90" spans="1:41" x14ac:dyDescent="0.25">
      <c r="A90" s="126"/>
      <c r="B90" s="33" t="s">
        <v>156</v>
      </c>
      <c r="C90" s="42">
        <v>0.01</v>
      </c>
      <c r="D90" s="34"/>
      <c r="E90" s="34"/>
      <c r="G90" s="40" t="s">
        <v>157</v>
      </c>
      <c r="J90" s="12">
        <f>$D$75</f>
        <v>0</v>
      </c>
      <c r="K90" s="12">
        <f>J94</f>
        <v>0</v>
      </c>
      <c r="L90" s="12">
        <f t="shared" ref="L90:AO90" si="39">K94</f>
        <v>0</v>
      </c>
      <c r="M90" s="12">
        <f t="shared" si="39"/>
        <v>0</v>
      </c>
      <c r="N90" s="12">
        <f t="shared" si="39"/>
        <v>0</v>
      </c>
      <c r="O90" s="12">
        <f t="shared" si="39"/>
        <v>0</v>
      </c>
      <c r="P90" s="12">
        <f t="shared" si="39"/>
        <v>0</v>
      </c>
      <c r="Q90" s="12">
        <f t="shared" si="39"/>
        <v>0</v>
      </c>
      <c r="R90" s="12">
        <f t="shared" si="39"/>
        <v>0</v>
      </c>
      <c r="S90" s="12">
        <f t="shared" si="39"/>
        <v>0</v>
      </c>
      <c r="T90" s="12">
        <f t="shared" si="39"/>
        <v>0</v>
      </c>
      <c r="U90" s="12">
        <f t="shared" si="39"/>
        <v>0</v>
      </c>
      <c r="V90" s="12">
        <f t="shared" si="39"/>
        <v>0</v>
      </c>
      <c r="W90" s="12">
        <f t="shared" si="39"/>
        <v>0</v>
      </c>
      <c r="X90" s="12">
        <f t="shared" si="39"/>
        <v>0</v>
      </c>
      <c r="Y90" s="12">
        <f t="shared" si="39"/>
        <v>0</v>
      </c>
      <c r="Z90" s="12">
        <f t="shared" si="39"/>
        <v>0</v>
      </c>
      <c r="AA90" s="12">
        <f t="shared" si="39"/>
        <v>0</v>
      </c>
      <c r="AB90" s="12">
        <f t="shared" si="39"/>
        <v>0</v>
      </c>
      <c r="AC90" s="12">
        <f t="shared" si="39"/>
        <v>0</v>
      </c>
      <c r="AD90" s="12">
        <f t="shared" si="39"/>
        <v>0</v>
      </c>
      <c r="AE90" s="12">
        <f t="shared" si="39"/>
        <v>0</v>
      </c>
      <c r="AF90" s="12">
        <f t="shared" si="39"/>
        <v>0</v>
      </c>
      <c r="AG90" s="12">
        <f t="shared" si="39"/>
        <v>0</v>
      </c>
      <c r="AH90" s="12">
        <f t="shared" si="39"/>
        <v>0</v>
      </c>
      <c r="AI90" s="12">
        <f t="shared" si="39"/>
        <v>0</v>
      </c>
      <c r="AJ90" s="12">
        <f t="shared" si="39"/>
        <v>0</v>
      </c>
      <c r="AK90" s="12">
        <f t="shared" si="39"/>
        <v>0</v>
      </c>
      <c r="AL90" s="12">
        <f t="shared" si="39"/>
        <v>0</v>
      </c>
      <c r="AM90" s="12">
        <f t="shared" si="39"/>
        <v>0</v>
      </c>
      <c r="AN90" s="12">
        <f t="shared" si="39"/>
        <v>0</v>
      </c>
      <c r="AO90" s="12">
        <f t="shared" si="39"/>
        <v>0</v>
      </c>
    </row>
    <row r="91" spans="1:41" x14ac:dyDescent="0.25">
      <c r="A91" s="126"/>
      <c r="B91" s="33" t="s">
        <v>121</v>
      </c>
      <c r="C91" s="42"/>
      <c r="D91" s="34"/>
      <c r="E91" s="34"/>
      <c r="G91" s="36"/>
      <c r="H91" s="35" t="s">
        <v>158</v>
      </c>
      <c r="I91" s="36"/>
      <c r="J91" s="36"/>
      <c r="K91" s="94">
        <f t="shared" ref="K91:AO91" si="40">J94*$C$76</f>
        <v>0</v>
      </c>
      <c r="L91" s="94">
        <f t="shared" si="40"/>
        <v>0</v>
      </c>
      <c r="M91" s="94">
        <f t="shared" si="40"/>
        <v>0</v>
      </c>
      <c r="N91" s="94">
        <f t="shared" si="40"/>
        <v>0</v>
      </c>
      <c r="O91" s="94">
        <f t="shared" si="40"/>
        <v>0</v>
      </c>
      <c r="P91" s="94">
        <f t="shared" si="40"/>
        <v>0</v>
      </c>
      <c r="Q91" s="94">
        <f t="shared" si="40"/>
        <v>0</v>
      </c>
      <c r="R91" s="94">
        <f t="shared" si="40"/>
        <v>0</v>
      </c>
      <c r="S91" s="94">
        <f t="shared" si="40"/>
        <v>0</v>
      </c>
      <c r="T91" s="94">
        <f t="shared" si="40"/>
        <v>0</v>
      </c>
      <c r="U91" s="94">
        <f t="shared" si="40"/>
        <v>0</v>
      </c>
      <c r="V91" s="94">
        <f t="shared" si="40"/>
        <v>0</v>
      </c>
      <c r="W91" s="94">
        <f t="shared" si="40"/>
        <v>0</v>
      </c>
      <c r="X91" s="94">
        <f t="shared" si="40"/>
        <v>0</v>
      </c>
      <c r="Y91" s="94">
        <f t="shared" si="40"/>
        <v>0</v>
      </c>
      <c r="Z91" s="94">
        <f t="shared" si="40"/>
        <v>0</v>
      </c>
      <c r="AA91" s="94">
        <f t="shared" si="40"/>
        <v>0</v>
      </c>
      <c r="AB91" s="94">
        <f t="shared" si="40"/>
        <v>0</v>
      </c>
      <c r="AC91" s="94">
        <f t="shared" si="40"/>
        <v>0</v>
      </c>
      <c r="AD91" s="94">
        <f t="shared" si="40"/>
        <v>0</v>
      </c>
      <c r="AE91" s="94">
        <f t="shared" si="40"/>
        <v>0</v>
      </c>
      <c r="AF91" s="94">
        <f t="shared" si="40"/>
        <v>0</v>
      </c>
      <c r="AG91" s="94">
        <f t="shared" si="40"/>
        <v>0</v>
      </c>
      <c r="AH91" s="94">
        <f t="shared" si="40"/>
        <v>0</v>
      </c>
      <c r="AI91" s="94">
        <f t="shared" si="40"/>
        <v>0</v>
      </c>
      <c r="AJ91" s="94">
        <f t="shared" si="40"/>
        <v>0</v>
      </c>
      <c r="AK91" s="94">
        <f t="shared" si="40"/>
        <v>0</v>
      </c>
      <c r="AL91" s="94">
        <f t="shared" si="40"/>
        <v>0</v>
      </c>
      <c r="AM91" s="94">
        <f t="shared" si="40"/>
        <v>0</v>
      </c>
      <c r="AN91" s="94">
        <f t="shared" si="40"/>
        <v>0</v>
      </c>
      <c r="AO91" s="94">
        <f t="shared" si="40"/>
        <v>0</v>
      </c>
    </row>
    <row r="92" spans="1:41" x14ac:dyDescent="0.25">
      <c r="A92" s="126"/>
      <c r="G92" s="36"/>
      <c r="H92" s="35" t="s">
        <v>159</v>
      </c>
      <c r="I92" s="36"/>
      <c r="J92" s="41">
        <f t="shared" ref="J92:AO92" si="41">IF(J11=$C$85,-SUM(J90:J91),-IF(J18&gt;0,(J90+J91)*0.5))</f>
        <v>0</v>
      </c>
      <c r="K92" s="41">
        <f t="shared" si="41"/>
        <v>0</v>
      </c>
      <c r="L92" s="41">
        <f t="shared" si="41"/>
        <v>0</v>
      </c>
      <c r="M92" s="41">
        <f t="shared" si="41"/>
        <v>0</v>
      </c>
      <c r="N92" s="41">
        <f t="shared" si="41"/>
        <v>0</v>
      </c>
      <c r="O92" s="41">
        <f t="shared" si="41"/>
        <v>0</v>
      </c>
      <c r="P92" s="41">
        <f t="shared" si="41"/>
        <v>0</v>
      </c>
      <c r="Q92" s="41">
        <f t="shared" si="41"/>
        <v>0</v>
      </c>
      <c r="R92" s="41">
        <f t="shared" si="41"/>
        <v>0</v>
      </c>
      <c r="S92" s="41">
        <f t="shared" si="41"/>
        <v>0</v>
      </c>
      <c r="T92" s="41">
        <f t="shared" si="41"/>
        <v>0</v>
      </c>
      <c r="U92" s="41">
        <f t="shared" si="41"/>
        <v>0</v>
      </c>
      <c r="V92" s="41">
        <f t="shared" si="41"/>
        <v>0</v>
      </c>
      <c r="W92" s="41">
        <f t="shared" si="41"/>
        <v>0</v>
      </c>
      <c r="X92" s="41">
        <f t="shared" si="41"/>
        <v>0</v>
      </c>
      <c r="Y92" s="41">
        <f t="shared" si="41"/>
        <v>0</v>
      </c>
      <c r="Z92" s="41">
        <f t="shared" si="41"/>
        <v>0</v>
      </c>
      <c r="AA92" s="41">
        <f t="shared" si="41"/>
        <v>0</v>
      </c>
      <c r="AB92" s="41">
        <f t="shared" si="41"/>
        <v>0</v>
      </c>
      <c r="AC92" s="41">
        <f t="shared" si="41"/>
        <v>0</v>
      </c>
      <c r="AD92" s="41">
        <f t="shared" si="41"/>
        <v>0</v>
      </c>
      <c r="AE92" s="41">
        <f t="shared" si="41"/>
        <v>0</v>
      </c>
      <c r="AF92" s="41">
        <f t="shared" si="41"/>
        <v>0</v>
      </c>
      <c r="AG92" s="41">
        <f t="shared" si="41"/>
        <v>0</v>
      </c>
      <c r="AH92" s="41">
        <f t="shared" si="41"/>
        <v>0</v>
      </c>
      <c r="AI92" s="41">
        <f t="shared" si="41"/>
        <v>0</v>
      </c>
      <c r="AJ92" s="41">
        <f t="shared" si="41"/>
        <v>0</v>
      </c>
      <c r="AK92" s="41">
        <f t="shared" si="41"/>
        <v>0</v>
      </c>
      <c r="AL92" s="41">
        <f t="shared" si="41"/>
        <v>0</v>
      </c>
      <c r="AM92" s="41">
        <f t="shared" si="41"/>
        <v>0</v>
      </c>
      <c r="AN92" s="41">
        <f t="shared" si="41"/>
        <v>0</v>
      </c>
      <c r="AO92" s="41">
        <f t="shared" si="41"/>
        <v>0</v>
      </c>
    </row>
    <row r="93" spans="1:41" x14ac:dyDescent="0.25">
      <c r="B93" s="2" t="s">
        <v>54</v>
      </c>
      <c r="C93" s="81"/>
      <c r="D93" s="81"/>
      <c r="E93" s="29"/>
      <c r="G93" s="36"/>
      <c r="H93" s="35" t="s">
        <v>139</v>
      </c>
      <c r="I93" s="36"/>
      <c r="J93" s="36"/>
      <c r="K93" s="94">
        <f>SUM(K91:K92)</f>
        <v>0</v>
      </c>
      <c r="L93" s="94">
        <f t="shared" ref="L93:AO93" si="42">SUM(L91:L92)</f>
        <v>0</v>
      </c>
      <c r="M93" s="94">
        <f t="shared" si="42"/>
        <v>0</v>
      </c>
      <c r="N93" s="94">
        <f t="shared" si="42"/>
        <v>0</v>
      </c>
      <c r="O93" s="94">
        <f t="shared" si="42"/>
        <v>0</v>
      </c>
      <c r="P93" s="94">
        <f t="shared" si="42"/>
        <v>0</v>
      </c>
      <c r="Q93" s="94">
        <f t="shared" si="42"/>
        <v>0</v>
      </c>
      <c r="R93" s="94">
        <f t="shared" si="42"/>
        <v>0</v>
      </c>
      <c r="S93" s="94">
        <f t="shared" si="42"/>
        <v>0</v>
      </c>
      <c r="T93" s="94">
        <f t="shared" si="42"/>
        <v>0</v>
      </c>
      <c r="U93" s="94">
        <f>SUM(U91:U92)</f>
        <v>0</v>
      </c>
      <c r="V93" s="94">
        <f t="shared" si="42"/>
        <v>0</v>
      </c>
      <c r="W93" s="94">
        <f t="shared" si="42"/>
        <v>0</v>
      </c>
      <c r="X93" s="94">
        <f t="shared" si="42"/>
        <v>0</v>
      </c>
      <c r="Y93" s="94">
        <f t="shared" si="42"/>
        <v>0</v>
      </c>
      <c r="Z93" s="94">
        <f t="shared" si="42"/>
        <v>0</v>
      </c>
      <c r="AA93" s="94">
        <f t="shared" si="42"/>
        <v>0</v>
      </c>
      <c r="AB93" s="94">
        <f t="shared" si="42"/>
        <v>0</v>
      </c>
      <c r="AC93" s="94">
        <f t="shared" si="42"/>
        <v>0</v>
      </c>
      <c r="AD93" s="94">
        <f t="shared" si="42"/>
        <v>0</v>
      </c>
      <c r="AE93" s="94">
        <f t="shared" si="42"/>
        <v>0</v>
      </c>
      <c r="AF93" s="94">
        <f t="shared" si="42"/>
        <v>0</v>
      </c>
      <c r="AG93" s="94">
        <f t="shared" si="42"/>
        <v>0</v>
      </c>
      <c r="AH93" s="94">
        <f t="shared" si="42"/>
        <v>0</v>
      </c>
      <c r="AI93" s="94">
        <f t="shared" si="42"/>
        <v>0</v>
      </c>
      <c r="AJ93" s="94">
        <f t="shared" si="42"/>
        <v>0</v>
      </c>
      <c r="AK93" s="94">
        <f t="shared" si="42"/>
        <v>0</v>
      </c>
      <c r="AL93" s="94">
        <f t="shared" si="42"/>
        <v>0</v>
      </c>
      <c r="AM93" s="94">
        <f t="shared" si="42"/>
        <v>0</v>
      </c>
      <c r="AN93" s="94">
        <f t="shared" si="42"/>
        <v>0</v>
      </c>
      <c r="AO93" s="94">
        <f t="shared" si="42"/>
        <v>0</v>
      </c>
    </row>
    <row r="94" spans="1:41" x14ac:dyDescent="0.25">
      <c r="B94" s="33" t="s">
        <v>241</v>
      </c>
      <c r="C94" s="78">
        <v>1</v>
      </c>
      <c r="D94" s="34"/>
      <c r="E94" s="34"/>
      <c r="G94" s="36"/>
      <c r="H94" s="35" t="s">
        <v>161</v>
      </c>
      <c r="I94" s="36"/>
      <c r="J94" s="94">
        <f>J90+J91</f>
        <v>0</v>
      </c>
      <c r="K94" s="94">
        <f>K90+K93</f>
        <v>0</v>
      </c>
      <c r="L94" s="94">
        <f t="shared" ref="L94:AO94" si="43">L90+L93</f>
        <v>0</v>
      </c>
      <c r="M94" s="94">
        <f t="shared" si="43"/>
        <v>0</v>
      </c>
      <c r="N94" s="94">
        <f t="shared" si="43"/>
        <v>0</v>
      </c>
      <c r="O94" s="94">
        <f t="shared" si="43"/>
        <v>0</v>
      </c>
      <c r="P94" s="94">
        <f t="shared" si="43"/>
        <v>0</v>
      </c>
      <c r="Q94" s="94">
        <f t="shared" si="43"/>
        <v>0</v>
      </c>
      <c r="R94" s="94">
        <f t="shared" si="43"/>
        <v>0</v>
      </c>
      <c r="S94" s="94">
        <f t="shared" si="43"/>
        <v>0</v>
      </c>
      <c r="T94" s="94">
        <f t="shared" si="43"/>
        <v>0</v>
      </c>
      <c r="U94" s="94">
        <f>U90+U93</f>
        <v>0</v>
      </c>
      <c r="V94" s="94">
        <f t="shared" si="43"/>
        <v>0</v>
      </c>
      <c r="W94" s="94">
        <f t="shared" si="43"/>
        <v>0</v>
      </c>
      <c r="X94" s="94">
        <f t="shared" si="43"/>
        <v>0</v>
      </c>
      <c r="Y94" s="94">
        <f t="shared" si="43"/>
        <v>0</v>
      </c>
      <c r="Z94" s="94">
        <f t="shared" si="43"/>
        <v>0</v>
      </c>
      <c r="AA94" s="94">
        <f t="shared" si="43"/>
        <v>0</v>
      </c>
      <c r="AB94" s="94">
        <f t="shared" si="43"/>
        <v>0</v>
      </c>
      <c r="AC94" s="94">
        <f t="shared" si="43"/>
        <v>0</v>
      </c>
      <c r="AD94" s="94">
        <f t="shared" si="43"/>
        <v>0</v>
      </c>
      <c r="AE94" s="94">
        <f t="shared" si="43"/>
        <v>0</v>
      </c>
      <c r="AF94" s="94">
        <f t="shared" si="43"/>
        <v>0</v>
      </c>
      <c r="AG94" s="94">
        <f t="shared" si="43"/>
        <v>0</v>
      </c>
      <c r="AH94" s="94">
        <f t="shared" si="43"/>
        <v>0</v>
      </c>
      <c r="AI94" s="94">
        <f t="shared" si="43"/>
        <v>0</v>
      </c>
      <c r="AJ94" s="94">
        <f t="shared" si="43"/>
        <v>0</v>
      </c>
      <c r="AK94" s="94">
        <f t="shared" si="43"/>
        <v>0</v>
      </c>
      <c r="AL94" s="94">
        <f t="shared" si="43"/>
        <v>0</v>
      </c>
      <c r="AM94" s="94">
        <f t="shared" si="43"/>
        <v>0</v>
      </c>
      <c r="AN94" s="94">
        <f t="shared" si="43"/>
        <v>0</v>
      </c>
      <c r="AO94" s="94">
        <f t="shared" si="43"/>
        <v>0</v>
      </c>
    </row>
    <row r="95" spans="1:41" x14ac:dyDescent="0.25">
      <c r="B95" s="57"/>
      <c r="C95" s="127"/>
    </row>
    <row r="96" spans="1:41" x14ac:dyDescent="0.25">
      <c r="G96" s="40" t="s">
        <v>162</v>
      </c>
    </row>
    <row r="97" spans="7:41" x14ac:dyDescent="0.25">
      <c r="G97" s="36"/>
      <c r="H97" s="35" t="s">
        <v>163</v>
      </c>
      <c r="I97" s="36"/>
      <c r="J97" s="41">
        <f>SUM(D66:D72)</f>
        <v>886743.70565000002</v>
      </c>
      <c r="K97" s="41">
        <f>J101</f>
        <v>886743.70565000002</v>
      </c>
      <c r="L97" s="41">
        <f>K101</f>
        <v>886743.70565000002</v>
      </c>
      <c r="M97" s="41">
        <f>L101</f>
        <v>886743.70565000002</v>
      </c>
      <c r="N97" s="41">
        <f>M101</f>
        <v>886743.70565000002</v>
      </c>
      <c r="O97" s="41">
        <f>N101</f>
        <v>671598.62012755335</v>
      </c>
      <c r="P97" s="41">
        <f t="shared" ref="P97:AO97" si="44">O101</f>
        <v>452150.63289465779</v>
      </c>
      <c r="Q97" s="41">
        <f t="shared" si="44"/>
        <v>228313.68591710433</v>
      </c>
      <c r="R97" s="41">
        <f t="shared" si="44"/>
        <v>0</v>
      </c>
      <c r="S97" s="41">
        <f t="shared" si="44"/>
        <v>0</v>
      </c>
      <c r="T97" s="41">
        <f t="shared" si="44"/>
        <v>0</v>
      </c>
      <c r="U97" s="41">
        <f t="shared" si="44"/>
        <v>0</v>
      </c>
      <c r="V97" s="41">
        <f t="shared" si="44"/>
        <v>0</v>
      </c>
      <c r="W97" s="41">
        <f t="shared" si="44"/>
        <v>0</v>
      </c>
      <c r="X97" s="41">
        <f t="shared" si="44"/>
        <v>0</v>
      </c>
      <c r="Y97" s="41">
        <f t="shared" si="44"/>
        <v>0</v>
      </c>
      <c r="Z97" s="41">
        <f t="shared" si="44"/>
        <v>0</v>
      </c>
      <c r="AA97" s="41">
        <f t="shared" si="44"/>
        <v>0</v>
      </c>
      <c r="AB97" s="41">
        <f t="shared" si="44"/>
        <v>0</v>
      </c>
      <c r="AC97" s="41">
        <f t="shared" si="44"/>
        <v>0</v>
      </c>
      <c r="AD97" s="41">
        <f t="shared" si="44"/>
        <v>0</v>
      </c>
      <c r="AE97" s="41">
        <f t="shared" si="44"/>
        <v>0</v>
      </c>
      <c r="AF97" s="41">
        <f t="shared" si="44"/>
        <v>0</v>
      </c>
      <c r="AG97" s="41">
        <f t="shared" si="44"/>
        <v>0</v>
      </c>
      <c r="AH97" s="41">
        <f t="shared" si="44"/>
        <v>0</v>
      </c>
      <c r="AI97" s="41">
        <f t="shared" si="44"/>
        <v>0</v>
      </c>
      <c r="AJ97" s="41">
        <f t="shared" si="44"/>
        <v>0</v>
      </c>
      <c r="AK97" s="41">
        <f t="shared" si="44"/>
        <v>0</v>
      </c>
      <c r="AL97" s="41">
        <f t="shared" si="44"/>
        <v>0</v>
      </c>
      <c r="AM97" s="41">
        <f t="shared" si="44"/>
        <v>0</v>
      </c>
      <c r="AN97" s="41">
        <f t="shared" si="44"/>
        <v>0</v>
      </c>
      <c r="AO97" s="41">
        <f t="shared" si="44"/>
        <v>0</v>
      </c>
    </row>
    <row r="98" spans="7:41" x14ac:dyDescent="0.25">
      <c r="G98" s="36"/>
      <c r="H98" s="35" t="s">
        <v>164</v>
      </c>
      <c r="I98" s="36"/>
      <c r="J98" s="41">
        <f t="shared" ref="J98:AO98" si="45">IF(J11&lt;=$C$68,0,IF(J11&gt;$C$70,0,PMT($C$69,$C$71,-($D$66+$D$72),0,0)-J99))</f>
        <v>0</v>
      </c>
      <c r="K98" s="41">
        <f t="shared" si="45"/>
        <v>0</v>
      </c>
      <c r="L98" s="41">
        <f t="shared" si="45"/>
        <v>0</v>
      </c>
      <c r="M98" s="41">
        <f t="shared" si="45"/>
        <v>0</v>
      </c>
      <c r="N98" s="41">
        <f t="shared" si="45"/>
        <v>215145.08552244661</v>
      </c>
      <c r="O98" s="41">
        <f t="shared" si="45"/>
        <v>219447.98723289554</v>
      </c>
      <c r="P98" s="41">
        <f t="shared" si="45"/>
        <v>223836.94697755345</v>
      </c>
      <c r="Q98" s="41">
        <f t="shared" si="45"/>
        <v>228313.68591710451</v>
      </c>
      <c r="R98" s="41">
        <f t="shared" si="45"/>
        <v>0</v>
      </c>
      <c r="S98" s="41">
        <f t="shared" si="45"/>
        <v>0</v>
      </c>
      <c r="T98" s="41">
        <f t="shared" si="45"/>
        <v>0</v>
      </c>
      <c r="U98" s="41">
        <f t="shared" si="45"/>
        <v>0</v>
      </c>
      <c r="V98" s="41">
        <f t="shared" si="45"/>
        <v>0</v>
      </c>
      <c r="W98" s="41">
        <f t="shared" si="45"/>
        <v>0</v>
      </c>
      <c r="X98" s="41">
        <f t="shared" si="45"/>
        <v>0</v>
      </c>
      <c r="Y98" s="41">
        <f t="shared" si="45"/>
        <v>0</v>
      </c>
      <c r="Z98" s="41">
        <f t="shared" si="45"/>
        <v>0</v>
      </c>
      <c r="AA98" s="41">
        <f t="shared" si="45"/>
        <v>0</v>
      </c>
      <c r="AB98" s="41">
        <f t="shared" si="45"/>
        <v>0</v>
      </c>
      <c r="AC98" s="41">
        <f t="shared" si="45"/>
        <v>0</v>
      </c>
      <c r="AD98" s="41">
        <f t="shared" si="45"/>
        <v>0</v>
      </c>
      <c r="AE98" s="41">
        <f t="shared" si="45"/>
        <v>0</v>
      </c>
      <c r="AF98" s="41">
        <f t="shared" si="45"/>
        <v>0</v>
      </c>
      <c r="AG98" s="41">
        <f t="shared" si="45"/>
        <v>0</v>
      </c>
      <c r="AH98" s="41">
        <f t="shared" si="45"/>
        <v>0</v>
      </c>
      <c r="AI98" s="41">
        <f t="shared" si="45"/>
        <v>0</v>
      </c>
      <c r="AJ98" s="41">
        <f t="shared" si="45"/>
        <v>0</v>
      </c>
      <c r="AK98" s="41">
        <f t="shared" si="45"/>
        <v>0</v>
      </c>
      <c r="AL98" s="41">
        <f t="shared" si="45"/>
        <v>0</v>
      </c>
      <c r="AM98" s="41">
        <f t="shared" si="45"/>
        <v>0</v>
      </c>
      <c r="AN98" s="41">
        <f t="shared" si="45"/>
        <v>0</v>
      </c>
      <c r="AO98" s="41">
        <f t="shared" si="45"/>
        <v>0</v>
      </c>
    </row>
    <row r="99" spans="7:41" x14ac:dyDescent="0.25">
      <c r="G99" s="36"/>
      <c r="H99" s="35" t="s">
        <v>165</v>
      </c>
      <c r="I99" s="36"/>
      <c r="J99" s="41">
        <f>IF(J12&lt;=$C$68,0,PMT($C$69,$C$71,-$J$97,0,0)-K101)</f>
        <v>0</v>
      </c>
      <c r="K99" s="41">
        <f t="shared" ref="K99:AO99" si="46">K97*$C$69</f>
        <v>17734.874113000002</v>
      </c>
      <c r="L99" s="41">
        <f t="shared" si="46"/>
        <v>17734.874113000002</v>
      </c>
      <c r="M99" s="41">
        <f t="shared" si="46"/>
        <v>17734.874113000002</v>
      </c>
      <c r="N99" s="41">
        <f t="shared" si="46"/>
        <v>17734.874113000002</v>
      </c>
      <c r="O99" s="41">
        <f t="shared" si="46"/>
        <v>13431.972402551068</v>
      </c>
      <c r="P99" s="41">
        <f t="shared" si="46"/>
        <v>9043.0126578931558</v>
      </c>
      <c r="Q99" s="41">
        <f t="shared" si="46"/>
        <v>4566.2737183420868</v>
      </c>
      <c r="R99" s="41">
        <f t="shared" si="46"/>
        <v>0</v>
      </c>
      <c r="S99" s="41">
        <f t="shared" si="46"/>
        <v>0</v>
      </c>
      <c r="T99" s="41">
        <f t="shared" si="46"/>
        <v>0</v>
      </c>
      <c r="U99" s="41">
        <f t="shared" si="46"/>
        <v>0</v>
      </c>
      <c r="V99" s="41">
        <f t="shared" si="46"/>
        <v>0</v>
      </c>
      <c r="W99" s="41">
        <f t="shared" si="46"/>
        <v>0</v>
      </c>
      <c r="X99" s="41">
        <f t="shared" si="46"/>
        <v>0</v>
      </c>
      <c r="Y99" s="41">
        <f t="shared" si="46"/>
        <v>0</v>
      </c>
      <c r="Z99" s="41">
        <f t="shared" si="46"/>
        <v>0</v>
      </c>
      <c r="AA99" s="41">
        <f t="shared" si="46"/>
        <v>0</v>
      </c>
      <c r="AB99" s="41">
        <f t="shared" si="46"/>
        <v>0</v>
      </c>
      <c r="AC99" s="41">
        <f t="shared" si="46"/>
        <v>0</v>
      </c>
      <c r="AD99" s="41">
        <f t="shared" si="46"/>
        <v>0</v>
      </c>
      <c r="AE99" s="41">
        <f t="shared" si="46"/>
        <v>0</v>
      </c>
      <c r="AF99" s="41">
        <f t="shared" si="46"/>
        <v>0</v>
      </c>
      <c r="AG99" s="41">
        <f t="shared" si="46"/>
        <v>0</v>
      </c>
      <c r="AH99" s="41">
        <f t="shared" si="46"/>
        <v>0</v>
      </c>
      <c r="AI99" s="41">
        <f t="shared" si="46"/>
        <v>0</v>
      </c>
      <c r="AJ99" s="41">
        <f t="shared" si="46"/>
        <v>0</v>
      </c>
      <c r="AK99" s="41">
        <f t="shared" si="46"/>
        <v>0</v>
      </c>
      <c r="AL99" s="41">
        <f t="shared" si="46"/>
        <v>0</v>
      </c>
      <c r="AM99" s="41">
        <f t="shared" si="46"/>
        <v>0</v>
      </c>
      <c r="AN99" s="41">
        <f t="shared" si="46"/>
        <v>0</v>
      </c>
      <c r="AO99" s="41">
        <f t="shared" si="46"/>
        <v>0</v>
      </c>
    </row>
    <row r="100" spans="7:41" x14ac:dyDescent="0.25">
      <c r="G100" s="36"/>
      <c r="H100" s="35" t="s">
        <v>166</v>
      </c>
      <c r="I100" s="36"/>
      <c r="J100" s="128">
        <f t="shared" ref="J100:AO100" si="47">J15*$C$40</f>
        <v>0</v>
      </c>
      <c r="K100" s="41">
        <f t="shared" si="47"/>
        <v>0</v>
      </c>
      <c r="L100" s="128">
        <f t="shared" si="47"/>
        <v>0</v>
      </c>
      <c r="M100" s="128">
        <f t="shared" si="47"/>
        <v>0</v>
      </c>
      <c r="N100" s="128">
        <f t="shared" si="47"/>
        <v>0</v>
      </c>
      <c r="O100" s="128">
        <f t="shared" si="47"/>
        <v>0</v>
      </c>
      <c r="P100" s="128">
        <f t="shared" si="47"/>
        <v>0</v>
      </c>
      <c r="Q100" s="128">
        <f t="shared" si="47"/>
        <v>0</v>
      </c>
      <c r="R100" s="128">
        <f t="shared" si="47"/>
        <v>0</v>
      </c>
      <c r="S100" s="128">
        <f t="shared" si="47"/>
        <v>0</v>
      </c>
      <c r="T100" s="128">
        <f t="shared" si="47"/>
        <v>0</v>
      </c>
      <c r="U100" s="128">
        <f t="shared" si="47"/>
        <v>0</v>
      </c>
      <c r="V100" s="128">
        <f t="shared" si="47"/>
        <v>0</v>
      </c>
      <c r="W100" s="128">
        <f t="shared" si="47"/>
        <v>0</v>
      </c>
      <c r="X100" s="128">
        <f t="shared" si="47"/>
        <v>0</v>
      </c>
      <c r="Y100" s="128">
        <f t="shared" si="47"/>
        <v>0</v>
      </c>
      <c r="Z100" s="128">
        <f t="shared" si="47"/>
        <v>0</v>
      </c>
      <c r="AA100" s="128">
        <f t="shared" si="47"/>
        <v>0</v>
      </c>
      <c r="AB100" s="128">
        <f t="shared" si="47"/>
        <v>0</v>
      </c>
      <c r="AC100" s="128">
        <f t="shared" si="47"/>
        <v>0</v>
      </c>
      <c r="AD100" s="128">
        <f t="shared" si="47"/>
        <v>0</v>
      </c>
      <c r="AE100" s="128">
        <f t="shared" si="47"/>
        <v>0</v>
      </c>
      <c r="AF100" s="128">
        <f t="shared" si="47"/>
        <v>0</v>
      </c>
      <c r="AG100" s="128">
        <f t="shared" si="47"/>
        <v>0</v>
      </c>
      <c r="AH100" s="128">
        <f t="shared" si="47"/>
        <v>0</v>
      </c>
      <c r="AI100" s="128">
        <f t="shared" si="47"/>
        <v>0</v>
      </c>
      <c r="AJ100" s="128">
        <f t="shared" si="47"/>
        <v>0</v>
      </c>
      <c r="AK100" s="128">
        <f t="shared" si="47"/>
        <v>0</v>
      </c>
      <c r="AL100" s="128">
        <f t="shared" si="47"/>
        <v>0</v>
      </c>
      <c r="AM100" s="128">
        <f t="shared" si="47"/>
        <v>0</v>
      </c>
      <c r="AN100" s="128">
        <f t="shared" si="47"/>
        <v>0</v>
      </c>
      <c r="AO100" s="128">
        <f t="shared" si="47"/>
        <v>0</v>
      </c>
    </row>
    <row r="101" spans="7:41" x14ac:dyDescent="0.25">
      <c r="G101" s="36"/>
      <c r="H101" s="35" t="s">
        <v>167</v>
      </c>
      <c r="I101" s="36"/>
      <c r="J101" s="41">
        <f>MAX(J97-J98-J100,0)</f>
        <v>886743.70565000002</v>
      </c>
      <c r="K101" s="41">
        <f t="shared" ref="K101:AO101" si="48">MAX(K97-K98-K100,0)</f>
        <v>886743.70565000002</v>
      </c>
      <c r="L101" s="41">
        <f t="shared" si="48"/>
        <v>886743.70565000002</v>
      </c>
      <c r="M101" s="41">
        <f t="shared" si="48"/>
        <v>886743.70565000002</v>
      </c>
      <c r="N101" s="41">
        <f t="shared" si="48"/>
        <v>671598.62012755335</v>
      </c>
      <c r="O101" s="41">
        <f t="shared" si="48"/>
        <v>452150.63289465779</v>
      </c>
      <c r="P101" s="41">
        <f t="shared" si="48"/>
        <v>228313.68591710433</v>
      </c>
      <c r="Q101" s="41">
        <f t="shared" si="48"/>
        <v>0</v>
      </c>
      <c r="R101" s="41">
        <f t="shared" si="48"/>
        <v>0</v>
      </c>
      <c r="S101" s="41">
        <f t="shared" si="48"/>
        <v>0</v>
      </c>
      <c r="T101" s="41">
        <f t="shared" si="48"/>
        <v>0</v>
      </c>
      <c r="U101" s="41">
        <f t="shared" si="48"/>
        <v>0</v>
      </c>
      <c r="V101" s="41">
        <f t="shared" si="48"/>
        <v>0</v>
      </c>
      <c r="W101" s="41">
        <f t="shared" si="48"/>
        <v>0</v>
      </c>
      <c r="X101" s="41">
        <f t="shared" si="48"/>
        <v>0</v>
      </c>
      <c r="Y101" s="41">
        <f t="shared" si="48"/>
        <v>0</v>
      </c>
      <c r="Z101" s="41">
        <f t="shared" si="48"/>
        <v>0</v>
      </c>
      <c r="AA101" s="41">
        <f t="shared" si="48"/>
        <v>0</v>
      </c>
      <c r="AB101" s="41">
        <f t="shared" si="48"/>
        <v>0</v>
      </c>
      <c r="AC101" s="41">
        <f t="shared" si="48"/>
        <v>0</v>
      </c>
      <c r="AD101" s="41">
        <f t="shared" si="48"/>
        <v>0</v>
      </c>
      <c r="AE101" s="41">
        <f t="shared" si="48"/>
        <v>0</v>
      </c>
      <c r="AF101" s="41">
        <f t="shared" si="48"/>
        <v>0</v>
      </c>
      <c r="AG101" s="41">
        <f t="shared" si="48"/>
        <v>0</v>
      </c>
      <c r="AH101" s="41">
        <f t="shared" si="48"/>
        <v>0</v>
      </c>
      <c r="AI101" s="41">
        <f t="shared" si="48"/>
        <v>0</v>
      </c>
      <c r="AJ101" s="41">
        <f t="shared" si="48"/>
        <v>0</v>
      </c>
      <c r="AK101" s="41">
        <f t="shared" si="48"/>
        <v>0</v>
      </c>
      <c r="AL101" s="41">
        <f t="shared" si="48"/>
        <v>0</v>
      </c>
      <c r="AM101" s="41">
        <f t="shared" si="48"/>
        <v>0</v>
      </c>
      <c r="AN101" s="41">
        <f t="shared" si="48"/>
        <v>0</v>
      </c>
      <c r="AO101" s="41">
        <f t="shared" si="48"/>
        <v>0</v>
      </c>
    </row>
    <row r="102" spans="7:41" x14ac:dyDescent="0.25">
      <c r="G102" s="36"/>
      <c r="H102" s="35" t="s">
        <v>168</v>
      </c>
      <c r="I102" s="36"/>
      <c r="J102" s="94">
        <f t="shared" ref="J102:AO102" si="49">MAX(IF(J98&lt;=I101,SUM(J98:J100),I101),0)</f>
        <v>0</v>
      </c>
      <c r="K102" s="94">
        <f t="shared" si="49"/>
        <v>17734.874113000002</v>
      </c>
      <c r="L102" s="94">
        <f t="shared" si="49"/>
        <v>17734.874113000002</v>
      </c>
      <c r="M102" s="94">
        <f t="shared" si="49"/>
        <v>17734.874113000002</v>
      </c>
      <c r="N102" s="94">
        <f t="shared" si="49"/>
        <v>232879.9596354466</v>
      </c>
      <c r="O102" s="94">
        <f t="shared" si="49"/>
        <v>232879.9596354466</v>
      </c>
      <c r="P102" s="94">
        <f t="shared" si="49"/>
        <v>232879.9596354466</v>
      </c>
      <c r="Q102" s="94">
        <f t="shared" si="49"/>
        <v>228313.68591710433</v>
      </c>
      <c r="R102" s="94">
        <f t="shared" si="49"/>
        <v>0</v>
      </c>
      <c r="S102" s="94">
        <f t="shared" si="49"/>
        <v>0</v>
      </c>
      <c r="T102" s="94">
        <f t="shared" si="49"/>
        <v>0</v>
      </c>
      <c r="U102" s="94">
        <f t="shared" si="49"/>
        <v>0</v>
      </c>
      <c r="V102" s="94">
        <f t="shared" si="49"/>
        <v>0</v>
      </c>
      <c r="W102" s="94">
        <f t="shared" si="49"/>
        <v>0</v>
      </c>
      <c r="X102" s="94">
        <f t="shared" si="49"/>
        <v>0</v>
      </c>
      <c r="Y102" s="94">
        <f t="shared" si="49"/>
        <v>0</v>
      </c>
      <c r="Z102" s="94">
        <f t="shared" si="49"/>
        <v>0</v>
      </c>
      <c r="AA102" s="94">
        <f t="shared" si="49"/>
        <v>0</v>
      </c>
      <c r="AB102" s="94">
        <f t="shared" si="49"/>
        <v>0</v>
      </c>
      <c r="AC102" s="94">
        <f t="shared" si="49"/>
        <v>0</v>
      </c>
      <c r="AD102" s="94">
        <f t="shared" si="49"/>
        <v>0</v>
      </c>
      <c r="AE102" s="94">
        <f t="shared" si="49"/>
        <v>0</v>
      </c>
      <c r="AF102" s="94">
        <f t="shared" si="49"/>
        <v>0</v>
      </c>
      <c r="AG102" s="94">
        <f t="shared" si="49"/>
        <v>0</v>
      </c>
      <c r="AH102" s="94">
        <f t="shared" si="49"/>
        <v>0</v>
      </c>
      <c r="AI102" s="94">
        <f t="shared" si="49"/>
        <v>0</v>
      </c>
      <c r="AJ102" s="94">
        <f t="shared" si="49"/>
        <v>0</v>
      </c>
      <c r="AK102" s="94">
        <f t="shared" si="49"/>
        <v>0</v>
      </c>
      <c r="AL102" s="94">
        <f t="shared" si="49"/>
        <v>0</v>
      </c>
      <c r="AM102" s="94">
        <f t="shared" si="49"/>
        <v>0</v>
      </c>
      <c r="AN102" s="94">
        <f t="shared" si="49"/>
        <v>0</v>
      </c>
      <c r="AO102" s="94">
        <f t="shared" si="49"/>
        <v>0</v>
      </c>
    </row>
    <row r="104" spans="7:41" x14ac:dyDescent="0.25">
      <c r="G104" s="40" t="s">
        <v>169</v>
      </c>
    </row>
    <row r="105" spans="7:41" x14ac:dyDescent="0.25">
      <c r="G105" s="36"/>
      <c r="H105" s="35" t="s">
        <v>170</v>
      </c>
      <c r="I105" s="36"/>
      <c r="J105" s="41"/>
      <c r="K105" s="41">
        <f t="shared" ref="K105:AO105" si="50">IF(K11&lt;=$C$85,-$J$12*$C$80,0)</f>
        <v>0</v>
      </c>
      <c r="L105" s="41">
        <f t="shared" si="50"/>
        <v>0</v>
      </c>
      <c r="M105" s="41">
        <f t="shared" si="50"/>
        <v>0</v>
      </c>
      <c r="N105" s="41">
        <f t="shared" si="50"/>
        <v>0</v>
      </c>
      <c r="O105" s="41">
        <f t="shared" si="50"/>
        <v>0</v>
      </c>
      <c r="P105" s="41">
        <f t="shared" si="50"/>
        <v>0</v>
      </c>
      <c r="Q105" s="41">
        <f t="shared" si="50"/>
        <v>0</v>
      </c>
      <c r="R105" s="41">
        <f t="shared" si="50"/>
        <v>0</v>
      </c>
      <c r="S105" s="41">
        <f t="shared" si="50"/>
        <v>0</v>
      </c>
      <c r="T105" s="41">
        <f t="shared" si="50"/>
        <v>0</v>
      </c>
      <c r="U105" s="41">
        <f t="shared" si="50"/>
        <v>0</v>
      </c>
      <c r="V105" s="41">
        <f t="shared" si="50"/>
        <v>0</v>
      </c>
      <c r="W105" s="41">
        <f t="shared" si="50"/>
        <v>0</v>
      </c>
      <c r="X105" s="41">
        <f t="shared" si="50"/>
        <v>0</v>
      </c>
      <c r="Y105" s="41">
        <f t="shared" si="50"/>
        <v>0</v>
      </c>
      <c r="Z105" s="41">
        <f t="shared" si="50"/>
        <v>0</v>
      </c>
      <c r="AA105" s="41">
        <f t="shared" si="50"/>
        <v>0</v>
      </c>
      <c r="AB105" s="41">
        <f t="shared" si="50"/>
        <v>0</v>
      </c>
      <c r="AC105" s="41">
        <f t="shared" si="50"/>
        <v>0</v>
      </c>
      <c r="AD105" s="41">
        <f t="shared" si="50"/>
        <v>0</v>
      </c>
      <c r="AE105" s="41">
        <f t="shared" si="50"/>
        <v>0</v>
      </c>
      <c r="AF105" s="41">
        <f t="shared" si="50"/>
        <v>0</v>
      </c>
      <c r="AG105" s="41">
        <f t="shared" si="50"/>
        <v>0</v>
      </c>
      <c r="AH105" s="41">
        <f t="shared" si="50"/>
        <v>0</v>
      </c>
      <c r="AI105" s="41">
        <f t="shared" si="50"/>
        <v>0</v>
      </c>
      <c r="AJ105" s="41">
        <f t="shared" si="50"/>
        <v>0</v>
      </c>
      <c r="AK105" s="41">
        <f t="shared" si="50"/>
        <v>0</v>
      </c>
      <c r="AL105" s="41">
        <f t="shared" si="50"/>
        <v>0</v>
      </c>
      <c r="AM105" s="41">
        <f t="shared" si="50"/>
        <v>0</v>
      </c>
      <c r="AN105" s="41">
        <f t="shared" si="50"/>
        <v>0</v>
      </c>
      <c r="AO105" s="41">
        <f t="shared" si="50"/>
        <v>0</v>
      </c>
    </row>
    <row r="106" spans="7:41" x14ac:dyDescent="0.25">
      <c r="G106" s="36"/>
      <c r="H106" s="35" t="s">
        <v>171</v>
      </c>
      <c r="I106" s="36"/>
      <c r="J106" s="41"/>
      <c r="K106" s="41">
        <f t="shared" ref="K106:AO106" si="51">IF(K11&lt;=$C$85,$D$30*$C$79,0)</f>
        <v>18067.007943500001</v>
      </c>
      <c r="L106" s="41">
        <f t="shared" si="51"/>
        <v>18067.007943500001</v>
      </c>
      <c r="M106" s="41">
        <f t="shared" si="51"/>
        <v>18067.007943500001</v>
      </c>
      <c r="N106" s="41">
        <f t="shared" si="51"/>
        <v>18067.007943500001</v>
      </c>
      <c r="O106" s="41">
        <f t="shared" si="51"/>
        <v>18067.007943500001</v>
      </c>
      <c r="P106" s="41">
        <f t="shared" si="51"/>
        <v>18067.007943500001</v>
      </c>
      <c r="Q106" s="41">
        <f t="shared" si="51"/>
        <v>18067.007943500001</v>
      </c>
      <c r="R106" s="41">
        <f t="shared" si="51"/>
        <v>18067.007943500001</v>
      </c>
      <c r="S106" s="41">
        <f t="shared" si="51"/>
        <v>18067.007943500001</v>
      </c>
      <c r="T106" s="41">
        <f t="shared" si="51"/>
        <v>18067.007943500001</v>
      </c>
      <c r="U106" s="41">
        <f t="shared" si="51"/>
        <v>18067.007943500001</v>
      </c>
      <c r="V106" s="41">
        <f t="shared" si="51"/>
        <v>18067.007943500001</v>
      </c>
      <c r="W106" s="41">
        <f t="shared" si="51"/>
        <v>18067.007943500001</v>
      </c>
      <c r="X106" s="41">
        <f t="shared" si="51"/>
        <v>18067.007943500001</v>
      </c>
      <c r="Y106" s="41">
        <f t="shared" si="51"/>
        <v>18067.007943500001</v>
      </c>
      <c r="Z106" s="41">
        <f t="shared" si="51"/>
        <v>0</v>
      </c>
      <c r="AA106" s="41">
        <f t="shared" si="51"/>
        <v>0</v>
      </c>
      <c r="AB106" s="41">
        <f t="shared" si="51"/>
        <v>0</v>
      </c>
      <c r="AC106" s="41">
        <f t="shared" si="51"/>
        <v>0</v>
      </c>
      <c r="AD106" s="41">
        <f t="shared" si="51"/>
        <v>0</v>
      </c>
      <c r="AE106" s="41">
        <f t="shared" si="51"/>
        <v>0</v>
      </c>
      <c r="AF106" s="41">
        <f t="shared" si="51"/>
        <v>0</v>
      </c>
      <c r="AG106" s="41">
        <f t="shared" si="51"/>
        <v>0</v>
      </c>
      <c r="AH106" s="41">
        <f t="shared" si="51"/>
        <v>0</v>
      </c>
      <c r="AI106" s="41">
        <f t="shared" si="51"/>
        <v>0</v>
      </c>
      <c r="AJ106" s="41">
        <f t="shared" si="51"/>
        <v>0</v>
      </c>
      <c r="AK106" s="41">
        <f t="shared" si="51"/>
        <v>0</v>
      </c>
      <c r="AL106" s="41">
        <f t="shared" si="51"/>
        <v>0</v>
      </c>
      <c r="AM106" s="41">
        <f t="shared" si="51"/>
        <v>0</v>
      </c>
      <c r="AN106" s="41">
        <f t="shared" si="51"/>
        <v>0</v>
      </c>
      <c r="AO106" s="41">
        <f t="shared" si="51"/>
        <v>0</v>
      </c>
    </row>
    <row r="107" spans="7:41" x14ac:dyDescent="0.25">
      <c r="G107" s="36"/>
      <c r="H107" s="35" t="s">
        <v>145</v>
      </c>
      <c r="I107" s="36"/>
      <c r="J107" s="41">
        <f>D18</f>
        <v>123552.5</v>
      </c>
      <c r="K107" s="41">
        <v>0</v>
      </c>
      <c r="L107" s="41">
        <v>0</v>
      </c>
      <c r="M107" s="41">
        <v>0</v>
      </c>
      <c r="N107" s="41">
        <v>0</v>
      </c>
      <c r="O107" s="41">
        <v>0</v>
      </c>
      <c r="P107" s="41">
        <v>0</v>
      </c>
      <c r="Q107" s="41">
        <v>0</v>
      </c>
      <c r="R107" s="41">
        <v>0</v>
      </c>
      <c r="S107" s="41">
        <v>0</v>
      </c>
      <c r="T107" s="41">
        <v>0</v>
      </c>
      <c r="U107" s="41">
        <v>0</v>
      </c>
      <c r="V107" s="41">
        <v>0</v>
      </c>
      <c r="W107" s="41">
        <v>0</v>
      </c>
      <c r="X107" s="41">
        <v>0</v>
      </c>
      <c r="Y107" s="41">
        <v>0</v>
      </c>
      <c r="Z107" s="41">
        <v>0</v>
      </c>
      <c r="AA107" s="41">
        <v>0</v>
      </c>
      <c r="AB107" s="41">
        <v>0</v>
      </c>
      <c r="AC107" s="41">
        <v>0</v>
      </c>
      <c r="AD107" s="41">
        <v>0</v>
      </c>
      <c r="AE107" s="41">
        <v>0</v>
      </c>
      <c r="AF107" s="41">
        <v>1</v>
      </c>
      <c r="AG107" s="41">
        <v>2</v>
      </c>
      <c r="AH107" s="41">
        <v>3</v>
      </c>
      <c r="AI107" s="41">
        <v>4</v>
      </c>
      <c r="AJ107" s="41">
        <v>5</v>
      </c>
      <c r="AK107" s="41">
        <v>6</v>
      </c>
      <c r="AL107" s="41">
        <v>7</v>
      </c>
      <c r="AM107" s="41">
        <v>8</v>
      </c>
      <c r="AN107" s="41">
        <v>9</v>
      </c>
      <c r="AO107" s="41">
        <v>10</v>
      </c>
    </row>
    <row r="109" spans="7:41" x14ac:dyDescent="0.25">
      <c r="G109" s="40" t="s">
        <v>172</v>
      </c>
    </row>
    <row r="110" spans="7:41" x14ac:dyDescent="0.25">
      <c r="G110" s="57" t="s">
        <v>173</v>
      </c>
    </row>
    <row r="111" spans="7:41" x14ac:dyDescent="0.25">
      <c r="G111" s="36"/>
      <c r="H111" s="35" t="s">
        <v>174</v>
      </c>
      <c r="I111" s="36"/>
      <c r="J111" s="41">
        <f>D13</f>
        <v>1000</v>
      </c>
      <c r="K111" s="41">
        <f t="shared" ref="K111:AO111" si="52">$J$111*(1+$C$86)^K11</f>
        <v>1060</v>
      </c>
      <c r="L111" s="41">
        <f t="shared" si="52"/>
        <v>1123.6000000000001</v>
      </c>
      <c r="M111" s="41">
        <f t="shared" si="52"/>
        <v>1191.0160000000003</v>
      </c>
      <c r="N111" s="41">
        <f t="shared" si="52"/>
        <v>1262.4769600000004</v>
      </c>
      <c r="O111" s="41">
        <f t="shared" si="52"/>
        <v>1338.2255776000004</v>
      </c>
      <c r="P111" s="41">
        <f t="shared" si="52"/>
        <v>1418.5191122560007</v>
      </c>
      <c r="Q111" s="41">
        <f t="shared" si="52"/>
        <v>1503.6302589913607</v>
      </c>
      <c r="R111" s="41">
        <f t="shared" si="52"/>
        <v>1593.8480745308423</v>
      </c>
      <c r="S111" s="41">
        <f t="shared" si="52"/>
        <v>1689.4789590026928</v>
      </c>
      <c r="T111" s="41">
        <f t="shared" si="52"/>
        <v>1790.8476965428547</v>
      </c>
      <c r="U111" s="41">
        <f t="shared" si="52"/>
        <v>1898.2985583354262</v>
      </c>
      <c r="V111" s="41">
        <f t="shared" si="52"/>
        <v>2012.1964718355518</v>
      </c>
      <c r="W111" s="41">
        <f t="shared" si="52"/>
        <v>2132.9282601456853</v>
      </c>
      <c r="X111" s="41">
        <f t="shared" si="52"/>
        <v>2260.9039557544261</v>
      </c>
      <c r="Y111" s="41">
        <f t="shared" si="52"/>
        <v>2396.5581930996923</v>
      </c>
      <c r="Z111" s="41">
        <f t="shared" si="52"/>
        <v>2540.3516846856733</v>
      </c>
      <c r="AA111" s="41">
        <f t="shared" si="52"/>
        <v>2692.7727857668142</v>
      </c>
      <c r="AB111" s="41">
        <f t="shared" si="52"/>
        <v>2854.339152912823</v>
      </c>
      <c r="AC111" s="41">
        <f t="shared" si="52"/>
        <v>3025.5995020875926</v>
      </c>
      <c r="AD111" s="41">
        <f t="shared" si="52"/>
        <v>3207.1354722128481</v>
      </c>
      <c r="AE111" s="41">
        <f t="shared" si="52"/>
        <v>3399.5636005456195</v>
      </c>
      <c r="AF111" s="41">
        <f t="shared" si="52"/>
        <v>3603.5374165783569</v>
      </c>
      <c r="AG111" s="41">
        <f t="shared" si="52"/>
        <v>3819.7496615730588</v>
      </c>
      <c r="AH111" s="41">
        <f t="shared" si="52"/>
        <v>4048.9346412674417</v>
      </c>
      <c r="AI111" s="41">
        <f t="shared" si="52"/>
        <v>4291.8707197434878</v>
      </c>
      <c r="AJ111" s="41">
        <f t="shared" si="52"/>
        <v>4549.3829629280981</v>
      </c>
      <c r="AK111" s="41">
        <f t="shared" si="52"/>
        <v>4822.3459407037844</v>
      </c>
      <c r="AL111" s="41">
        <f t="shared" si="52"/>
        <v>5111.6866971460122</v>
      </c>
      <c r="AM111" s="41">
        <f t="shared" si="52"/>
        <v>5418.3878989747727</v>
      </c>
      <c r="AN111" s="41">
        <f t="shared" si="52"/>
        <v>5743.4911729132591</v>
      </c>
      <c r="AO111" s="41">
        <f t="shared" si="52"/>
        <v>6088.1006432880567</v>
      </c>
    </row>
    <row r="112" spans="7:41" x14ac:dyDescent="0.25">
      <c r="G112" s="36"/>
      <c r="H112" s="35" t="s">
        <v>175</v>
      </c>
      <c r="I112" s="36"/>
      <c r="J112" s="41">
        <f t="shared" ref="J112:AO112" si="53">-J111*$C$87</f>
        <v>-600</v>
      </c>
      <c r="K112" s="41">
        <f t="shared" si="53"/>
        <v>-636</v>
      </c>
      <c r="L112" s="41">
        <f t="shared" si="53"/>
        <v>-674.16000000000008</v>
      </c>
      <c r="M112" s="41">
        <f t="shared" si="53"/>
        <v>-714.60960000000011</v>
      </c>
      <c r="N112" s="41">
        <f t="shared" si="53"/>
        <v>-757.48617600000023</v>
      </c>
      <c r="O112" s="41">
        <f t="shared" si="53"/>
        <v>-802.9353465600002</v>
      </c>
      <c r="P112" s="41">
        <f t="shared" si="53"/>
        <v>-851.11146735360035</v>
      </c>
      <c r="Q112" s="41">
        <f t="shared" si="53"/>
        <v>-902.17815539481637</v>
      </c>
      <c r="R112" s="41">
        <f t="shared" si="53"/>
        <v>-956.30884471850527</v>
      </c>
      <c r="S112" s="41">
        <f t="shared" si="53"/>
        <v>-1013.6873754016157</v>
      </c>
      <c r="T112" s="41">
        <f t="shared" si="53"/>
        <v>-1074.5086179257128</v>
      </c>
      <c r="U112" s="41">
        <f t="shared" si="53"/>
        <v>-1138.9791350012556</v>
      </c>
      <c r="V112" s="41">
        <f t="shared" si="53"/>
        <v>-1207.3178831013311</v>
      </c>
      <c r="W112" s="41">
        <f t="shared" si="53"/>
        <v>-1279.756956087411</v>
      </c>
      <c r="X112" s="41">
        <f t="shared" si="53"/>
        <v>-1356.5423734526555</v>
      </c>
      <c r="Y112" s="41">
        <f t="shared" si="53"/>
        <v>-1437.9349158598154</v>
      </c>
      <c r="Z112" s="41">
        <f t="shared" si="53"/>
        <v>-1524.2110108114039</v>
      </c>
      <c r="AA112" s="41">
        <f t="shared" si="53"/>
        <v>-1615.6636714600884</v>
      </c>
      <c r="AB112" s="41">
        <f t="shared" si="53"/>
        <v>-1712.6034917476939</v>
      </c>
      <c r="AC112" s="41">
        <f t="shared" si="53"/>
        <v>-1815.3597012525554</v>
      </c>
      <c r="AD112" s="41">
        <f t="shared" si="53"/>
        <v>-1924.2812833277087</v>
      </c>
      <c r="AE112" s="41">
        <f t="shared" si="53"/>
        <v>-2039.7381603273716</v>
      </c>
      <c r="AF112" s="41">
        <f t="shared" si="53"/>
        <v>-2162.122449947014</v>
      </c>
      <c r="AG112" s="41">
        <f t="shared" si="53"/>
        <v>-2291.8497969438354</v>
      </c>
      <c r="AH112" s="41">
        <f t="shared" si="53"/>
        <v>-2429.3607847604649</v>
      </c>
      <c r="AI112" s="41">
        <f t="shared" si="53"/>
        <v>-2575.1224318460927</v>
      </c>
      <c r="AJ112" s="41">
        <f t="shared" si="53"/>
        <v>-2729.6297777568589</v>
      </c>
      <c r="AK112" s="41">
        <f t="shared" si="53"/>
        <v>-2893.4075644222708</v>
      </c>
      <c r="AL112" s="41">
        <f t="shared" si="53"/>
        <v>-3067.0120182876071</v>
      </c>
      <c r="AM112" s="41">
        <f t="shared" si="53"/>
        <v>-3251.0327393848634</v>
      </c>
      <c r="AN112" s="41">
        <f t="shared" si="53"/>
        <v>-3446.0947037479555</v>
      </c>
      <c r="AO112" s="41">
        <f t="shared" si="53"/>
        <v>-3652.8603859728341</v>
      </c>
    </row>
    <row r="113" spans="7:41" x14ac:dyDescent="0.25">
      <c r="G113" s="36"/>
      <c r="H113" s="35" t="s">
        <v>176</v>
      </c>
      <c r="I113" s="36"/>
      <c r="J113" s="94">
        <f>SUM(J111:J112)</f>
        <v>400</v>
      </c>
      <c r="K113" s="94">
        <f t="shared" ref="K113:AO113" si="54">SUM(K111:K112)</f>
        <v>424</v>
      </c>
      <c r="L113" s="94">
        <f t="shared" si="54"/>
        <v>449.44000000000005</v>
      </c>
      <c r="M113" s="94">
        <f t="shared" si="54"/>
        <v>476.40640000000019</v>
      </c>
      <c r="N113" s="94">
        <f t="shared" si="54"/>
        <v>504.99078400000019</v>
      </c>
      <c r="O113" s="94">
        <f t="shared" si="54"/>
        <v>535.29023104000021</v>
      </c>
      <c r="P113" s="94">
        <f t="shared" si="54"/>
        <v>567.40764490240031</v>
      </c>
      <c r="Q113" s="94">
        <f t="shared" si="54"/>
        <v>601.45210359654436</v>
      </c>
      <c r="R113" s="94">
        <f t="shared" si="54"/>
        <v>637.539229812337</v>
      </c>
      <c r="S113" s="94">
        <f t="shared" si="54"/>
        <v>675.79158360107715</v>
      </c>
      <c r="T113" s="94">
        <f>SUM(T111:T112)</f>
        <v>716.33907861714192</v>
      </c>
      <c r="U113" s="94">
        <f t="shared" si="54"/>
        <v>759.31942333417055</v>
      </c>
      <c r="V113" s="94">
        <f t="shared" si="54"/>
        <v>804.87858873422078</v>
      </c>
      <c r="W113" s="94">
        <f t="shared" si="54"/>
        <v>853.17130405827425</v>
      </c>
      <c r="X113" s="94">
        <f t="shared" si="54"/>
        <v>904.36158230177057</v>
      </c>
      <c r="Y113" s="94">
        <f t="shared" si="54"/>
        <v>958.62327723987687</v>
      </c>
      <c r="Z113" s="94">
        <f t="shared" si="54"/>
        <v>1016.1406738742694</v>
      </c>
      <c r="AA113" s="94">
        <f t="shared" si="54"/>
        <v>1077.1091143067258</v>
      </c>
      <c r="AB113" s="94">
        <f t="shared" si="54"/>
        <v>1141.7356611651292</v>
      </c>
      <c r="AC113" s="94">
        <f t="shared" si="54"/>
        <v>1210.2398008350372</v>
      </c>
      <c r="AD113" s="94">
        <f t="shared" si="54"/>
        <v>1282.8541888851394</v>
      </c>
      <c r="AE113" s="94">
        <f t="shared" si="54"/>
        <v>1359.8254402182479</v>
      </c>
      <c r="AF113" s="94">
        <f t="shared" si="54"/>
        <v>1441.4149666313428</v>
      </c>
      <c r="AG113" s="94">
        <f t="shared" si="54"/>
        <v>1527.8998646292234</v>
      </c>
      <c r="AH113" s="94">
        <f t="shared" si="54"/>
        <v>1619.5738565069769</v>
      </c>
      <c r="AI113" s="94">
        <f t="shared" si="54"/>
        <v>1716.7482878973951</v>
      </c>
      <c r="AJ113" s="94">
        <f t="shared" si="54"/>
        <v>1819.7531851712392</v>
      </c>
      <c r="AK113" s="94">
        <f t="shared" si="54"/>
        <v>1928.9383762815137</v>
      </c>
      <c r="AL113" s="94">
        <f t="shared" si="54"/>
        <v>2044.6746788584051</v>
      </c>
      <c r="AM113" s="94">
        <f t="shared" si="54"/>
        <v>2167.3551595899094</v>
      </c>
      <c r="AN113" s="94">
        <f t="shared" si="54"/>
        <v>2297.3964691653036</v>
      </c>
      <c r="AO113" s="94">
        <f t="shared" si="54"/>
        <v>2435.2402573152226</v>
      </c>
    </row>
    <row r="114" spans="7:41" x14ac:dyDescent="0.25">
      <c r="G114" s="36"/>
      <c r="H114" s="35" t="s">
        <v>177</v>
      </c>
      <c r="I114" s="36"/>
      <c r="J114" s="94">
        <f t="shared" ref="J114:AO114" si="55">-J113*$C$90</f>
        <v>-4</v>
      </c>
      <c r="K114" s="94">
        <f t="shared" si="55"/>
        <v>-4.24</v>
      </c>
      <c r="L114" s="94">
        <f t="shared" si="55"/>
        <v>-4.4944000000000006</v>
      </c>
      <c r="M114" s="94">
        <f t="shared" si="55"/>
        <v>-4.7640640000000021</v>
      </c>
      <c r="N114" s="94">
        <f t="shared" si="55"/>
        <v>-5.0499078400000021</v>
      </c>
      <c r="O114" s="94">
        <f t="shared" si="55"/>
        <v>-5.352902310400002</v>
      </c>
      <c r="P114" s="94">
        <f t="shared" si="55"/>
        <v>-5.6740764490240032</v>
      </c>
      <c r="Q114" s="94">
        <f t="shared" si="55"/>
        <v>-6.0145210359654442</v>
      </c>
      <c r="R114" s="94">
        <f t="shared" si="55"/>
        <v>-6.3753922981233702</v>
      </c>
      <c r="S114" s="94">
        <f t="shared" si="55"/>
        <v>-6.7579158360107714</v>
      </c>
      <c r="T114" s="94">
        <f t="shared" si="55"/>
        <v>-7.1633907861714192</v>
      </c>
      <c r="U114" s="94">
        <f t="shared" si="55"/>
        <v>-7.5931942333417055</v>
      </c>
      <c r="V114" s="94">
        <f t="shared" si="55"/>
        <v>-8.0487858873422073</v>
      </c>
      <c r="W114" s="94">
        <f t="shared" si="55"/>
        <v>-8.5317130405827424</v>
      </c>
      <c r="X114" s="94">
        <f t="shared" si="55"/>
        <v>-9.0436158230177064</v>
      </c>
      <c r="Y114" s="94">
        <f t="shared" si="55"/>
        <v>-9.5862327723987697</v>
      </c>
      <c r="Z114" s="94">
        <f t="shared" si="55"/>
        <v>-10.161406738742695</v>
      </c>
      <c r="AA114" s="94">
        <f t="shared" si="55"/>
        <v>-10.771091143067258</v>
      </c>
      <c r="AB114" s="94">
        <f t="shared" si="55"/>
        <v>-11.417356611651291</v>
      </c>
      <c r="AC114" s="94">
        <f t="shared" si="55"/>
        <v>-12.102398008350372</v>
      </c>
      <c r="AD114" s="94">
        <f t="shared" si="55"/>
        <v>-12.828541888851394</v>
      </c>
      <c r="AE114" s="94">
        <f t="shared" si="55"/>
        <v>-13.598254402182478</v>
      </c>
      <c r="AF114" s="94">
        <f t="shared" si="55"/>
        <v>-14.414149666313429</v>
      </c>
      <c r="AG114" s="94">
        <f t="shared" si="55"/>
        <v>-15.278998646292235</v>
      </c>
      <c r="AH114" s="94">
        <f t="shared" si="55"/>
        <v>-16.195738565069767</v>
      </c>
      <c r="AI114" s="94">
        <f t="shared" si="55"/>
        <v>-17.167482878973953</v>
      </c>
      <c r="AJ114" s="94">
        <f t="shared" si="55"/>
        <v>-18.197531851712395</v>
      </c>
      <c r="AK114" s="94">
        <f t="shared" si="55"/>
        <v>-19.289383762815138</v>
      </c>
      <c r="AL114" s="94">
        <f t="shared" si="55"/>
        <v>-20.446746788584051</v>
      </c>
      <c r="AM114" s="94">
        <f t="shared" si="55"/>
        <v>-21.673551595899095</v>
      </c>
      <c r="AN114" s="94">
        <f t="shared" si="55"/>
        <v>-22.973964691653038</v>
      </c>
      <c r="AO114" s="94">
        <f t="shared" si="55"/>
        <v>-24.352402573152226</v>
      </c>
    </row>
    <row r="115" spans="7:41" x14ac:dyDescent="0.25">
      <c r="G115" s="36"/>
      <c r="H115" s="35" t="s">
        <v>178</v>
      </c>
      <c r="I115" s="36"/>
      <c r="J115" s="41">
        <f>SUM(J113:J114)*$D$12</f>
        <v>1957071.6</v>
      </c>
      <c r="K115" s="41">
        <f>SUM(K113:K114)*$D$12</f>
        <v>2074495.8960000002</v>
      </c>
      <c r="L115" s="41">
        <f t="shared" ref="L115:AO115" si="56">SUM(L113:L114)*$D$12</f>
        <v>2198965.6497600004</v>
      </c>
      <c r="M115" s="41">
        <f t="shared" si="56"/>
        <v>2330903.588745601</v>
      </c>
      <c r="N115" s="41">
        <f t="shared" si="56"/>
        <v>2470757.8040703372</v>
      </c>
      <c r="O115" s="41">
        <f t="shared" si="56"/>
        <v>2619003.2723145573</v>
      </c>
      <c r="P115" s="41">
        <f t="shared" si="56"/>
        <v>2776143.4686534312</v>
      </c>
      <c r="Q115" s="41">
        <f t="shared" si="56"/>
        <v>2942712.0767726372</v>
      </c>
      <c r="R115" s="41">
        <f t="shared" si="56"/>
        <v>3119274.8013789952</v>
      </c>
      <c r="S115" s="41">
        <f t="shared" si="56"/>
        <v>3306431.2894617352</v>
      </c>
      <c r="T115" s="41">
        <f>SUM(T113:T114)*$D$12</f>
        <v>3504817.1668294393</v>
      </c>
      <c r="U115" s="41">
        <f t="shared" si="56"/>
        <v>3715106.1968392064</v>
      </c>
      <c r="V115" s="41">
        <f t="shared" si="56"/>
        <v>3938012.5686495588</v>
      </c>
      <c r="W115" s="41">
        <f t="shared" si="56"/>
        <v>4174293.3227685336</v>
      </c>
      <c r="X115" s="41">
        <f t="shared" si="56"/>
        <v>4424750.9221346444</v>
      </c>
      <c r="Y115" s="41">
        <f t="shared" si="56"/>
        <v>4690235.9774627239</v>
      </c>
      <c r="Z115" s="41">
        <f t="shared" si="56"/>
        <v>4971650.1361104865</v>
      </c>
      <c r="AA115" s="41">
        <f t="shared" si="56"/>
        <v>5269949.1442771172</v>
      </c>
      <c r="AB115" s="41">
        <f t="shared" si="56"/>
        <v>5586146.0929337433</v>
      </c>
      <c r="AC115" s="41">
        <f t="shared" si="56"/>
        <v>5921314.8585097697</v>
      </c>
      <c r="AD115" s="41">
        <f t="shared" si="56"/>
        <v>6276593.7500203559</v>
      </c>
      <c r="AE115" s="41">
        <f t="shared" si="56"/>
        <v>6653189.3750215778</v>
      </c>
      <c r="AF115" s="41">
        <f t="shared" si="56"/>
        <v>7052380.7375228722</v>
      </c>
      <c r="AG115" s="41">
        <f t="shared" si="56"/>
        <v>7475523.581774245</v>
      </c>
      <c r="AH115" s="41">
        <f t="shared" si="56"/>
        <v>7924054.9966806993</v>
      </c>
      <c r="AI115" s="41">
        <f t="shared" si="56"/>
        <v>8399498.2964815404</v>
      </c>
      <c r="AJ115" s="41">
        <f t="shared" si="56"/>
        <v>8903468.1942704339</v>
      </c>
      <c r="AK115" s="41">
        <f t="shared" si="56"/>
        <v>9437676.2859266605</v>
      </c>
      <c r="AL115" s="41">
        <f t="shared" si="56"/>
        <v>10003936.863082264</v>
      </c>
      <c r="AM115" s="41">
        <f t="shared" si="56"/>
        <v>10604173.0748672</v>
      </c>
      <c r="AN115" s="41">
        <f t="shared" si="56"/>
        <v>11240423.459359229</v>
      </c>
      <c r="AO115" s="41">
        <f t="shared" si="56"/>
        <v>11914848.866920788</v>
      </c>
    </row>
    <row r="116" spans="7:41" x14ac:dyDescent="0.25">
      <c r="G116" s="36"/>
      <c r="H116" s="35" t="s">
        <v>179</v>
      </c>
      <c r="I116" s="36"/>
      <c r="J116" s="41">
        <f>J115/$D$12</f>
        <v>396</v>
      </c>
      <c r="K116" s="41">
        <f t="shared" ref="K116:AO116" si="57">K115/$D$12</f>
        <v>419.76</v>
      </c>
      <c r="L116" s="41">
        <f t="shared" si="57"/>
        <v>444.94560000000007</v>
      </c>
      <c r="M116" s="41">
        <f t="shared" si="57"/>
        <v>471.64233600000017</v>
      </c>
      <c r="N116" s="41">
        <f t="shared" si="57"/>
        <v>499.94087616000019</v>
      </c>
      <c r="O116" s="41">
        <f t="shared" si="57"/>
        <v>529.93732872960015</v>
      </c>
      <c r="P116" s="41">
        <f t="shared" si="57"/>
        <v>561.73356845337628</v>
      </c>
      <c r="Q116" s="41">
        <f t="shared" si="57"/>
        <v>595.4375825605789</v>
      </c>
      <c r="R116" s="41">
        <f t="shared" si="57"/>
        <v>631.16383751421358</v>
      </c>
      <c r="S116" s="41">
        <f t="shared" si="57"/>
        <v>669.03366776506641</v>
      </c>
      <c r="T116" s="41">
        <f t="shared" si="57"/>
        <v>709.17568783097045</v>
      </c>
      <c r="U116" s="41">
        <f t="shared" si="57"/>
        <v>751.72622910082885</v>
      </c>
      <c r="V116" s="41">
        <f t="shared" si="57"/>
        <v>796.82980284687858</v>
      </c>
      <c r="W116" s="41">
        <f t="shared" si="57"/>
        <v>844.63959101769149</v>
      </c>
      <c r="X116" s="41">
        <f t="shared" si="57"/>
        <v>895.31796647875274</v>
      </c>
      <c r="Y116" s="41">
        <f t="shared" si="57"/>
        <v>949.03704446747815</v>
      </c>
      <c r="Z116" s="41">
        <f t="shared" si="57"/>
        <v>1005.9792671355266</v>
      </c>
      <c r="AA116" s="41">
        <f t="shared" si="57"/>
        <v>1066.3380231636586</v>
      </c>
      <c r="AB116" s="41">
        <f t="shared" si="57"/>
        <v>1130.3183045534779</v>
      </c>
      <c r="AC116" s="41">
        <f t="shared" si="57"/>
        <v>1198.1374028266869</v>
      </c>
      <c r="AD116" s="41">
        <f t="shared" si="57"/>
        <v>1270.0256469962881</v>
      </c>
      <c r="AE116" s="41">
        <f t="shared" si="57"/>
        <v>1346.2271858160655</v>
      </c>
      <c r="AF116" s="41">
        <f t="shared" si="57"/>
        <v>1427.0008169650293</v>
      </c>
      <c r="AG116" s="41">
        <f t="shared" si="57"/>
        <v>1512.6208659829313</v>
      </c>
      <c r="AH116" s="41">
        <f t="shared" si="57"/>
        <v>1603.378117941907</v>
      </c>
      <c r="AI116" s="41">
        <f t="shared" si="57"/>
        <v>1699.5808050184212</v>
      </c>
      <c r="AJ116" s="41">
        <f t="shared" si="57"/>
        <v>1801.5556533195268</v>
      </c>
      <c r="AK116" s="41">
        <f t="shared" si="57"/>
        <v>1909.6489925186986</v>
      </c>
      <c r="AL116" s="41">
        <f t="shared" si="57"/>
        <v>2024.227932069821</v>
      </c>
      <c r="AM116" s="41">
        <f t="shared" si="57"/>
        <v>2145.6816079940104</v>
      </c>
      <c r="AN116" s="41">
        <f t="shared" si="57"/>
        <v>2274.4225044736504</v>
      </c>
      <c r="AO116" s="41">
        <f t="shared" si="57"/>
        <v>2410.8878547420704</v>
      </c>
    </row>
    <row r="117" spans="7:41" x14ac:dyDescent="0.25">
      <c r="H117" s="57" t="s">
        <v>180</v>
      </c>
      <c r="J117" s="129">
        <f t="shared" ref="J117:AO117" si="58">J116-($D$13-$D$36)</f>
        <v>-104</v>
      </c>
      <c r="K117" s="129">
        <f t="shared" si="58"/>
        <v>-80.240000000000009</v>
      </c>
      <c r="L117" s="129">
        <f t="shared" si="58"/>
        <v>-55.05439999999993</v>
      </c>
      <c r="M117" s="129">
        <f t="shared" si="58"/>
        <v>-28.357663999999829</v>
      </c>
      <c r="N117" s="129">
        <f t="shared" si="58"/>
        <v>-5.9123839999813299E-2</v>
      </c>
      <c r="O117" s="129">
        <f t="shared" si="58"/>
        <v>29.937328729600154</v>
      </c>
      <c r="P117" s="129">
        <f t="shared" si="58"/>
        <v>61.733568453376279</v>
      </c>
      <c r="Q117" s="129">
        <f t="shared" si="58"/>
        <v>95.437582560578903</v>
      </c>
      <c r="R117" s="129">
        <f t="shared" si="58"/>
        <v>131.16383751421358</v>
      </c>
      <c r="S117" s="129">
        <f t="shared" si="58"/>
        <v>169.03366776506641</v>
      </c>
      <c r="T117" s="129">
        <f t="shared" si="58"/>
        <v>209.17568783097045</v>
      </c>
      <c r="U117" s="129">
        <f t="shared" si="58"/>
        <v>251.72622910082885</v>
      </c>
      <c r="V117" s="129">
        <f t="shared" si="58"/>
        <v>296.82980284687858</v>
      </c>
      <c r="W117" s="129">
        <f t="shared" si="58"/>
        <v>344.63959101769149</v>
      </c>
      <c r="X117" s="129">
        <f t="shared" si="58"/>
        <v>395.31796647875274</v>
      </c>
      <c r="Y117" s="129">
        <f t="shared" si="58"/>
        <v>449.03704446747815</v>
      </c>
      <c r="Z117" s="129">
        <f t="shared" si="58"/>
        <v>505.97926713552658</v>
      </c>
      <c r="AA117" s="129">
        <f t="shared" si="58"/>
        <v>566.33802316365859</v>
      </c>
      <c r="AB117" s="129">
        <f t="shared" si="58"/>
        <v>630.3183045534779</v>
      </c>
      <c r="AC117" s="129">
        <f t="shared" si="58"/>
        <v>698.13740282668687</v>
      </c>
      <c r="AD117" s="129">
        <f t="shared" si="58"/>
        <v>770.02564699628806</v>
      </c>
      <c r="AE117" s="129">
        <f t="shared" si="58"/>
        <v>846.22718581606546</v>
      </c>
      <c r="AF117" s="129">
        <f t="shared" si="58"/>
        <v>927.00081696502934</v>
      </c>
      <c r="AG117" s="129">
        <f t="shared" si="58"/>
        <v>1012.6208659829313</v>
      </c>
      <c r="AH117" s="129">
        <f t="shared" si="58"/>
        <v>1103.378117941907</v>
      </c>
      <c r="AI117" s="129">
        <f t="shared" si="58"/>
        <v>1199.5808050184212</v>
      </c>
      <c r="AJ117" s="129">
        <f t="shared" si="58"/>
        <v>1301.5556533195268</v>
      </c>
      <c r="AK117" s="129">
        <f t="shared" si="58"/>
        <v>1409.6489925186986</v>
      </c>
      <c r="AL117" s="129">
        <f t="shared" si="58"/>
        <v>1524.227932069821</v>
      </c>
      <c r="AM117" s="129">
        <f t="shared" si="58"/>
        <v>1645.6816079940104</v>
      </c>
      <c r="AN117" s="129">
        <f t="shared" si="58"/>
        <v>1774.4225044736504</v>
      </c>
      <c r="AO117" s="129">
        <f t="shared" si="58"/>
        <v>1910.8878547420704</v>
      </c>
    </row>
    <row r="118" spans="7:41" x14ac:dyDescent="0.25">
      <c r="H118" s="57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  <c r="AJ118" s="129"/>
      <c r="AK118" s="129"/>
      <c r="AL118" s="129"/>
      <c r="AM118" s="129"/>
      <c r="AN118" s="129"/>
      <c r="AO118" s="129"/>
    </row>
    <row r="119" spans="7:41" x14ac:dyDescent="0.25">
      <c r="G119" s="57" t="s">
        <v>181</v>
      </c>
    </row>
    <row r="120" spans="7:41" x14ac:dyDescent="0.25">
      <c r="G120" s="36"/>
      <c r="H120" s="35" t="s">
        <v>182</v>
      </c>
      <c r="I120" s="36"/>
      <c r="J120" s="41"/>
      <c r="K120" s="41">
        <f>NPV($C$89,L62:$AO$62)</f>
        <v>1496580.8447178055</v>
      </c>
      <c r="L120" s="41">
        <f>NPV($C$89,M62:$AO$62)</f>
        <v>1454556.8624129822</v>
      </c>
      <c r="M120" s="41">
        <f>NPV($C$89,N62:$AO$62)</f>
        <v>1398489.4717307135</v>
      </c>
      <c r="N120" s="41">
        <f>NPV($C$89,O62:$AO$62)</f>
        <v>1326507.3999318152</v>
      </c>
      <c r="O120" s="41">
        <f>NPV($C$89,P62:$AO$62)</f>
        <v>1236787.3648245384</v>
      </c>
      <c r="P120" s="41">
        <f>NPV($C$89,Q62:$AO$62)</f>
        <v>1127073.009359651</v>
      </c>
      <c r="Q120" s="41">
        <f>NPV($C$89,R62:$AO$62)</f>
        <v>995433.03509404243</v>
      </c>
      <c r="R120" s="41">
        <f>NPV($C$89,S62:$AO$62)</f>
        <v>993117.34314431774</v>
      </c>
      <c r="S120" s="41">
        <f>NPV($C$89,T62:$AO$62)</f>
        <v>1029173.251361585</v>
      </c>
      <c r="T120" s="41">
        <f>NPV($C$89,U62:$AO$62)</f>
        <v>1062880.6902568378</v>
      </c>
      <c r="U120" s="41">
        <f>NPV($C$89,V62:$AO$62)</f>
        <v>960295.71803749935</v>
      </c>
      <c r="V120" s="41">
        <f>NPV($C$89,W62:$AO$62)</f>
        <v>982591.67717861314</v>
      </c>
      <c r="W120" s="41">
        <f>NPV($C$89,X62:$AO$62)</f>
        <v>1001171.838815116</v>
      </c>
      <c r="X120" s="41">
        <f>NPV($C$89,Y62:$AO$62)</f>
        <v>1015436.7020800122</v>
      </c>
      <c r="Y120" s="41">
        <f>NPV($C$89,Z62:$AO$62)</f>
        <v>1024724.7028583323</v>
      </c>
      <c r="Z120" s="41">
        <f>NPV($C$89,AA62:$AO$62)</f>
        <v>1014427.4930334842</v>
      </c>
      <c r="AA120" s="41">
        <f>NPV($C$89,AB62:$AO$62)</f>
        <v>1010808.8607820626</v>
      </c>
      <c r="AB120" s="41">
        <f>NPV($C$89,AC62:$AO$62)</f>
        <v>999762.80539021955</v>
      </c>
      <c r="AC120" s="41">
        <f>NPV($C$89,AD62:$AO$62)</f>
        <v>980316.94203714805</v>
      </c>
      <c r="AD120" s="41">
        <f>NPV($C$89,AE62:$AO$62)</f>
        <v>951401.5394008162</v>
      </c>
      <c r="AE120" s="41">
        <f>NPV($C$89,AF62:$AO$62)</f>
        <v>407024.13543763553</v>
      </c>
      <c r="AF120" s="41">
        <f>NPV($C$89,AG62:$AO$62)</f>
        <v>480635.49740745121</v>
      </c>
      <c r="AG120" s="41">
        <f>NPV($C$89,AH62:$AO$62)</f>
        <v>558715.62898281508</v>
      </c>
      <c r="AH120" s="41">
        <f>NPV($C$89,AI62:$AO$62)</f>
        <v>641499.57765019208</v>
      </c>
      <c r="AI120" s="41">
        <f>NPV($C$89,AJ62:$AO$62)</f>
        <v>729234.31312513503</v>
      </c>
      <c r="AJ120" s="41">
        <f>NPV($C$89,AK62:$AO$62)</f>
        <v>412140.53755942039</v>
      </c>
      <c r="AK120" s="41">
        <f>NPV($C$89,AL62:$AO$62)</f>
        <v>490066.52812642843</v>
      </c>
      <c r="AL120" s="41">
        <f>NPV($C$89,AM62:$AO$62)</f>
        <v>572736.78810617514</v>
      </c>
      <c r="AM120" s="41">
        <f>NPV($C$89,AN62:$AO$62)</f>
        <v>660401.01422614465</v>
      </c>
      <c r="AN120" s="41">
        <f>NPV($C$89,AO62:$AO$62)</f>
        <v>753321.57057321921</v>
      </c>
      <c r="AO120" s="41">
        <f>NPV($C$89,$AO62:AP$62)</f>
        <v>753321.57057321921</v>
      </c>
    </row>
    <row r="121" spans="7:41" x14ac:dyDescent="0.25">
      <c r="G121" s="36"/>
      <c r="H121" s="35" t="s">
        <v>179</v>
      </c>
      <c r="I121" s="36"/>
      <c r="J121" s="41">
        <f>J120/$D$12</f>
        <v>0</v>
      </c>
      <c r="K121" s="41">
        <f t="shared" ref="K121:AO121" si="59">K120/$D$12</f>
        <v>302.82285763497407</v>
      </c>
      <c r="L121" s="41">
        <f t="shared" si="59"/>
        <v>294.31959337386576</v>
      </c>
      <c r="M121" s="41">
        <f t="shared" si="59"/>
        <v>282.97474185684496</v>
      </c>
      <c r="N121" s="41">
        <f t="shared" si="59"/>
        <v>268.40966389425853</v>
      </c>
      <c r="O121" s="41">
        <f t="shared" si="59"/>
        <v>250.25543085419929</v>
      </c>
      <c r="P121" s="41">
        <f t="shared" si="59"/>
        <v>228.05548438106288</v>
      </c>
      <c r="Q121" s="41">
        <f t="shared" si="59"/>
        <v>201.41903949617418</v>
      </c>
      <c r="R121" s="41">
        <f t="shared" si="59"/>
        <v>200.95047513087911</v>
      </c>
      <c r="S121" s="41">
        <f t="shared" si="59"/>
        <v>208.24614058023613</v>
      </c>
      <c r="T121" s="41">
        <f t="shared" si="59"/>
        <v>215.06660938808153</v>
      </c>
      <c r="U121" s="41">
        <f t="shared" si="59"/>
        <v>194.30924466067043</v>
      </c>
      <c r="V121" s="41">
        <f t="shared" si="59"/>
        <v>198.82067889735399</v>
      </c>
      <c r="W121" s="41">
        <f t="shared" si="59"/>
        <v>202.58024702355596</v>
      </c>
      <c r="X121" s="41">
        <f t="shared" si="59"/>
        <v>205.46664415532103</v>
      </c>
      <c r="Y121" s="41">
        <f t="shared" si="59"/>
        <v>207.34600733662455</v>
      </c>
      <c r="Z121" s="41">
        <f t="shared" si="59"/>
        <v>205.26243763450438</v>
      </c>
      <c r="AA121" s="41">
        <f t="shared" si="59"/>
        <v>204.53023224581909</v>
      </c>
      <c r="AB121" s="41">
        <f t="shared" si="59"/>
        <v>202.29513878517625</v>
      </c>
      <c r="AC121" s="41">
        <f t="shared" si="59"/>
        <v>198.36040186097975</v>
      </c>
      <c r="AD121" s="41">
        <f t="shared" si="59"/>
        <v>192.50956868554181</v>
      </c>
      <c r="AE121" s="41">
        <f t="shared" si="59"/>
        <v>82.358538968785638</v>
      </c>
      <c r="AF121" s="41">
        <f t="shared" si="59"/>
        <v>97.253292609913032</v>
      </c>
      <c r="AG121" s="41">
        <f t="shared" si="59"/>
        <v>113.05227109585299</v>
      </c>
      <c r="AH121" s="41">
        <f t="shared" si="59"/>
        <v>129.80303467153479</v>
      </c>
      <c r="AI121" s="41">
        <f t="shared" si="59"/>
        <v>147.55555596307946</v>
      </c>
      <c r="AJ121" s="41">
        <f t="shared" si="59"/>
        <v>83.393807806280805</v>
      </c>
      <c r="AK121" s="41">
        <f t="shared" si="59"/>
        <v>99.161596917591382</v>
      </c>
      <c r="AL121" s="41">
        <f t="shared" si="59"/>
        <v>115.88935636797618</v>
      </c>
      <c r="AM121" s="41">
        <f t="shared" si="59"/>
        <v>133.62761057569548</v>
      </c>
      <c r="AN121" s="41">
        <f t="shared" si="59"/>
        <v>152.42944711220315</v>
      </c>
      <c r="AO121" s="41">
        <f t="shared" si="59"/>
        <v>152.42944711220315</v>
      </c>
    </row>
    <row r="122" spans="7:41" x14ac:dyDescent="0.25">
      <c r="G122" s="36"/>
      <c r="H122" s="57" t="s">
        <v>180</v>
      </c>
      <c r="J122" s="129">
        <f t="shared" ref="J122:AO122" si="60">J121-($D$13-$D$36)</f>
        <v>-500</v>
      </c>
      <c r="K122" s="129">
        <f t="shared" si="60"/>
        <v>-197.17714236502593</v>
      </c>
      <c r="L122" s="129">
        <f t="shared" si="60"/>
        <v>-205.68040662613424</v>
      </c>
      <c r="M122" s="129">
        <f t="shared" si="60"/>
        <v>-217.02525814315504</v>
      </c>
      <c r="N122" s="129">
        <f t="shared" si="60"/>
        <v>-231.59033610574147</v>
      </c>
      <c r="O122" s="129">
        <f t="shared" si="60"/>
        <v>-249.74456914580071</v>
      </c>
      <c r="P122" s="129">
        <f t="shared" si="60"/>
        <v>-271.94451561893709</v>
      </c>
      <c r="Q122" s="129">
        <f t="shared" si="60"/>
        <v>-298.58096050382585</v>
      </c>
      <c r="R122" s="129">
        <f t="shared" si="60"/>
        <v>-299.04952486912089</v>
      </c>
      <c r="S122" s="129">
        <f t="shared" si="60"/>
        <v>-291.7538594197639</v>
      </c>
      <c r="T122" s="129">
        <f t="shared" si="60"/>
        <v>-284.93339061191847</v>
      </c>
      <c r="U122" s="129">
        <f t="shared" si="60"/>
        <v>-305.6907553393296</v>
      </c>
      <c r="V122" s="129">
        <f t="shared" si="60"/>
        <v>-301.17932110264599</v>
      </c>
      <c r="W122" s="129">
        <f t="shared" si="60"/>
        <v>-297.41975297644404</v>
      </c>
      <c r="X122" s="129">
        <f t="shared" si="60"/>
        <v>-294.53335584467897</v>
      </c>
      <c r="Y122" s="129">
        <f t="shared" si="60"/>
        <v>-292.65399266337545</v>
      </c>
      <c r="Z122" s="129">
        <f t="shared" si="60"/>
        <v>-294.73756236549559</v>
      </c>
      <c r="AA122" s="129">
        <f t="shared" si="60"/>
        <v>-295.46976775418091</v>
      </c>
      <c r="AB122" s="129">
        <f t="shared" si="60"/>
        <v>-297.70486121482372</v>
      </c>
      <c r="AC122" s="129">
        <f t="shared" si="60"/>
        <v>-301.63959813902022</v>
      </c>
      <c r="AD122" s="129">
        <f t="shared" si="60"/>
        <v>-307.49043131445819</v>
      </c>
      <c r="AE122" s="129">
        <f t="shared" si="60"/>
        <v>-417.64146103121436</v>
      </c>
      <c r="AF122" s="129">
        <f t="shared" si="60"/>
        <v>-402.74670739008695</v>
      </c>
      <c r="AG122" s="129">
        <f t="shared" si="60"/>
        <v>-386.94772890414703</v>
      </c>
      <c r="AH122" s="129">
        <f t="shared" si="60"/>
        <v>-370.19696532846524</v>
      </c>
      <c r="AI122" s="129">
        <f t="shared" si="60"/>
        <v>-352.44444403692057</v>
      </c>
      <c r="AJ122" s="129">
        <f t="shared" si="60"/>
        <v>-416.60619219371921</v>
      </c>
      <c r="AK122" s="129">
        <f t="shared" si="60"/>
        <v>-400.8384030824086</v>
      </c>
      <c r="AL122" s="129">
        <f t="shared" si="60"/>
        <v>-384.11064363202382</v>
      </c>
      <c r="AM122" s="129">
        <f t="shared" si="60"/>
        <v>-366.37238942430452</v>
      </c>
      <c r="AN122" s="129">
        <f t="shared" si="60"/>
        <v>-347.57055288779685</v>
      </c>
      <c r="AO122" s="129">
        <f t="shared" si="60"/>
        <v>-347.57055288779685</v>
      </c>
    </row>
    <row r="123" spans="7:41" x14ac:dyDescent="0.25">
      <c r="G123" s="36"/>
      <c r="H123" s="35"/>
      <c r="I123" s="36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</row>
    <row r="124" spans="7:41" x14ac:dyDescent="0.25">
      <c r="G124" s="57" t="s">
        <v>183</v>
      </c>
      <c r="H124" s="35"/>
      <c r="I124" s="36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</row>
    <row r="125" spans="7:41" x14ac:dyDescent="0.25">
      <c r="G125" s="36"/>
      <c r="H125" s="35" t="s">
        <v>184</v>
      </c>
      <c r="I125" s="35"/>
      <c r="J125" s="94">
        <f>MEDIAN(J115:J120)/$D$12</f>
        <v>8.0127880860363002E-2</v>
      </c>
      <c r="K125" s="94">
        <f>MEDIAN(K115,K120)/$D$12</f>
        <v>361.29142881748709</v>
      </c>
      <c r="L125" s="94">
        <f t="shared" ref="L125:AO125" si="61">MEDIAN(L115,L120)/$D$12</f>
        <v>369.63259668693291</v>
      </c>
      <c r="M125" s="94">
        <f t="shared" si="61"/>
        <v>377.30853892842254</v>
      </c>
      <c r="N125" s="94">
        <f t="shared" si="61"/>
        <v>384.17527002712933</v>
      </c>
      <c r="O125" s="94">
        <f t="shared" si="61"/>
        <v>390.09637979189978</v>
      </c>
      <c r="P125" s="94">
        <f t="shared" si="61"/>
        <v>394.89452641721959</v>
      </c>
      <c r="Q125" s="94">
        <f t="shared" si="61"/>
        <v>398.42831102837658</v>
      </c>
      <c r="R125" s="94">
        <f t="shared" si="61"/>
        <v>416.0571563225464</v>
      </c>
      <c r="S125" s="94">
        <f t="shared" si="61"/>
        <v>438.63990417265126</v>
      </c>
      <c r="T125" s="94">
        <f t="shared" si="61"/>
        <v>462.12114860952596</v>
      </c>
      <c r="U125" s="94">
        <f t="shared" si="61"/>
        <v>473.01773688074957</v>
      </c>
      <c r="V125" s="94">
        <f t="shared" si="61"/>
        <v>497.8252408721163</v>
      </c>
      <c r="W125" s="94">
        <f t="shared" si="61"/>
        <v>523.60991902062381</v>
      </c>
      <c r="X125" s="94">
        <f t="shared" si="61"/>
        <v>550.39230531703686</v>
      </c>
      <c r="Y125" s="94">
        <f t="shared" si="61"/>
        <v>578.19152590205135</v>
      </c>
      <c r="Z125" s="94">
        <f t="shared" si="61"/>
        <v>605.6208523850155</v>
      </c>
      <c r="AA125" s="94">
        <f t="shared" si="61"/>
        <v>635.43412770473878</v>
      </c>
      <c r="AB125" s="94">
        <f t="shared" si="61"/>
        <v>666.30672166932709</v>
      </c>
      <c r="AC125" s="94">
        <f t="shared" si="61"/>
        <v>698.24890234383327</v>
      </c>
      <c r="AD125" s="94">
        <f t="shared" si="61"/>
        <v>731.26760784091505</v>
      </c>
      <c r="AE125" s="94">
        <f t="shared" si="61"/>
        <v>714.2928623924256</v>
      </c>
      <c r="AF125" s="94">
        <f t="shared" si="61"/>
        <v>762.12705478747125</v>
      </c>
      <c r="AG125" s="94">
        <f t="shared" si="61"/>
        <v>812.83656853939215</v>
      </c>
      <c r="AH125" s="94">
        <f t="shared" si="61"/>
        <v>866.59057630672078</v>
      </c>
      <c r="AI125" s="94">
        <f t="shared" si="61"/>
        <v>923.56818049075036</v>
      </c>
      <c r="AJ125" s="94">
        <f t="shared" si="61"/>
        <v>942.47473056290391</v>
      </c>
      <c r="AK125" s="94">
        <f t="shared" si="61"/>
        <v>1004.4052947181451</v>
      </c>
      <c r="AL125" s="94">
        <f t="shared" si="61"/>
        <v>1070.0586442188987</v>
      </c>
      <c r="AM125" s="94">
        <f t="shared" si="61"/>
        <v>1139.6546092848532</v>
      </c>
      <c r="AN125" s="94">
        <f t="shared" si="61"/>
        <v>1213.4259757929267</v>
      </c>
      <c r="AO125" s="94">
        <f t="shared" si="61"/>
        <v>1281.6586509271367</v>
      </c>
    </row>
    <row r="126" spans="7:41" x14ac:dyDescent="0.25">
      <c r="H126" s="57" t="s">
        <v>185</v>
      </c>
      <c r="J126" s="129">
        <f t="shared" ref="J126:AO126" si="62">J125-($D$13-$D$36)</f>
        <v>-499.91987211913965</v>
      </c>
      <c r="K126" s="129">
        <f t="shared" si="62"/>
        <v>-138.70857118251291</v>
      </c>
      <c r="L126" s="129">
        <f t="shared" si="62"/>
        <v>-130.36740331306709</v>
      </c>
      <c r="M126" s="129">
        <f t="shared" si="62"/>
        <v>-122.69146107157746</v>
      </c>
      <c r="N126" s="129">
        <f t="shared" si="62"/>
        <v>-115.82472997287067</v>
      </c>
      <c r="O126" s="129">
        <f t="shared" si="62"/>
        <v>-109.90362020810022</v>
      </c>
      <c r="P126" s="129">
        <f t="shared" si="62"/>
        <v>-105.10547358278041</v>
      </c>
      <c r="Q126" s="129">
        <f t="shared" si="62"/>
        <v>-101.57168897162342</v>
      </c>
      <c r="R126" s="129">
        <f t="shared" si="62"/>
        <v>-83.942843677453595</v>
      </c>
      <c r="S126" s="129">
        <f t="shared" si="62"/>
        <v>-61.360095827348744</v>
      </c>
      <c r="T126" s="129">
        <f t="shared" si="62"/>
        <v>-37.87885139047404</v>
      </c>
      <c r="U126" s="129">
        <f t="shared" si="62"/>
        <v>-26.982263119250433</v>
      </c>
      <c r="V126" s="129">
        <f t="shared" si="62"/>
        <v>-2.1747591278837035</v>
      </c>
      <c r="W126" s="129">
        <f t="shared" si="62"/>
        <v>23.609919020623806</v>
      </c>
      <c r="X126" s="129">
        <f t="shared" si="62"/>
        <v>50.392305317036858</v>
      </c>
      <c r="Y126" s="129">
        <f t="shared" si="62"/>
        <v>78.191525902051353</v>
      </c>
      <c r="Z126" s="129">
        <f t="shared" si="62"/>
        <v>105.6208523850155</v>
      </c>
      <c r="AA126" s="129">
        <f t="shared" si="62"/>
        <v>135.43412770473878</v>
      </c>
      <c r="AB126" s="129">
        <f t="shared" si="62"/>
        <v>166.30672166932709</v>
      </c>
      <c r="AC126" s="129">
        <f t="shared" si="62"/>
        <v>198.24890234383327</v>
      </c>
      <c r="AD126" s="129">
        <f t="shared" si="62"/>
        <v>231.26760784091505</v>
      </c>
      <c r="AE126" s="129">
        <f t="shared" si="62"/>
        <v>214.2928623924256</v>
      </c>
      <c r="AF126" s="129">
        <f t="shared" si="62"/>
        <v>262.12705478747125</v>
      </c>
      <c r="AG126" s="129">
        <f t="shared" si="62"/>
        <v>312.83656853939215</v>
      </c>
      <c r="AH126" s="129">
        <f t="shared" si="62"/>
        <v>366.59057630672078</v>
      </c>
      <c r="AI126" s="129">
        <f t="shared" si="62"/>
        <v>423.56818049075036</v>
      </c>
      <c r="AJ126" s="129">
        <f t="shared" si="62"/>
        <v>442.47473056290391</v>
      </c>
      <c r="AK126" s="129">
        <f t="shared" si="62"/>
        <v>504.40529471814511</v>
      </c>
      <c r="AL126" s="129">
        <f t="shared" si="62"/>
        <v>570.05864421889873</v>
      </c>
      <c r="AM126" s="129">
        <f t="shared" si="62"/>
        <v>639.65460928485322</v>
      </c>
      <c r="AN126" s="129">
        <f t="shared" si="62"/>
        <v>713.42597579292669</v>
      </c>
      <c r="AO126" s="129">
        <f t="shared" si="62"/>
        <v>781.6586509271367</v>
      </c>
    </row>
    <row r="127" spans="7:41" x14ac:dyDescent="0.25">
      <c r="H127" s="57"/>
      <c r="J127" s="129"/>
      <c r="K127" s="129"/>
      <c r="L127" s="129"/>
      <c r="M127" s="129"/>
      <c r="N127" s="129"/>
      <c r="O127" s="129"/>
      <c r="P127" s="129"/>
      <c r="Q127" s="129"/>
      <c r="R127" s="129"/>
      <c r="S127" s="129"/>
      <c r="T127" s="129"/>
      <c r="U127" s="129"/>
      <c r="V127" s="129"/>
      <c r="W127" s="129"/>
      <c r="X127" s="129"/>
      <c r="Y127" s="129"/>
      <c r="Z127" s="129"/>
      <c r="AA127" s="129"/>
      <c r="AB127" s="129"/>
      <c r="AC127" s="129"/>
      <c r="AD127" s="129"/>
      <c r="AE127" s="129"/>
      <c r="AF127" s="129"/>
      <c r="AG127" s="129"/>
      <c r="AH127" s="129"/>
      <c r="AI127" s="129"/>
      <c r="AJ127" s="129"/>
      <c r="AK127" s="129"/>
      <c r="AL127" s="129"/>
      <c r="AM127" s="129"/>
      <c r="AN127" s="129"/>
      <c r="AO127" s="129"/>
    </row>
    <row r="128" spans="7:41" x14ac:dyDescent="0.25">
      <c r="G128" s="2" t="s">
        <v>186</v>
      </c>
      <c r="H128" s="30"/>
      <c r="I128" s="30"/>
      <c r="J128" s="2" t="s">
        <v>39</v>
      </c>
      <c r="K128" s="32">
        <v>1</v>
      </c>
      <c r="L128" s="32">
        <v>2</v>
      </c>
      <c r="M128" s="32">
        <v>3</v>
      </c>
      <c r="N128" s="32">
        <v>4</v>
      </c>
      <c r="O128" s="32">
        <v>5</v>
      </c>
      <c r="P128" s="32">
        <v>6</v>
      </c>
      <c r="Q128" s="32">
        <v>7</v>
      </c>
      <c r="R128" s="32">
        <v>8</v>
      </c>
      <c r="S128" s="32">
        <v>9</v>
      </c>
      <c r="T128" s="32">
        <v>10</v>
      </c>
      <c r="U128" s="32">
        <v>11</v>
      </c>
      <c r="V128" s="32">
        <v>12</v>
      </c>
      <c r="W128" s="32">
        <v>13</v>
      </c>
      <c r="X128" s="32">
        <v>14</v>
      </c>
      <c r="Y128" s="32">
        <v>15</v>
      </c>
      <c r="Z128" s="32">
        <v>16</v>
      </c>
      <c r="AA128" s="32">
        <v>17</v>
      </c>
      <c r="AB128" s="32">
        <v>18</v>
      </c>
      <c r="AC128" s="32">
        <v>19</v>
      </c>
      <c r="AD128" s="32">
        <v>20</v>
      </c>
      <c r="AE128" s="32">
        <v>21</v>
      </c>
    </row>
    <row r="129" spans="6:31" x14ac:dyDescent="0.25">
      <c r="H129" s="130" t="s">
        <v>39</v>
      </c>
      <c r="I129" s="90"/>
      <c r="J129" s="92">
        <f>-J12</f>
        <v>5164494.5</v>
      </c>
    </row>
    <row r="130" spans="6:31" x14ac:dyDescent="0.25">
      <c r="H130" s="35" t="s">
        <v>187</v>
      </c>
      <c r="I130" s="36"/>
      <c r="J130" s="94">
        <f>-J15</f>
        <v>-2471050</v>
      </c>
      <c r="K130" s="131">
        <f>-J130/$J$129</f>
        <v>0.4784688995215311</v>
      </c>
      <c r="Z130" s="131"/>
    </row>
    <row r="131" spans="6:31" x14ac:dyDescent="0.25">
      <c r="H131" s="35" t="s">
        <v>188</v>
      </c>
      <c r="I131" s="36"/>
      <c r="J131" s="94">
        <f>-J49</f>
        <v>0</v>
      </c>
      <c r="K131" s="131">
        <f t="shared" ref="K131:K132" si="63">-J131/$J$129</f>
        <v>0</v>
      </c>
      <c r="Z131" s="131"/>
    </row>
    <row r="132" spans="6:31" x14ac:dyDescent="0.25">
      <c r="H132" s="35" t="s">
        <v>189</v>
      </c>
      <c r="I132" s="36"/>
      <c r="J132" s="94">
        <f>-J50</f>
        <v>-886743.70565000002</v>
      </c>
      <c r="K132" s="131">
        <f t="shared" si="63"/>
        <v>0.17169999999999999</v>
      </c>
      <c r="W132" s="57" t="s">
        <v>190</v>
      </c>
      <c r="Z132" s="131"/>
    </row>
    <row r="134" spans="6:31" x14ac:dyDescent="0.25">
      <c r="H134" s="50" t="s">
        <v>6</v>
      </c>
      <c r="I134" s="59"/>
      <c r="J134" s="59"/>
      <c r="K134" s="60">
        <f t="shared" ref="K134:AE134" si="64">K46</f>
        <v>0</v>
      </c>
      <c r="L134" s="60">
        <f t="shared" si="64"/>
        <v>0</v>
      </c>
      <c r="M134" s="60">
        <f t="shared" si="64"/>
        <v>0</v>
      </c>
      <c r="N134" s="60">
        <f t="shared" si="64"/>
        <v>0</v>
      </c>
      <c r="O134" s="60">
        <f t="shared" si="64"/>
        <v>0</v>
      </c>
      <c r="P134" s="60">
        <f t="shared" si="64"/>
        <v>0</v>
      </c>
      <c r="Q134" s="60">
        <f t="shared" si="64"/>
        <v>0</v>
      </c>
      <c r="R134" s="60">
        <f t="shared" si="64"/>
        <v>0</v>
      </c>
      <c r="S134" s="60">
        <f t="shared" si="64"/>
        <v>0</v>
      </c>
      <c r="T134" s="60">
        <f t="shared" si="64"/>
        <v>0</v>
      </c>
      <c r="U134" s="60">
        <f t="shared" si="64"/>
        <v>0</v>
      </c>
      <c r="V134" s="60">
        <f t="shared" si="64"/>
        <v>0</v>
      </c>
      <c r="W134" s="60">
        <f t="shared" si="64"/>
        <v>0</v>
      </c>
      <c r="X134" s="60">
        <f t="shared" si="64"/>
        <v>0</v>
      </c>
      <c r="Y134" s="60">
        <f t="shared" si="64"/>
        <v>4334812.6274022851</v>
      </c>
      <c r="Z134" s="60">
        <f t="shared" si="64"/>
        <v>0</v>
      </c>
      <c r="AA134" s="60">
        <f t="shared" si="64"/>
        <v>0</v>
      </c>
      <c r="AB134" s="60">
        <f t="shared" si="64"/>
        <v>0</v>
      </c>
      <c r="AC134" s="60">
        <f t="shared" si="64"/>
        <v>0</v>
      </c>
      <c r="AD134" s="60">
        <f t="shared" si="64"/>
        <v>0</v>
      </c>
      <c r="AE134" s="60">
        <f t="shared" si="64"/>
        <v>0</v>
      </c>
    </row>
    <row r="137" spans="6:31" x14ac:dyDescent="0.25">
      <c r="H137" s="132" t="s">
        <v>191</v>
      </c>
      <c r="I137" s="133"/>
      <c r="J137" s="133"/>
      <c r="K137" s="134">
        <f t="shared" ref="K137:AE137" si="65">K22</f>
        <v>444286.15560949693</v>
      </c>
      <c r="L137" s="134">
        <f t="shared" si="65"/>
        <v>165984.17030952545</v>
      </c>
      <c r="M137" s="134">
        <f t="shared" si="65"/>
        <v>183658.66548256663</v>
      </c>
      <c r="N137" s="134">
        <f t="shared" si="65"/>
        <v>203413.83124936529</v>
      </c>
      <c r="O137" s="134">
        <f t="shared" si="65"/>
        <v>225215.17322872271</v>
      </c>
      <c r="P137" s="134">
        <f t="shared" si="65"/>
        <v>249578.65841978716</v>
      </c>
      <c r="Q137" s="134">
        <f t="shared" si="65"/>
        <v>276138.42088618985</v>
      </c>
      <c r="R137" s="134">
        <f t="shared" si="65"/>
        <v>118263.12337740671</v>
      </c>
      <c r="S137" s="134">
        <f t="shared" si="65"/>
        <v>73996.778019953912</v>
      </c>
      <c r="T137" s="134">
        <f t="shared" si="65"/>
        <v>82037.231297323626</v>
      </c>
      <c r="U137" s="134">
        <f t="shared" si="65"/>
        <v>266038.92558001622</v>
      </c>
      <c r="V137" s="134">
        <f t="shared" si="65"/>
        <v>98789.436107021887</v>
      </c>
      <c r="W137" s="134">
        <f t="shared" si="65"/>
        <v>108905.28348570969</v>
      </c>
      <c r="X137" s="134">
        <f t="shared" si="65"/>
        <v>120064.91902661558</v>
      </c>
      <c r="Y137" s="134">
        <f t="shared" si="65"/>
        <v>132375.90983792942</v>
      </c>
      <c r="Z137" s="134">
        <f t="shared" si="65"/>
        <v>166560.60210952142</v>
      </c>
      <c r="AA137" s="134">
        <f t="shared" si="65"/>
        <v>160935.36349680566</v>
      </c>
      <c r="AB137" s="134">
        <f t="shared" si="65"/>
        <v>177463.90449988737</v>
      </c>
      <c r="AC137" s="134">
        <f t="shared" si="65"/>
        <v>195697.5962683103</v>
      </c>
      <c r="AD137" s="134">
        <f t="shared" si="65"/>
        <v>215815.97840210344</v>
      </c>
      <c r="AE137" s="134">
        <f t="shared" si="65"/>
        <v>1085898.5030270454</v>
      </c>
    </row>
    <row r="138" spans="6:31" x14ac:dyDescent="0.25">
      <c r="H138" s="135" t="s">
        <v>192</v>
      </c>
      <c r="I138" s="136"/>
      <c r="J138" s="136"/>
      <c r="K138" s="137">
        <f t="shared" ref="K138:AE138" si="66">-SUM(K25:K32,K35:K40)</f>
        <v>-41538.3505</v>
      </c>
      <c r="L138" s="137">
        <f t="shared" si="66"/>
        <v>-43215.461401437497</v>
      </c>
      <c r="M138" s="137">
        <f t="shared" si="66"/>
        <v>-44960.285655520529</v>
      </c>
      <c r="N138" s="137">
        <f t="shared" si="66"/>
        <v>-46775.557188862149</v>
      </c>
      <c r="O138" s="137">
        <f t="shared" si="66"/>
        <v>-48664.120310362458</v>
      </c>
      <c r="P138" s="137">
        <f t="shared" si="66"/>
        <v>-50628.934167893342</v>
      </c>
      <c r="Q138" s="137">
        <f t="shared" si="66"/>
        <v>-52673.077384922013</v>
      </c>
      <c r="R138" s="137">
        <f t="shared" si="66"/>
        <v>-54799.752884338239</v>
      </c>
      <c r="S138" s="137">
        <f t="shared" si="66"/>
        <v>-57012.292907043382</v>
      </c>
      <c r="T138" s="137">
        <f t="shared" si="66"/>
        <v>-59314.164233165247</v>
      </c>
      <c r="U138" s="137">
        <f t="shared" si="66"/>
        <v>-61708.973614079281</v>
      </c>
      <c r="V138" s="137">
        <f t="shared" si="66"/>
        <v>-64200.473423747717</v>
      </c>
      <c r="W138" s="137">
        <f t="shared" si="66"/>
        <v>-66792.567538231524</v>
      </c>
      <c r="X138" s="137">
        <f t="shared" si="66"/>
        <v>-69489.317452587595</v>
      </c>
      <c r="Y138" s="137">
        <f t="shared" si="66"/>
        <v>-72294.948644735807</v>
      </c>
      <c r="Z138" s="137">
        <f t="shared" si="66"/>
        <v>-75213.85719626701</v>
      </c>
      <c r="AA138" s="137">
        <f t="shared" si="66"/>
        <v>-78250.61668056628</v>
      </c>
      <c r="AB138" s="137">
        <f t="shared" si="66"/>
        <v>-81409.985329044124</v>
      </c>
      <c r="AC138" s="137">
        <f t="shared" si="66"/>
        <v>-84696.913486704259</v>
      </c>
      <c r="AD138" s="137">
        <f t="shared" si="66"/>
        <v>-88116.551368729939</v>
      </c>
      <c r="AE138" s="137">
        <f t="shared" si="66"/>
        <v>-91674.257130242389</v>
      </c>
    </row>
    <row r="139" spans="6:31" x14ac:dyDescent="0.25">
      <c r="F139">
        <v>1</v>
      </c>
    </row>
    <row r="140" spans="6:31" x14ac:dyDescent="0.25">
      <c r="H140" s="132" t="s">
        <v>193</v>
      </c>
      <c r="I140" s="133"/>
      <c r="J140" s="133"/>
      <c r="K140" s="134">
        <f t="shared" ref="K140:AE141" si="67">K49</f>
        <v>0</v>
      </c>
      <c r="L140" s="134">
        <f t="shared" si="67"/>
        <v>0</v>
      </c>
      <c r="M140" s="134">
        <f t="shared" si="67"/>
        <v>0</v>
      </c>
      <c r="N140" s="134">
        <f t="shared" si="67"/>
        <v>0</v>
      </c>
      <c r="O140" s="134">
        <f t="shared" si="67"/>
        <v>0</v>
      </c>
      <c r="P140" s="134">
        <f t="shared" si="67"/>
        <v>0</v>
      </c>
      <c r="Q140" s="134">
        <f t="shared" si="67"/>
        <v>0</v>
      </c>
      <c r="R140" s="134">
        <f t="shared" si="67"/>
        <v>0</v>
      </c>
      <c r="S140" s="134">
        <f t="shared" si="67"/>
        <v>0</v>
      </c>
      <c r="T140" s="134">
        <f t="shared" si="67"/>
        <v>0</v>
      </c>
      <c r="U140" s="134">
        <f t="shared" si="67"/>
        <v>0</v>
      </c>
      <c r="V140" s="134">
        <f t="shared" si="67"/>
        <v>0</v>
      </c>
      <c r="W140" s="134">
        <f t="shared" si="67"/>
        <v>0</v>
      </c>
      <c r="X140" s="134">
        <f t="shared" si="67"/>
        <v>0</v>
      </c>
      <c r="Y140" s="134">
        <f t="shared" si="67"/>
        <v>0</v>
      </c>
      <c r="Z140" s="134">
        <f t="shared" si="67"/>
        <v>0</v>
      </c>
      <c r="AA140" s="134">
        <f t="shared" si="67"/>
        <v>0</v>
      </c>
      <c r="AB140" s="134">
        <f t="shared" si="67"/>
        <v>0</v>
      </c>
      <c r="AC140" s="134">
        <f t="shared" si="67"/>
        <v>0</v>
      </c>
      <c r="AD140" s="134">
        <f t="shared" si="67"/>
        <v>0</v>
      </c>
      <c r="AE140" s="134">
        <f t="shared" si="67"/>
        <v>0</v>
      </c>
    </row>
    <row r="141" spans="6:31" x14ac:dyDescent="0.25">
      <c r="H141" s="135" t="s">
        <v>194</v>
      </c>
      <c r="I141" s="136"/>
      <c r="J141" s="136"/>
      <c r="K141" s="137">
        <f t="shared" si="67"/>
        <v>-17734.874113000002</v>
      </c>
      <c r="L141" s="137">
        <f t="shared" si="67"/>
        <v>-17734.874113000002</v>
      </c>
      <c r="M141" s="137">
        <f t="shared" si="67"/>
        <v>-17734.874113000002</v>
      </c>
      <c r="N141" s="137">
        <f t="shared" si="67"/>
        <v>-232879.9596354466</v>
      </c>
      <c r="O141" s="137">
        <f t="shared" si="67"/>
        <v>-232879.9596354466</v>
      </c>
      <c r="P141" s="137">
        <f t="shared" si="67"/>
        <v>-232879.9596354466</v>
      </c>
      <c r="Q141" s="137">
        <f t="shared" si="67"/>
        <v>-228313.68591710433</v>
      </c>
      <c r="R141" s="137">
        <f t="shared" si="67"/>
        <v>0</v>
      </c>
      <c r="S141" s="137">
        <f t="shared" si="67"/>
        <v>0</v>
      </c>
      <c r="T141" s="137">
        <f t="shared" si="67"/>
        <v>0</v>
      </c>
      <c r="U141" s="137">
        <f t="shared" si="67"/>
        <v>0</v>
      </c>
      <c r="V141" s="137">
        <f t="shared" si="67"/>
        <v>0</v>
      </c>
      <c r="W141" s="137">
        <f t="shared" si="67"/>
        <v>0</v>
      </c>
      <c r="X141" s="137">
        <f t="shared" si="67"/>
        <v>0</v>
      </c>
      <c r="Y141" s="137">
        <f t="shared" si="67"/>
        <v>0</v>
      </c>
      <c r="Z141" s="137">
        <f t="shared" si="67"/>
        <v>0</v>
      </c>
      <c r="AA141" s="137">
        <f t="shared" si="67"/>
        <v>0</v>
      </c>
      <c r="AB141" s="137">
        <f t="shared" si="67"/>
        <v>0</v>
      </c>
      <c r="AC141" s="137">
        <f t="shared" si="67"/>
        <v>0</v>
      </c>
      <c r="AD141" s="137">
        <f t="shared" si="67"/>
        <v>0</v>
      </c>
      <c r="AE141" s="137">
        <f t="shared" si="67"/>
        <v>0</v>
      </c>
    </row>
    <row r="143" spans="6:31" ht="13.8" x14ac:dyDescent="0.25">
      <c r="F143">
        <v>2</v>
      </c>
      <c r="H143" s="138" t="s">
        <v>195</v>
      </c>
      <c r="I143" s="139"/>
      <c r="J143" s="140">
        <f>SUM(J129:J142)</f>
        <v>1806700.7943500001</v>
      </c>
      <c r="K143" s="140">
        <f t="shared" ref="K143:AE143" si="68">SUM(K129:K142)</f>
        <v>385013.58116539643</v>
      </c>
      <c r="L143" s="140">
        <f t="shared" si="68"/>
        <v>105033.83479508795</v>
      </c>
      <c r="M143" s="140">
        <f t="shared" si="68"/>
        <v>120963.5057140461</v>
      </c>
      <c r="N143" s="140">
        <f t="shared" si="68"/>
        <v>-76241.685574943462</v>
      </c>
      <c r="O143" s="140">
        <f t="shared" si="68"/>
        <v>-56328.906717086356</v>
      </c>
      <c r="P143" s="140">
        <f t="shared" si="68"/>
        <v>-33930.23538355279</v>
      </c>
      <c r="Q143" s="140">
        <f t="shared" si="68"/>
        <v>-4848.3424158364942</v>
      </c>
      <c r="R143" s="140">
        <f t="shared" si="68"/>
        <v>63463.370493068469</v>
      </c>
      <c r="S143" s="140">
        <f t="shared" si="68"/>
        <v>16984.48511291053</v>
      </c>
      <c r="T143" s="140">
        <f t="shared" si="68"/>
        <v>22723.067064158378</v>
      </c>
      <c r="U143" s="140">
        <f t="shared" si="68"/>
        <v>204329.95196593693</v>
      </c>
      <c r="V143" s="140">
        <f t="shared" si="68"/>
        <v>34588.962683274171</v>
      </c>
      <c r="W143" s="140">
        <f t="shared" si="68"/>
        <v>42112.715947478166</v>
      </c>
      <c r="X143" s="140">
        <f t="shared" si="68"/>
        <v>50575.601574027984</v>
      </c>
      <c r="Y143" s="140">
        <f t="shared" si="68"/>
        <v>4394893.5885954788</v>
      </c>
      <c r="Z143" s="140">
        <f t="shared" si="68"/>
        <v>91346.744913254413</v>
      </c>
      <c r="AA143" s="140">
        <f t="shared" si="68"/>
        <v>82684.746816239378</v>
      </c>
      <c r="AB143" s="140">
        <f t="shared" si="68"/>
        <v>96053.919170843248</v>
      </c>
      <c r="AC143" s="140">
        <f t="shared" si="68"/>
        <v>111000.68278160604</v>
      </c>
      <c r="AD143" s="140">
        <f t="shared" si="68"/>
        <v>127699.4270333735</v>
      </c>
      <c r="AE143" s="140">
        <f t="shared" si="68"/>
        <v>994224.24589680298</v>
      </c>
    </row>
    <row r="144" spans="6:31" x14ac:dyDescent="0.25">
      <c r="H144" s="141" t="s">
        <v>109</v>
      </c>
      <c r="I144" s="98"/>
      <c r="J144" s="142">
        <f t="shared" ref="J144:AE144" si="69">J56</f>
        <v>49421</v>
      </c>
      <c r="K144" s="142">
        <f t="shared" si="69"/>
        <v>416366.92305299692</v>
      </c>
      <c r="L144" s="142">
        <f t="shared" si="69"/>
        <v>503333.74990458484</v>
      </c>
      <c r="M144" s="142">
        <f t="shared" si="69"/>
        <v>606230.24767513096</v>
      </c>
      <c r="N144" s="142">
        <f t="shared" si="69"/>
        <v>511921.55415668746</v>
      </c>
      <c r="O144" s="142">
        <f t="shared" si="69"/>
        <v>437525.63949610107</v>
      </c>
      <c r="P144" s="142">
        <f t="shared" si="69"/>
        <v>385528.39616904827</v>
      </c>
      <c r="Q144" s="142">
        <f t="shared" si="69"/>
        <v>362613.0458097118</v>
      </c>
      <c r="R144" s="142">
        <f t="shared" si="69"/>
        <v>408009.40835928026</v>
      </c>
      <c r="S144" s="142">
        <f t="shared" si="69"/>
        <v>406926.88552869076</v>
      </c>
      <c r="T144" s="142">
        <f t="shared" si="69"/>
        <v>411582.94464934914</v>
      </c>
      <c r="U144" s="142">
        <f t="shared" si="69"/>
        <v>597845.88867178606</v>
      </c>
      <c r="V144" s="142">
        <f t="shared" si="69"/>
        <v>614367.84341156017</v>
      </c>
      <c r="W144" s="142">
        <f t="shared" si="69"/>
        <v>638413.5514155383</v>
      </c>
      <c r="X144" s="142">
        <f t="shared" si="69"/>
        <v>670922.14504606626</v>
      </c>
      <c r="Y144" s="142">
        <f t="shared" si="69"/>
        <v>5047748.7256980455</v>
      </c>
      <c r="Z144" s="142">
        <f t="shared" si="69"/>
        <v>5139095.4706113003</v>
      </c>
      <c r="AA144" s="142">
        <f t="shared" si="69"/>
        <v>5221780.2174275396</v>
      </c>
      <c r="AB144" s="142">
        <f t="shared" si="69"/>
        <v>5317834.1365983831</v>
      </c>
      <c r="AC144" s="142">
        <f t="shared" si="69"/>
        <v>5428834.8193799891</v>
      </c>
      <c r="AD144" s="142">
        <f t="shared" si="69"/>
        <v>5556534.2464133622</v>
      </c>
      <c r="AE144" s="142">
        <f t="shared" si="69"/>
        <v>6550758.4923101654</v>
      </c>
    </row>
    <row r="145" spans="5:41" x14ac:dyDescent="0.25">
      <c r="H145" s="141"/>
      <c r="I145" s="99">
        <f>SUM(K18:Y18)</f>
        <v>470389.89760286536</v>
      </c>
      <c r="J145" s="142">
        <f>I145/$D$12</f>
        <v>95.180165841011984</v>
      </c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  <c r="AD145" s="142"/>
      <c r="AE145" s="142"/>
    </row>
    <row r="146" spans="5:41" x14ac:dyDescent="0.25">
      <c r="H146" s="141" t="s">
        <v>54</v>
      </c>
      <c r="I146" s="99">
        <f>SUM(K19:Y19)</f>
        <v>2247558.7934379238</v>
      </c>
      <c r="J146" s="142">
        <f>I146/$D$12</f>
        <v>454.77808895771506</v>
      </c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  <c r="AA146" s="142"/>
      <c r="AB146" s="142"/>
      <c r="AC146" s="142"/>
      <c r="AD146" s="142"/>
      <c r="AE146" s="142"/>
    </row>
    <row r="147" spans="5:41" x14ac:dyDescent="0.25">
      <c r="H147" s="141" t="s">
        <v>52</v>
      </c>
      <c r="I147" s="99">
        <f>SUM(K20:Y20)</f>
        <v>30797.990876842272</v>
      </c>
      <c r="J147" s="142">
        <f>I147/$D$12</f>
        <v>6.2317619790862731</v>
      </c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  <c r="AD147" s="142"/>
      <c r="AE147" s="142"/>
    </row>
    <row r="150" spans="5:41" ht="13.8" x14ac:dyDescent="0.25">
      <c r="F150">
        <v>3</v>
      </c>
      <c r="H150" s="138" t="s">
        <v>196</v>
      </c>
      <c r="I150" s="138"/>
      <c r="J150" s="140">
        <f t="shared" ref="J150:AE150" si="70">J69</f>
        <v>-1806700.7943500001</v>
      </c>
      <c r="K150" s="140">
        <f t="shared" si="70"/>
        <v>0</v>
      </c>
      <c r="L150" s="140">
        <f t="shared" si="70"/>
        <v>0</v>
      </c>
      <c r="M150" s="140">
        <f t="shared" si="70"/>
        <v>0</v>
      </c>
      <c r="N150" s="140">
        <f t="shared" si="70"/>
        <v>0</v>
      </c>
      <c r="O150" s="140">
        <f t="shared" si="70"/>
        <v>0</v>
      </c>
      <c r="P150" s="140">
        <f t="shared" si="70"/>
        <v>0</v>
      </c>
      <c r="Q150" s="140">
        <f t="shared" si="70"/>
        <v>0</v>
      </c>
      <c r="R150" s="140">
        <f t="shared" si="70"/>
        <v>0</v>
      </c>
      <c r="S150" s="140">
        <f t="shared" si="70"/>
        <v>0</v>
      </c>
      <c r="T150" s="140">
        <f t="shared" si="70"/>
        <v>0</v>
      </c>
      <c r="U150" s="140">
        <f t="shared" si="70"/>
        <v>0</v>
      </c>
      <c r="V150" s="140">
        <f t="shared" si="70"/>
        <v>0</v>
      </c>
      <c r="W150" s="140">
        <f t="shared" si="70"/>
        <v>0</v>
      </c>
      <c r="X150" s="140">
        <f t="shared" si="70"/>
        <v>0</v>
      </c>
      <c r="Y150" s="140">
        <f t="shared" si="70"/>
        <v>5047748.7256980455</v>
      </c>
      <c r="Z150" s="140">
        <f t="shared" si="70"/>
        <v>0</v>
      </c>
      <c r="AA150" s="140">
        <f t="shared" si="70"/>
        <v>0</v>
      </c>
      <c r="AB150" s="140">
        <f t="shared" si="70"/>
        <v>0</v>
      </c>
      <c r="AC150" s="140">
        <f t="shared" si="70"/>
        <v>0</v>
      </c>
      <c r="AD150" s="140">
        <f t="shared" si="70"/>
        <v>0</v>
      </c>
      <c r="AE150" s="140">
        <f t="shared" si="70"/>
        <v>0</v>
      </c>
    </row>
    <row r="152" spans="5:41" x14ac:dyDescent="0.25">
      <c r="G152" s="2" t="s">
        <v>197</v>
      </c>
      <c r="H152" s="143"/>
      <c r="I152" s="143"/>
      <c r="J152" s="2"/>
      <c r="K152" s="32">
        <v>1</v>
      </c>
      <c r="L152" s="32">
        <v>2</v>
      </c>
      <c r="M152" s="32">
        <v>3</v>
      </c>
      <c r="N152" s="32">
        <v>4</v>
      </c>
      <c r="O152" s="32">
        <v>5</v>
      </c>
      <c r="P152" s="32">
        <v>6</v>
      </c>
      <c r="Q152" s="32">
        <v>7</v>
      </c>
      <c r="R152" s="32">
        <v>8</v>
      </c>
      <c r="S152" s="32">
        <v>9</v>
      </c>
      <c r="T152" s="32">
        <v>10</v>
      </c>
      <c r="U152" s="32">
        <v>11</v>
      </c>
      <c r="V152" s="32">
        <v>12</v>
      </c>
      <c r="W152" s="32">
        <v>13</v>
      </c>
      <c r="X152" s="32">
        <v>14</v>
      </c>
      <c r="Y152" s="32">
        <v>15</v>
      </c>
      <c r="Z152" s="32">
        <v>16</v>
      </c>
      <c r="AA152" s="32">
        <v>17</v>
      </c>
      <c r="AB152" s="32">
        <v>18</v>
      </c>
      <c r="AC152" s="32">
        <v>19</v>
      </c>
      <c r="AD152" s="32">
        <v>20</v>
      </c>
      <c r="AE152" s="32">
        <f>AD152+1</f>
        <v>21</v>
      </c>
      <c r="AF152" s="32">
        <f t="shared" ref="AF152:AO152" si="71">AE152+1</f>
        <v>22</v>
      </c>
      <c r="AG152" s="32">
        <f t="shared" si="71"/>
        <v>23</v>
      </c>
      <c r="AH152" s="32">
        <f t="shared" si="71"/>
        <v>24</v>
      </c>
      <c r="AI152" s="32">
        <f t="shared" si="71"/>
        <v>25</v>
      </c>
      <c r="AJ152" s="32">
        <f t="shared" si="71"/>
        <v>26</v>
      </c>
      <c r="AK152" s="32">
        <f t="shared" si="71"/>
        <v>27</v>
      </c>
      <c r="AL152" s="32">
        <f t="shared" si="71"/>
        <v>28</v>
      </c>
      <c r="AM152" s="32">
        <f t="shared" si="71"/>
        <v>29</v>
      </c>
      <c r="AN152" s="32">
        <f t="shared" si="71"/>
        <v>30</v>
      </c>
      <c r="AO152" s="32">
        <f t="shared" si="71"/>
        <v>31</v>
      </c>
    </row>
    <row r="153" spans="5:41" x14ac:dyDescent="0.25">
      <c r="G153" s="40" t="s">
        <v>198</v>
      </c>
      <c r="H153" s="40"/>
      <c r="I153" s="144" t="s">
        <v>199</v>
      </c>
      <c r="J153" s="144"/>
      <c r="K153" s="144"/>
      <c r="L153" s="145">
        <v>0.03</v>
      </c>
      <c r="M153" s="146">
        <f>L153</f>
        <v>0.03</v>
      </c>
      <c r="N153" s="146">
        <f t="shared" ref="N153:AO153" si="72">M153</f>
        <v>0.03</v>
      </c>
      <c r="O153" s="146">
        <f t="shared" si="72"/>
        <v>0.03</v>
      </c>
      <c r="P153" s="146">
        <f t="shared" si="72"/>
        <v>0.03</v>
      </c>
      <c r="Q153" s="146">
        <f t="shared" si="72"/>
        <v>0.03</v>
      </c>
      <c r="R153" s="146">
        <f t="shared" si="72"/>
        <v>0.03</v>
      </c>
      <c r="S153" s="146">
        <f t="shared" si="72"/>
        <v>0.03</v>
      </c>
      <c r="T153" s="146">
        <f t="shared" si="72"/>
        <v>0.03</v>
      </c>
      <c r="U153" s="146">
        <f t="shared" si="72"/>
        <v>0.03</v>
      </c>
      <c r="V153" s="146">
        <f t="shared" si="72"/>
        <v>0.03</v>
      </c>
      <c r="W153" s="146">
        <f t="shared" si="72"/>
        <v>0.03</v>
      </c>
      <c r="X153" s="146">
        <f t="shared" si="72"/>
        <v>0.03</v>
      </c>
      <c r="Y153" s="146">
        <f t="shared" si="72"/>
        <v>0.03</v>
      </c>
      <c r="Z153" s="146">
        <f t="shared" si="72"/>
        <v>0.03</v>
      </c>
      <c r="AA153" s="146">
        <f t="shared" si="72"/>
        <v>0.03</v>
      </c>
      <c r="AB153" s="146">
        <f t="shared" si="72"/>
        <v>0.03</v>
      </c>
      <c r="AC153" s="146">
        <f t="shared" si="72"/>
        <v>0.03</v>
      </c>
      <c r="AD153" s="146">
        <f t="shared" si="72"/>
        <v>0.03</v>
      </c>
      <c r="AE153" s="146">
        <f t="shared" si="72"/>
        <v>0.03</v>
      </c>
      <c r="AF153" s="146">
        <f t="shared" si="72"/>
        <v>0.03</v>
      </c>
      <c r="AG153" s="146">
        <f t="shared" si="72"/>
        <v>0.03</v>
      </c>
      <c r="AH153" s="146">
        <f t="shared" si="72"/>
        <v>0.03</v>
      </c>
      <c r="AI153" s="146">
        <f t="shared" si="72"/>
        <v>0.03</v>
      </c>
      <c r="AJ153" s="146">
        <f t="shared" si="72"/>
        <v>0.03</v>
      </c>
      <c r="AK153" s="146">
        <f t="shared" si="72"/>
        <v>0.03</v>
      </c>
      <c r="AL153" s="146">
        <f t="shared" si="72"/>
        <v>0.03</v>
      </c>
      <c r="AM153" s="146">
        <f t="shared" si="72"/>
        <v>0.03</v>
      </c>
      <c r="AN153" s="146">
        <f t="shared" si="72"/>
        <v>0.03</v>
      </c>
      <c r="AO153" s="146">
        <f t="shared" si="72"/>
        <v>0.03</v>
      </c>
    </row>
    <row r="154" spans="5:41" x14ac:dyDescent="0.25">
      <c r="E154" s="118"/>
      <c r="H154" s="57" t="s">
        <v>200</v>
      </c>
      <c r="K154" s="27">
        <v>3.625</v>
      </c>
      <c r="L154" s="27">
        <v>3.7</v>
      </c>
      <c r="M154" s="27">
        <v>3.77</v>
      </c>
      <c r="N154" s="27">
        <v>3.8449999999999998</v>
      </c>
      <c r="O154" s="27">
        <v>3.92</v>
      </c>
      <c r="P154" s="27">
        <v>4</v>
      </c>
      <c r="Q154" s="27">
        <v>4.0750000000000002</v>
      </c>
      <c r="R154" s="27">
        <v>1.59</v>
      </c>
      <c r="S154" s="27">
        <v>0.90500000000000003</v>
      </c>
      <c r="T154" s="27">
        <v>0.92500000000000004</v>
      </c>
      <c r="U154" s="27">
        <v>0.93710000000000004</v>
      </c>
      <c r="V154" s="27">
        <v>0.94599</v>
      </c>
      <c r="W154" s="27">
        <v>0.96106999999999998</v>
      </c>
      <c r="X154" s="27">
        <v>0.97638999999999998</v>
      </c>
      <c r="Y154" s="27">
        <v>0.99195</v>
      </c>
      <c r="Z154" s="27">
        <v>1.0077499999999999</v>
      </c>
      <c r="AA154" s="27">
        <v>1.0238100000000001</v>
      </c>
      <c r="AB154" s="27">
        <v>1.04013</v>
      </c>
      <c r="AC154" s="27">
        <v>1.0567</v>
      </c>
      <c r="AD154" s="27">
        <v>1.0735399999999999</v>
      </c>
      <c r="AE154" s="27">
        <v>0</v>
      </c>
      <c r="AF154" s="27">
        <v>0</v>
      </c>
      <c r="AG154" s="27">
        <v>0</v>
      </c>
      <c r="AH154" s="27">
        <v>0</v>
      </c>
      <c r="AI154" s="27">
        <v>0</v>
      </c>
      <c r="AJ154" s="27">
        <v>0</v>
      </c>
      <c r="AK154" s="27">
        <v>0</v>
      </c>
      <c r="AL154" s="27">
        <v>0</v>
      </c>
      <c r="AM154" s="27">
        <v>0</v>
      </c>
      <c r="AN154" s="27">
        <v>0</v>
      </c>
      <c r="AO154" s="27">
        <v>0</v>
      </c>
    </row>
    <row r="155" spans="5:41" x14ac:dyDescent="0.25">
      <c r="H155" s="57" t="s">
        <v>201</v>
      </c>
      <c r="K155" s="147">
        <v>6</v>
      </c>
      <c r="L155" s="27">
        <v>7.2215999999999996</v>
      </c>
      <c r="M155" s="27">
        <v>7.3660320000000006</v>
      </c>
      <c r="N155" s="27">
        <v>7.5133526400000008</v>
      </c>
      <c r="O155" s="27">
        <v>7.6636196928000011</v>
      </c>
      <c r="P155" s="27">
        <v>7.8168920866560017</v>
      </c>
      <c r="Q155" s="27">
        <v>7.9732299283891219</v>
      </c>
      <c r="R155" s="27">
        <v>8.1326945269569038</v>
      </c>
      <c r="S155" s="27">
        <v>8.2953484174960419</v>
      </c>
      <c r="T155" s="27">
        <v>8.4612553858459627</v>
      </c>
      <c r="U155" s="27">
        <v>8.6304804935628816</v>
      </c>
      <c r="V155" s="27">
        <v>8.8030901034341387</v>
      </c>
      <c r="W155" s="27">
        <v>8.9791519055028211</v>
      </c>
      <c r="X155" s="27">
        <v>9.1587349436128775</v>
      </c>
      <c r="Y155" s="27">
        <v>9.3419096424851347</v>
      </c>
      <c r="Z155" s="27">
        <v>9.5287478353348369</v>
      </c>
      <c r="AA155" s="27">
        <v>9.7193227920415346</v>
      </c>
      <c r="AB155" s="27">
        <v>9.9137092478823661</v>
      </c>
      <c r="AC155" s="27">
        <v>10.111983432840013</v>
      </c>
      <c r="AD155" s="27">
        <v>10.314223101496813</v>
      </c>
      <c r="AE155" s="27">
        <v>10.5164627701536</v>
      </c>
      <c r="AF155" s="27">
        <v>10.5164627701536</v>
      </c>
      <c r="AG155" s="27">
        <v>10.5164627701536</v>
      </c>
      <c r="AH155" s="27">
        <v>10.5164627701536</v>
      </c>
      <c r="AI155" s="27">
        <v>10.5164627701536</v>
      </c>
      <c r="AJ155" s="27">
        <v>10.5164627701536</v>
      </c>
      <c r="AK155" s="27">
        <v>10.5164627701536</v>
      </c>
      <c r="AL155" s="27">
        <v>10.5164627701536</v>
      </c>
      <c r="AM155" s="27">
        <v>10.5164627701536</v>
      </c>
      <c r="AN155" s="27">
        <v>10.5164627701536</v>
      </c>
      <c r="AO155" s="27">
        <v>10.5164627701536</v>
      </c>
    </row>
    <row r="156" spans="5:41" x14ac:dyDescent="0.25">
      <c r="H156" s="57" t="s">
        <v>202</v>
      </c>
      <c r="K156" s="148">
        <v>0.19370000000000001</v>
      </c>
      <c r="L156" s="149">
        <f>K156</f>
        <v>0.19370000000000001</v>
      </c>
      <c r="M156" s="149">
        <f t="shared" ref="M156:AO156" si="73">L156</f>
        <v>0.19370000000000001</v>
      </c>
      <c r="N156" s="149">
        <f t="shared" si="73"/>
        <v>0.19370000000000001</v>
      </c>
      <c r="O156" s="149">
        <f t="shared" si="73"/>
        <v>0.19370000000000001</v>
      </c>
      <c r="P156" s="149">
        <f t="shared" si="73"/>
        <v>0.19370000000000001</v>
      </c>
      <c r="Q156" s="149">
        <f t="shared" si="73"/>
        <v>0.19370000000000001</v>
      </c>
      <c r="R156" s="149">
        <f t="shared" si="73"/>
        <v>0.19370000000000001</v>
      </c>
      <c r="S156" s="149">
        <f t="shared" si="73"/>
        <v>0.19370000000000001</v>
      </c>
      <c r="T156" s="149">
        <f t="shared" si="73"/>
        <v>0.19370000000000001</v>
      </c>
      <c r="U156" s="149">
        <f t="shared" si="73"/>
        <v>0.19370000000000001</v>
      </c>
      <c r="V156" s="149">
        <f t="shared" si="73"/>
        <v>0.19370000000000001</v>
      </c>
      <c r="W156" s="149">
        <f t="shared" si="73"/>
        <v>0.19370000000000001</v>
      </c>
      <c r="X156" s="149">
        <f t="shared" si="73"/>
        <v>0.19370000000000001</v>
      </c>
      <c r="Y156" s="149">
        <f t="shared" si="73"/>
        <v>0.19370000000000001</v>
      </c>
      <c r="Z156" s="149">
        <f t="shared" si="73"/>
        <v>0.19370000000000001</v>
      </c>
      <c r="AA156" s="149">
        <f t="shared" si="73"/>
        <v>0.19370000000000001</v>
      </c>
      <c r="AB156" s="149">
        <f t="shared" si="73"/>
        <v>0.19370000000000001</v>
      </c>
      <c r="AC156" s="149">
        <f t="shared" si="73"/>
        <v>0.19370000000000001</v>
      </c>
      <c r="AD156" s="149">
        <f t="shared" si="73"/>
        <v>0.19370000000000001</v>
      </c>
      <c r="AE156" s="149">
        <f t="shared" si="73"/>
        <v>0.19370000000000001</v>
      </c>
      <c r="AF156" s="149">
        <f t="shared" si="73"/>
        <v>0.19370000000000001</v>
      </c>
      <c r="AG156" s="149">
        <f t="shared" si="73"/>
        <v>0.19370000000000001</v>
      </c>
      <c r="AH156" s="149">
        <f t="shared" si="73"/>
        <v>0.19370000000000001</v>
      </c>
      <c r="AI156" s="149">
        <f t="shared" si="73"/>
        <v>0.19370000000000001</v>
      </c>
      <c r="AJ156" s="149">
        <f t="shared" si="73"/>
        <v>0.19370000000000001</v>
      </c>
      <c r="AK156" s="149">
        <f t="shared" si="73"/>
        <v>0.19370000000000001</v>
      </c>
      <c r="AL156" s="149">
        <f t="shared" si="73"/>
        <v>0.19370000000000001</v>
      </c>
      <c r="AM156" s="149">
        <f t="shared" si="73"/>
        <v>0.19370000000000001</v>
      </c>
      <c r="AN156" s="149">
        <f t="shared" si="73"/>
        <v>0.19370000000000001</v>
      </c>
      <c r="AO156" s="149">
        <f t="shared" si="73"/>
        <v>0.19370000000000001</v>
      </c>
    </row>
    <row r="157" spans="5:41" x14ac:dyDescent="0.25">
      <c r="G157" s="40" t="s">
        <v>203</v>
      </c>
      <c r="J157" s="57" t="s">
        <v>190</v>
      </c>
    </row>
    <row r="158" spans="5:41" x14ac:dyDescent="0.25">
      <c r="H158" s="57" t="s">
        <v>200</v>
      </c>
      <c r="K158" s="27">
        <f>K154</f>
        <v>3.625</v>
      </c>
      <c r="L158" s="27">
        <f t="shared" ref="L158:AO158" si="74">L154</f>
        <v>3.7</v>
      </c>
      <c r="M158" s="27">
        <f t="shared" si="74"/>
        <v>3.77</v>
      </c>
      <c r="N158" s="27">
        <f t="shared" si="74"/>
        <v>3.8449999999999998</v>
      </c>
      <c r="O158" s="27">
        <f t="shared" si="74"/>
        <v>3.92</v>
      </c>
      <c r="P158" s="27">
        <f t="shared" si="74"/>
        <v>4</v>
      </c>
      <c r="Q158" s="27">
        <f t="shared" si="74"/>
        <v>4.0750000000000002</v>
      </c>
      <c r="R158" s="27">
        <f t="shared" si="74"/>
        <v>1.59</v>
      </c>
      <c r="S158" s="27">
        <f t="shared" si="74"/>
        <v>0.90500000000000003</v>
      </c>
      <c r="T158" s="27">
        <f t="shared" si="74"/>
        <v>0.92500000000000004</v>
      </c>
      <c r="U158" s="27">
        <f t="shared" si="74"/>
        <v>0.93710000000000004</v>
      </c>
      <c r="V158" s="27">
        <f t="shared" si="74"/>
        <v>0.94599</v>
      </c>
      <c r="W158" s="27">
        <f t="shared" si="74"/>
        <v>0.96106999999999998</v>
      </c>
      <c r="X158" s="27">
        <f t="shared" si="74"/>
        <v>0.97638999999999998</v>
      </c>
      <c r="Y158" s="27">
        <f t="shared" si="74"/>
        <v>0.99195</v>
      </c>
      <c r="Z158" s="27">
        <f t="shared" si="74"/>
        <v>1.0077499999999999</v>
      </c>
      <c r="AA158" s="27">
        <f t="shared" si="74"/>
        <v>1.0238100000000001</v>
      </c>
      <c r="AB158" s="27">
        <f t="shared" si="74"/>
        <v>1.04013</v>
      </c>
      <c r="AC158" s="27">
        <f t="shared" si="74"/>
        <v>1.0567</v>
      </c>
      <c r="AD158" s="27">
        <f t="shared" si="74"/>
        <v>1.0735399999999999</v>
      </c>
      <c r="AE158" s="27">
        <f t="shared" si="74"/>
        <v>0</v>
      </c>
      <c r="AF158" s="27">
        <f t="shared" si="74"/>
        <v>0</v>
      </c>
      <c r="AG158" s="27">
        <f t="shared" si="74"/>
        <v>0</v>
      </c>
      <c r="AH158" s="27">
        <f t="shared" si="74"/>
        <v>0</v>
      </c>
      <c r="AI158" s="27">
        <f t="shared" si="74"/>
        <v>0</v>
      </c>
      <c r="AJ158" s="27">
        <f t="shared" si="74"/>
        <v>0</v>
      </c>
      <c r="AK158" s="27">
        <f t="shared" si="74"/>
        <v>0</v>
      </c>
      <c r="AL158" s="27">
        <f t="shared" si="74"/>
        <v>0</v>
      </c>
      <c r="AM158" s="27">
        <f t="shared" si="74"/>
        <v>0</v>
      </c>
      <c r="AN158" s="27">
        <f t="shared" si="74"/>
        <v>0</v>
      </c>
      <c r="AO158" s="27">
        <f t="shared" si="74"/>
        <v>0</v>
      </c>
    </row>
    <row r="159" spans="5:41" x14ac:dyDescent="0.25">
      <c r="H159" s="57" t="s">
        <v>201</v>
      </c>
      <c r="K159" s="27">
        <v>9.5</v>
      </c>
      <c r="L159" s="27">
        <f>K159*(1+(L153*2))</f>
        <v>10.07</v>
      </c>
      <c r="M159" s="27">
        <f t="shared" ref="M159:AO159" si="75">L159*(1+(M153*2))</f>
        <v>10.674200000000001</v>
      </c>
      <c r="N159" s="27">
        <f t="shared" si="75"/>
        <v>11.314652000000001</v>
      </c>
      <c r="O159" s="27">
        <f t="shared" si="75"/>
        <v>11.993531120000002</v>
      </c>
      <c r="P159" s="27">
        <f t="shared" si="75"/>
        <v>12.713142987200003</v>
      </c>
      <c r="Q159" s="27">
        <f t="shared" si="75"/>
        <v>13.475931566432005</v>
      </c>
      <c r="R159" s="27">
        <f t="shared" si="75"/>
        <v>14.284487460417926</v>
      </c>
      <c r="S159" s="27">
        <f t="shared" si="75"/>
        <v>15.141556708043003</v>
      </c>
      <c r="T159" s="27">
        <f t="shared" si="75"/>
        <v>16.050050110525586</v>
      </c>
      <c r="U159" s="27">
        <f t="shared" si="75"/>
        <v>17.013053117157121</v>
      </c>
      <c r="V159" s="27">
        <f t="shared" si="75"/>
        <v>18.033836304186547</v>
      </c>
      <c r="W159" s="27">
        <f t="shared" si="75"/>
        <v>19.115866482437742</v>
      </c>
      <c r="X159" s="27">
        <f t="shared" si="75"/>
        <v>20.262818471384008</v>
      </c>
      <c r="Y159" s="27">
        <f t="shared" si="75"/>
        <v>21.47858757966705</v>
      </c>
      <c r="Z159" s="27">
        <f t="shared" si="75"/>
        <v>22.767302834447072</v>
      </c>
      <c r="AA159" s="27">
        <f t="shared" si="75"/>
        <v>24.133341004513898</v>
      </c>
      <c r="AB159" s="27">
        <f t="shared" si="75"/>
        <v>25.581341464784735</v>
      </c>
      <c r="AC159" s="27">
        <f t="shared" si="75"/>
        <v>27.116221952671822</v>
      </c>
      <c r="AD159" s="27">
        <f t="shared" si="75"/>
        <v>28.743195269832132</v>
      </c>
      <c r="AE159" s="27">
        <f t="shared" si="75"/>
        <v>30.467786986022062</v>
      </c>
      <c r="AF159" s="27">
        <f t="shared" si="75"/>
        <v>32.295854205183389</v>
      </c>
      <c r="AG159" s="27">
        <f t="shared" si="75"/>
        <v>34.233605457494392</v>
      </c>
      <c r="AH159" s="27">
        <f t="shared" si="75"/>
        <v>36.287621784944058</v>
      </c>
      <c r="AI159" s="27">
        <f t="shared" si="75"/>
        <v>38.464879092040704</v>
      </c>
      <c r="AJ159" s="27">
        <f t="shared" si="75"/>
        <v>40.772771837563148</v>
      </c>
      <c r="AK159" s="27">
        <f t="shared" si="75"/>
        <v>43.219138147816942</v>
      </c>
      <c r="AL159" s="27">
        <f t="shared" si="75"/>
        <v>45.812286436685959</v>
      </c>
      <c r="AM159" s="27">
        <f t="shared" si="75"/>
        <v>48.56102362288712</v>
      </c>
      <c r="AN159" s="27">
        <f t="shared" si="75"/>
        <v>51.474685040260347</v>
      </c>
      <c r="AO159" s="27">
        <f t="shared" si="75"/>
        <v>54.563166142675968</v>
      </c>
    </row>
    <row r="160" spans="5:41" x14ac:dyDescent="0.25">
      <c r="H160" s="57" t="s">
        <v>202</v>
      </c>
      <c r="K160" s="148">
        <v>0.15</v>
      </c>
      <c r="L160" s="149">
        <f>K160</f>
        <v>0.15</v>
      </c>
      <c r="M160" s="149">
        <f t="shared" ref="M160:AO160" si="76">L160</f>
        <v>0.15</v>
      </c>
      <c r="N160" s="149">
        <f t="shared" si="76"/>
        <v>0.15</v>
      </c>
      <c r="O160" s="149">
        <f t="shared" si="76"/>
        <v>0.15</v>
      </c>
      <c r="P160" s="149">
        <f t="shared" si="76"/>
        <v>0.15</v>
      </c>
      <c r="Q160" s="149">
        <f t="shared" si="76"/>
        <v>0.15</v>
      </c>
      <c r="R160" s="149">
        <f t="shared" si="76"/>
        <v>0.15</v>
      </c>
      <c r="S160" s="149">
        <f t="shared" si="76"/>
        <v>0.15</v>
      </c>
      <c r="T160" s="149">
        <f t="shared" si="76"/>
        <v>0.15</v>
      </c>
      <c r="U160" s="149">
        <f t="shared" si="76"/>
        <v>0.15</v>
      </c>
      <c r="V160" s="149">
        <f t="shared" si="76"/>
        <v>0.15</v>
      </c>
      <c r="W160" s="149">
        <f t="shared" si="76"/>
        <v>0.15</v>
      </c>
      <c r="X160" s="149">
        <f t="shared" si="76"/>
        <v>0.15</v>
      </c>
      <c r="Y160" s="149">
        <f t="shared" si="76"/>
        <v>0.15</v>
      </c>
      <c r="Z160" s="149">
        <f t="shared" si="76"/>
        <v>0.15</v>
      </c>
      <c r="AA160" s="149">
        <f t="shared" si="76"/>
        <v>0.15</v>
      </c>
      <c r="AB160" s="149">
        <f t="shared" si="76"/>
        <v>0.15</v>
      </c>
      <c r="AC160" s="149">
        <f t="shared" si="76"/>
        <v>0.15</v>
      </c>
      <c r="AD160" s="149">
        <f t="shared" si="76"/>
        <v>0.15</v>
      </c>
      <c r="AE160" s="149">
        <f t="shared" si="76"/>
        <v>0.15</v>
      </c>
      <c r="AF160" s="149">
        <f t="shared" si="76"/>
        <v>0.15</v>
      </c>
      <c r="AG160" s="149">
        <f t="shared" si="76"/>
        <v>0.15</v>
      </c>
      <c r="AH160" s="149">
        <f t="shared" si="76"/>
        <v>0.15</v>
      </c>
      <c r="AI160" s="149">
        <f t="shared" si="76"/>
        <v>0.15</v>
      </c>
      <c r="AJ160" s="149">
        <f t="shared" si="76"/>
        <v>0.15</v>
      </c>
      <c r="AK160" s="149">
        <f t="shared" si="76"/>
        <v>0.15</v>
      </c>
      <c r="AL160" s="149">
        <f t="shared" si="76"/>
        <v>0.15</v>
      </c>
      <c r="AM160" s="149">
        <f t="shared" si="76"/>
        <v>0.15</v>
      </c>
      <c r="AN160" s="149">
        <f t="shared" si="76"/>
        <v>0.15</v>
      </c>
      <c r="AO160" s="149">
        <f t="shared" si="76"/>
        <v>0.15</v>
      </c>
    </row>
    <row r="161" spans="7:41" x14ac:dyDescent="0.25">
      <c r="G161" s="40" t="s">
        <v>204</v>
      </c>
      <c r="H161" s="57"/>
      <c r="K161" s="149"/>
      <c r="L161" s="149"/>
      <c r="M161" s="149"/>
      <c r="N161" s="149"/>
      <c r="O161" s="149"/>
      <c r="P161" s="149"/>
      <c r="Q161" s="149"/>
      <c r="R161" s="149"/>
      <c r="S161" s="149"/>
      <c r="T161" s="149"/>
      <c r="U161" s="149"/>
      <c r="V161" s="149"/>
      <c r="W161" s="149"/>
      <c r="X161" s="149"/>
      <c r="Y161" s="149"/>
      <c r="Z161" s="149"/>
      <c r="AA161" s="149"/>
      <c r="AB161" s="149"/>
      <c r="AC161" s="149"/>
      <c r="AD161" s="149"/>
      <c r="AE161" s="149"/>
      <c r="AF161" s="149"/>
      <c r="AG161" s="149"/>
      <c r="AH161" s="149"/>
      <c r="AI161" s="149"/>
      <c r="AJ161" s="149"/>
      <c r="AK161" s="149"/>
      <c r="AL161" s="149"/>
      <c r="AM161" s="149"/>
      <c r="AN161" s="149"/>
      <c r="AO161" s="149"/>
    </row>
    <row r="162" spans="7:41" x14ac:dyDescent="0.25">
      <c r="H162" s="57" t="s">
        <v>200</v>
      </c>
      <c r="K162" s="27">
        <f>K158</f>
        <v>3.625</v>
      </c>
      <c r="L162" s="27">
        <f t="shared" ref="L162:AO162" si="77">L158</f>
        <v>3.7</v>
      </c>
      <c r="M162" s="27">
        <f t="shared" si="77"/>
        <v>3.77</v>
      </c>
      <c r="N162" s="27">
        <f t="shared" si="77"/>
        <v>3.8449999999999998</v>
      </c>
      <c r="O162" s="27">
        <f t="shared" si="77"/>
        <v>3.92</v>
      </c>
      <c r="P162" s="27">
        <f t="shared" si="77"/>
        <v>4</v>
      </c>
      <c r="Q162" s="27">
        <f t="shared" si="77"/>
        <v>4.0750000000000002</v>
      </c>
      <c r="R162" s="27">
        <f t="shared" si="77"/>
        <v>1.59</v>
      </c>
      <c r="S162" s="27">
        <f t="shared" si="77"/>
        <v>0.90500000000000003</v>
      </c>
      <c r="T162" s="27">
        <f t="shared" si="77"/>
        <v>0.92500000000000004</v>
      </c>
      <c r="U162" s="27">
        <f t="shared" si="77"/>
        <v>0.93710000000000004</v>
      </c>
      <c r="V162" s="27">
        <f t="shared" si="77"/>
        <v>0.94599</v>
      </c>
      <c r="W162" s="27">
        <f t="shared" si="77"/>
        <v>0.96106999999999998</v>
      </c>
      <c r="X162" s="27">
        <f t="shared" si="77"/>
        <v>0.97638999999999998</v>
      </c>
      <c r="Y162" s="27">
        <f t="shared" si="77"/>
        <v>0.99195</v>
      </c>
      <c r="Z162" s="27">
        <f t="shared" si="77"/>
        <v>1.0077499999999999</v>
      </c>
      <c r="AA162" s="27">
        <f t="shared" si="77"/>
        <v>1.0238100000000001</v>
      </c>
      <c r="AB162" s="27">
        <f t="shared" si="77"/>
        <v>1.04013</v>
      </c>
      <c r="AC162" s="27">
        <f t="shared" si="77"/>
        <v>1.0567</v>
      </c>
      <c r="AD162" s="27">
        <f t="shared" si="77"/>
        <v>1.0735399999999999</v>
      </c>
      <c r="AE162" s="27">
        <f t="shared" si="77"/>
        <v>0</v>
      </c>
      <c r="AF162" s="27">
        <f t="shared" si="77"/>
        <v>0</v>
      </c>
      <c r="AG162" s="27">
        <f t="shared" si="77"/>
        <v>0</v>
      </c>
      <c r="AH162" s="27">
        <f t="shared" si="77"/>
        <v>0</v>
      </c>
      <c r="AI162" s="27">
        <f t="shared" si="77"/>
        <v>0</v>
      </c>
      <c r="AJ162" s="27">
        <f t="shared" si="77"/>
        <v>0</v>
      </c>
      <c r="AK162" s="27">
        <f t="shared" si="77"/>
        <v>0</v>
      </c>
      <c r="AL162" s="27">
        <f t="shared" si="77"/>
        <v>0</v>
      </c>
      <c r="AM162" s="27">
        <f t="shared" si="77"/>
        <v>0</v>
      </c>
      <c r="AN162" s="27">
        <f t="shared" si="77"/>
        <v>0</v>
      </c>
      <c r="AO162" s="27">
        <f t="shared" si="77"/>
        <v>0</v>
      </c>
    </row>
    <row r="163" spans="7:41" x14ac:dyDescent="0.25">
      <c r="H163" s="57" t="s">
        <v>201</v>
      </c>
      <c r="K163" s="27">
        <f>K155</f>
        <v>6</v>
      </c>
      <c r="L163" s="27">
        <f>K163*(1+(L153*0.75))</f>
        <v>6.1349999999999998</v>
      </c>
      <c r="M163" s="27">
        <f t="shared" ref="M163:AO163" si="78">L163*(1+(M153*0.75))</f>
        <v>6.2730374999999992</v>
      </c>
      <c r="N163" s="27">
        <f t="shared" si="78"/>
        <v>6.4141808437499988</v>
      </c>
      <c r="O163" s="27">
        <f t="shared" si="78"/>
        <v>6.5584999127343737</v>
      </c>
      <c r="P163" s="27">
        <f t="shared" si="78"/>
        <v>6.7060661607708969</v>
      </c>
      <c r="Q163" s="27">
        <f t="shared" si="78"/>
        <v>6.8569526493882416</v>
      </c>
      <c r="R163" s="27">
        <f t="shared" si="78"/>
        <v>7.0112340839994767</v>
      </c>
      <c r="S163" s="27">
        <f t="shared" si="78"/>
        <v>7.168986850889465</v>
      </c>
      <c r="T163" s="27">
        <f t="shared" si="78"/>
        <v>7.3302890550344779</v>
      </c>
      <c r="U163" s="27">
        <f t="shared" si="78"/>
        <v>7.4952205587727532</v>
      </c>
      <c r="V163" s="27">
        <f t="shared" si="78"/>
        <v>7.66386302134514</v>
      </c>
      <c r="W163" s="27">
        <f t="shared" si="78"/>
        <v>7.8362999393254054</v>
      </c>
      <c r="X163" s="27">
        <f t="shared" si="78"/>
        <v>8.012616687960227</v>
      </c>
      <c r="Y163" s="27">
        <f t="shared" si="78"/>
        <v>8.1929005634393324</v>
      </c>
      <c r="Z163" s="27">
        <f t="shared" si="78"/>
        <v>8.3772408261167168</v>
      </c>
      <c r="AA163" s="27">
        <f t="shared" si="78"/>
        <v>8.5657287447043426</v>
      </c>
      <c r="AB163" s="27">
        <f t="shared" si="78"/>
        <v>8.7584576414601898</v>
      </c>
      <c r="AC163" s="27">
        <f t="shared" si="78"/>
        <v>8.9555229383930435</v>
      </c>
      <c r="AD163" s="27">
        <f t="shared" si="78"/>
        <v>9.1570222045068874</v>
      </c>
      <c r="AE163" s="27">
        <f t="shared" si="78"/>
        <v>9.3630552041082922</v>
      </c>
      <c r="AF163" s="27">
        <f t="shared" si="78"/>
        <v>9.5737239462007278</v>
      </c>
      <c r="AG163" s="27">
        <f t="shared" si="78"/>
        <v>9.7891327349902433</v>
      </c>
      <c r="AH163" s="27">
        <f t="shared" si="78"/>
        <v>10.009388221527523</v>
      </c>
      <c r="AI163" s="27">
        <f t="shared" si="78"/>
        <v>10.234599456511893</v>
      </c>
      <c r="AJ163" s="27">
        <f t="shared" si="78"/>
        <v>10.46487794428341</v>
      </c>
      <c r="AK163" s="27">
        <f t="shared" si="78"/>
        <v>10.700337698029786</v>
      </c>
      <c r="AL163" s="27">
        <f t="shared" si="78"/>
        <v>10.941095296235456</v>
      </c>
      <c r="AM163" s="27">
        <f t="shared" si="78"/>
        <v>11.187269940400753</v>
      </c>
      <c r="AN163" s="27">
        <f t="shared" si="78"/>
        <v>11.438983514059769</v>
      </c>
      <c r="AO163" s="27">
        <f t="shared" si="78"/>
        <v>11.696360643126114</v>
      </c>
    </row>
    <row r="164" spans="7:41" x14ac:dyDescent="0.25">
      <c r="H164" s="57" t="s">
        <v>202</v>
      </c>
      <c r="K164" s="148">
        <v>0.2</v>
      </c>
      <c r="L164" s="149">
        <f>K164</f>
        <v>0.2</v>
      </c>
      <c r="M164" s="149">
        <f t="shared" ref="M164:AO164" si="79">L164</f>
        <v>0.2</v>
      </c>
      <c r="N164" s="149">
        <f t="shared" si="79"/>
        <v>0.2</v>
      </c>
      <c r="O164" s="149">
        <f t="shared" si="79"/>
        <v>0.2</v>
      </c>
      <c r="P164" s="149">
        <f t="shared" si="79"/>
        <v>0.2</v>
      </c>
      <c r="Q164" s="149">
        <f t="shared" si="79"/>
        <v>0.2</v>
      </c>
      <c r="R164" s="149">
        <f t="shared" si="79"/>
        <v>0.2</v>
      </c>
      <c r="S164" s="149">
        <f t="shared" si="79"/>
        <v>0.2</v>
      </c>
      <c r="T164" s="149">
        <f t="shared" si="79"/>
        <v>0.2</v>
      </c>
      <c r="U164" s="149">
        <f t="shared" si="79"/>
        <v>0.2</v>
      </c>
      <c r="V164" s="149">
        <f t="shared" si="79"/>
        <v>0.2</v>
      </c>
      <c r="W164" s="149">
        <f t="shared" si="79"/>
        <v>0.2</v>
      </c>
      <c r="X164" s="149">
        <f t="shared" si="79"/>
        <v>0.2</v>
      </c>
      <c r="Y164" s="149">
        <f t="shared" si="79"/>
        <v>0.2</v>
      </c>
      <c r="Z164" s="149">
        <f t="shared" si="79"/>
        <v>0.2</v>
      </c>
      <c r="AA164" s="149">
        <f t="shared" si="79"/>
        <v>0.2</v>
      </c>
      <c r="AB164" s="149">
        <f t="shared" si="79"/>
        <v>0.2</v>
      </c>
      <c r="AC164" s="149">
        <f t="shared" si="79"/>
        <v>0.2</v>
      </c>
      <c r="AD164" s="149">
        <f t="shared" si="79"/>
        <v>0.2</v>
      </c>
      <c r="AE164" s="149">
        <f t="shared" si="79"/>
        <v>0.2</v>
      </c>
      <c r="AF164" s="149">
        <f t="shared" si="79"/>
        <v>0.2</v>
      </c>
      <c r="AG164" s="149">
        <f t="shared" si="79"/>
        <v>0.2</v>
      </c>
      <c r="AH164" s="149">
        <f t="shared" si="79"/>
        <v>0.2</v>
      </c>
      <c r="AI164" s="149">
        <f t="shared" si="79"/>
        <v>0.2</v>
      </c>
      <c r="AJ164" s="149">
        <f t="shared" si="79"/>
        <v>0.2</v>
      </c>
      <c r="AK164" s="149">
        <f t="shared" si="79"/>
        <v>0.2</v>
      </c>
      <c r="AL164" s="149">
        <f t="shared" si="79"/>
        <v>0.2</v>
      </c>
      <c r="AM164" s="149">
        <f t="shared" si="79"/>
        <v>0.2</v>
      </c>
      <c r="AN164" s="149">
        <f t="shared" si="79"/>
        <v>0.2</v>
      </c>
      <c r="AO164" s="149">
        <f t="shared" si="79"/>
        <v>0.2</v>
      </c>
    </row>
    <row r="166" spans="7:41" x14ac:dyDescent="0.25">
      <c r="G166" s="2" t="s">
        <v>243</v>
      </c>
      <c r="H166" s="143"/>
      <c r="I166" s="143"/>
      <c r="J166" s="2" t="s">
        <v>39</v>
      </c>
      <c r="K166" s="32">
        <v>1</v>
      </c>
      <c r="L166" s="32">
        <v>2</v>
      </c>
      <c r="M166" s="32">
        <v>3</v>
      </c>
      <c r="N166" s="32">
        <v>4</v>
      </c>
      <c r="O166" s="32">
        <v>5</v>
      </c>
      <c r="P166" s="32">
        <v>6</v>
      </c>
      <c r="Q166" s="32">
        <v>7</v>
      </c>
      <c r="R166" s="32">
        <v>8</v>
      </c>
      <c r="S166" s="32">
        <v>9</v>
      </c>
      <c r="T166" s="32">
        <v>10</v>
      </c>
      <c r="U166" s="32">
        <v>11</v>
      </c>
      <c r="V166" s="32">
        <v>12</v>
      </c>
      <c r="W166" s="32">
        <v>13</v>
      </c>
      <c r="X166" s="32">
        <v>14</v>
      </c>
      <c r="Y166" s="32">
        <v>15</v>
      </c>
      <c r="Z166" s="32">
        <v>16</v>
      </c>
      <c r="AA166" s="32">
        <v>17</v>
      </c>
      <c r="AB166" s="32">
        <v>18</v>
      </c>
      <c r="AC166" s="32">
        <v>19</v>
      </c>
      <c r="AD166" s="32">
        <v>20</v>
      </c>
      <c r="AE166" s="32">
        <f>AD166+1</f>
        <v>21</v>
      </c>
      <c r="AF166" s="32">
        <f t="shared" ref="AF166:AO166" si="80">AE166+1</f>
        <v>22</v>
      </c>
      <c r="AG166" s="32">
        <f t="shared" si="80"/>
        <v>23</v>
      </c>
      <c r="AH166" s="32">
        <f t="shared" si="80"/>
        <v>24</v>
      </c>
      <c r="AI166" s="32">
        <f t="shared" si="80"/>
        <v>25</v>
      </c>
      <c r="AJ166" s="32">
        <f t="shared" si="80"/>
        <v>26</v>
      </c>
      <c r="AK166" s="32">
        <f t="shared" si="80"/>
        <v>27</v>
      </c>
      <c r="AL166" s="32">
        <f t="shared" si="80"/>
        <v>28</v>
      </c>
      <c r="AM166" s="32">
        <f t="shared" si="80"/>
        <v>29</v>
      </c>
      <c r="AN166" s="32">
        <f t="shared" si="80"/>
        <v>30</v>
      </c>
      <c r="AO166" s="32">
        <f t="shared" si="80"/>
        <v>31</v>
      </c>
    </row>
    <row r="167" spans="7:41" x14ac:dyDescent="0.25">
      <c r="H167" s="35" t="s">
        <v>52</v>
      </c>
      <c r="I167" s="36"/>
      <c r="J167" s="36"/>
      <c r="K167" s="150">
        <v>57.566642578754497</v>
      </c>
      <c r="L167" s="150">
        <v>0</v>
      </c>
      <c r="M167" s="150">
        <v>0</v>
      </c>
      <c r="N167" s="150">
        <v>0</v>
      </c>
      <c r="O167" s="150">
        <v>0</v>
      </c>
      <c r="P167" s="150">
        <v>0</v>
      </c>
      <c r="Q167" s="150">
        <v>0</v>
      </c>
      <c r="R167" s="150">
        <v>0</v>
      </c>
      <c r="S167" s="150">
        <v>0</v>
      </c>
      <c r="T167" s="150">
        <v>0</v>
      </c>
      <c r="U167" s="150">
        <v>24.308646898524785</v>
      </c>
      <c r="V167" s="150">
        <v>0</v>
      </c>
      <c r="W167" s="150">
        <v>0</v>
      </c>
      <c r="X167" s="150">
        <v>0</v>
      </c>
      <c r="Y167" s="150">
        <v>0</v>
      </c>
      <c r="Z167" s="150">
        <v>2.3953468989875</v>
      </c>
      <c r="AA167" s="150">
        <v>0</v>
      </c>
      <c r="AB167" s="150">
        <v>0</v>
      </c>
      <c r="AC167" s="150">
        <v>0</v>
      </c>
      <c r="AD167" s="150">
        <v>0</v>
      </c>
      <c r="AE167" s="150">
        <v>105.8099212819768</v>
      </c>
      <c r="AF167" s="150">
        <v>0</v>
      </c>
      <c r="AG167" s="150">
        <v>0</v>
      </c>
      <c r="AH167" s="150">
        <v>0</v>
      </c>
      <c r="AI167" s="150">
        <v>0</v>
      </c>
      <c r="AJ167" s="150">
        <v>64.055687148592298</v>
      </c>
      <c r="AK167" s="150">
        <v>0</v>
      </c>
      <c r="AL167" s="150">
        <v>0</v>
      </c>
      <c r="AM167" s="150">
        <v>0</v>
      </c>
      <c r="AN167" s="150">
        <v>0</v>
      </c>
      <c r="AO167" s="150">
        <v>126.60484526109339</v>
      </c>
    </row>
    <row r="168" spans="7:41" x14ac:dyDescent="0.25">
      <c r="H168" s="35" t="s">
        <v>206</v>
      </c>
      <c r="I168" s="36"/>
      <c r="J168" s="151"/>
      <c r="K168" s="152">
        <f>CHOOSE($G$19,K154*K155*(1-K156),K158*K159*(1-K160),K162*K163*(1-K164))</f>
        <v>29.271874999999998</v>
      </c>
      <c r="L168" s="152">
        <f t="shared" ref="L168:AO168" si="81">CHOOSE($G$19,L154*L155*(1-L156),L158*L159*(1-L160),L162*L163*(1-L164))</f>
        <v>31.67015</v>
      </c>
      <c r="M168" s="152">
        <f t="shared" si="81"/>
        <v>34.205473900000001</v>
      </c>
      <c r="N168" s="152">
        <f t="shared" si="81"/>
        <v>36.979111398999997</v>
      </c>
      <c r="O168" s="152">
        <f t="shared" si="81"/>
        <v>39.962445691840003</v>
      </c>
      <c r="P168" s="152">
        <f t="shared" si="81"/>
        <v>43.224686156480011</v>
      </c>
      <c r="Q168" s="152">
        <f t="shared" si="81"/>
        <v>46.677257963228854</v>
      </c>
      <c r="R168" s="152">
        <f t="shared" si="81"/>
        <v>19.30548480275483</v>
      </c>
      <c r="S168" s="152">
        <f t="shared" si="81"/>
        <v>11.647642497662082</v>
      </c>
      <c r="T168" s="152">
        <f t="shared" si="81"/>
        <v>12.619351899400742</v>
      </c>
      <c r="U168" s="152">
        <f t="shared" si="81"/>
        <v>13.551492264674748</v>
      </c>
      <c r="V168" s="152">
        <f t="shared" si="81"/>
        <v>14.500854484587816</v>
      </c>
      <c r="W168" s="152">
        <f t="shared" si="81"/>
        <v>15.615932930234974</v>
      </c>
      <c r="X168" s="152">
        <f t="shared" si="81"/>
        <v>16.816751328183436</v>
      </c>
      <c r="Y168" s="152">
        <f t="shared" si="81"/>
        <v>18.109832207203119</v>
      </c>
      <c r="Z168" s="152">
        <f t="shared" si="81"/>
        <v>19.502187016701928</v>
      </c>
      <c r="AA168" s="152">
        <f t="shared" si="81"/>
        <v>21.001762475756667</v>
      </c>
      <c r="AB168" s="152">
        <f>CHOOSE($G$19,AB154*AB155*(1-AB156),AB158*AB159*(1-AB160),AB162*AB163*(1-AB164))</f>
        <v>22.616732593101563</v>
      </c>
      <c r="AC168" s="152">
        <f t="shared" si="81"/>
        <v>24.355654976780066</v>
      </c>
      <c r="AD168" s="152">
        <f t="shared" si="81"/>
        <v>26.228424372479246</v>
      </c>
      <c r="AE168" s="152">
        <f t="shared" si="81"/>
        <v>0</v>
      </c>
      <c r="AF168" s="152">
        <f t="shared" si="81"/>
        <v>0</v>
      </c>
      <c r="AG168" s="152">
        <f t="shared" si="81"/>
        <v>0</v>
      </c>
      <c r="AH168" s="152">
        <f t="shared" si="81"/>
        <v>0</v>
      </c>
      <c r="AI168" s="152">
        <f t="shared" si="81"/>
        <v>0</v>
      </c>
      <c r="AJ168" s="152">
        <f t="shared" si="81"/>
        <v>0</v>
      </c>
      <c r="AK168" s="152">
        <f t="shared" si="81"/>
        <v>0</v>
      </c>
      <c r="AL168" s="152">
        <f t="shared" si="81"/>
        <v>0</v>
      </c>
      <c r="AM168" s="152">
        <f t="shared" si="81"/>
        <v>0</v>
      </c>
      <c r="AN168" s="152">
        <f t="shared" si="81"/>
        <v>0</v>
      </c>
      <c r="AO168" s="152">
        <f t="shared" si="81"/>
        <v>0</v>
      </c>
    </row>
    <row r="169" spans="7:41" x14ac:dyDescent="0.25">
      <c r="H169" s="35" t="s">
        <v>56</v>
      </c>
      <c r="I169" s="36"/>
      <c r="J169" s="36"/>
      <c r="K169" s="153">
        <v>0.29142857142857143</v>
      </c>
      <c r="L169" s="153">
        <v>0.29725714285714283</v>
      </c>
      <c r="M169" s="153">
        <v>0.3032022857142857</v>
      </c>
      <c r="N169" s="153">
        <v>0.30926633142857141</v>
      </c>
      <c r="O169" s="153">
        <v>0.31545165805714287</v>
      </c>
      <c r="P169" s="154">
        <v>0.32176069121828577</v>
      </c>
      <c r="Q169" s="154">
        <v>0.32819590504265139</v>
      </c>
      <c r="R169" s="154">
        <v>0.33475982314350444</v>
      </c>
      <c r="S169" s="154">
        <v>0.34145501960637448</v>
      </c>
      <c r="T169" s="154">
        <v>0.34828411999850201</v>
      </c>
      <c r="U169" s="154">
        <v>0.35524980239847204</v>
      </c>
      <c r="V169" s="154">
        <v>0.36235479844644147</v>
      </c>
      <c r="W169" s="154">
        <v>0.36960189441537022</v>
      </c>
      <c r="X169" s="154">
        <v>0.37699393230367778</v>
      </c>
      <c r="Y169" s="154">
        <v>0.3845338109497512</v>
      </c>
      <c r="Z169" s="154">
        <v>0.39185337787836899</v>
      </c>
      <c r="AA169" s="154">
        <v>0.39924628541819301</v>
      </c>
      <c r="AB169" s="154">
        <v>0.40663919295801698</v>
      </c>
      <c r="AC169" s="154">
        <v>0.41403210049784001</v>
      </c>
      <c r="AD169" s="154">
        <v>0.42142500803766397</v>
      </c>
      <c r="AE169" s="154">
        <v>0.42142500803766397</v>
      </c>
      <c r="AF169" s="154">
        <v>0.43304752682797748</v>
      </c>
      <c r="AG169" s="154">
        <v>0.44170847736453706</v>
      </c>
      <c r="AH169" s="154">
        <v>0.45054264691182772</v>
      </c>
      <c r="AI169" s="154">
        <v>0.45955349985006427</v>
      </c>
      <c r="AJ169" s="154">
        <v>0.46874456984706558</v>
      </c>
      <c r="AK169" s="154">
        <v>0.47811946124400695</v>
      </c>
      <c r="AL169" s="154">
        <v>0.48768185046888696</v>
      </c>
      <c r="AM169" s="154">
        <v>0.49743548747826483</v>
      </c>
      <c r="AN169" s="154">
        <v>0.50738419722783001</v>
      </c>
      <c r="AO169" s="154">
        <v>0.51753188117238669</v>
      </c>
    </row>
    <row r="171" spans="7:41" x14ac:dyDescent="0.25">
      <c r="H171" s="98" t="s">
        <v>207</v>
      </c>
      <c r="I171" s="98"/>
      <c r="J171" s="98"/>
      <c r="K171" s="155">
        <f t="shared" ref="K171:AO171" si="82">-SUM(K25:K42)/$D$12</f>
        <v>-16.809999999999999</v>
      </c>
      <c r="L171" s="155">
        <f t="shared" si="82"/>
        <v>-17.488703749999996</v>
      </c>
      <c r="M171" s="155">
        <f t="shared" si="82"/>
        <v>-18.194810163906244</v>
      </c>
      <c r="N171" s="155">
        <f t="shared" si="82"/>
        <v>-18.92942562427395</v>
      </c>
      <c r="O171" s="155">
        <f t="shared" si="82"/>
        <v>-19.69370118385401</v>
      </c>
      <c r="P171" s="155">
        <f t="shared" si="82"/>
        <v>-20.488834369152116</v>
      </c>
      <c r="Q171" s="155">
        <f t="shared" si="82"/>
        <v>-21.316071056806624</v>
      </c>
      <c r="R171" s="155">
        <f t="shared" si="82"/>
        <v>-22.176707425725191</v>
      </c>
      <c r="S171" s="155">
        <f t="shared" si="82"/>
        <v>-23.072091988038842</v>
      </c>
      <c r="T171" s="155">
        <f t="shared" si="82"/>
        <v>-24.003627702055905</v>
      </c>
      <c r="U171" s="155">
        <f t="shared" si="82"/>
        <v>-24.972774170526407</v>
      </c>
      <c r="V171" s="155">
        <f t="shared" si="82"/>
        <v>-25.981049927661402</v>
      </c>
      <c r="W171" s="155">
        <f t="shared" si="82"/>
        <v>-27.03003481849073</v>
      </c>
      <c r="X171" s="155">
        <f t="shared" si="82"/>
        <v>-28.121372474287284</v>
      </c>
      <c r="Y171" s="155">
        <f t="shared" si="82"/>
        <v>-29.256772887936627</v>
      </c>
      <c r="Z171" s="155">
        <f t="shared" si="82"/>
        <v>-30.438015093287067</v>
      </c>
      <c r="AA171" s="155">
        <f t="shared" si="82"/>
        <v>-31.666949952678525</v>
      </c>
      <c r="AB171" s="155">
        <f t="shared" si="82"/>
        <v>-32.945503057017916</v>
      </c>
      <c r="AC171" s="155">
        <f t="shared" si="82"/>
        <v>-34.275677742945007</v>
      </c>
      <c r="AD171" s="155">
        <f t="shared" si="82"/>
        <v>-35.659558231816405</v>
      </c>
      <c r="AE171" s="155">
        <f t="shared" si="82"/>
        <v>-37.099312895425989</v>
      </c>
      <c r="AF171" s="155">
        <f t="shared" si="82"/>
        <v>-38.597197653578796</v>
      </c>
      <c r="AG171" s="155">
        <f t="shared" si="82"/>
        <v>-40.155559508842046</v>
      </c>
      <c r="AH171" s="155">
        <f t="shared" si="82"/>
        <v>-41.776840224011529</v>
      </c>
      <c r="AI171" s="155">
        <f t="shared" si="82"/>
        <v>-43.463580148055989</v>
      </c>
      <c r="AJ171" s="155">
        <f t="shared" si="82"/>
        <v>-45.218422196533737</v>
      </c>
      <c r="AK171" s="155">
        <f t="shared" si="82"/>
        <v>-47.04411599271878</v>
      </c>
      <c r="AL171" s="155">
        <f t="shared" si="82"/>
        <v>-48.943522175924784</v>
      </c>
      <c r="AM171" s="155">
        <f t="shared" si="82"/>
        <v>-50.919616883777742</v>
      </c>
      <c r="AN171" s="155">
        <f t="shared" si="82"/>
        <v>-52.975496415460263</v>
      </c>
      <c r="AO171" s="155">
        <f t="shared" si="82"/>
        <v>-55.114382083234453</v>
      </c>
    </row>
    <row r="172" spans="7:41" x14ac:dyDescent="0.25">
      <c r="H172" s="98" t="s">
        <v>208</v>
      </c>
      <c r="I172" s="98"/>
      <c r="J172" s="98"/>
      <c r="K172" s="156">
        <f>SUM(K167:K171)</f>
        <v>70.319946150183057</v>
      </c>
      <c r="L172" s="156">
        <f t="shared" ref="L172:AO172" si="83">SUM(L167:L171)</f>
        <v>14.478703392857145</v>
      </c>
      <c r="M172" s="156">
        <f t="shared" si="83"/>
        <v>16.313866021808042</v>
      </c>
      <c r="N172" s="156">
        <f t="shared" si="83"/>
        <v>18.358952106154621</v>
      </c>
      <c r="O172" s="156">
        <f t="shared" si="83"/>
        <v>20.584196166043135</v>
      </c>
      <c r="P172" s="156">
        <f t="shared" si="83"/>
        <v>23.057612478546183</v>
      </c>
      <c r="Q172" s="156">
        <f t="shared" si="83"/>
        <v>25.689382811464878</v>
      </c>
      <c r="R172" s="156">
        <f t="shared" si="83"/>
        <v>-2.5364627998268574</v>
      </c>
      <c r="S172" s="156">
        <f t="shared" si="83"/>
        <v>-11.082994470770386</v>
      </c>
      <c r="T172" s="156">
        <f t="shared" si="83"/>
        <v>-11.035991682656661</v>
      </c>
      <c r="U172" s="156">
        <f t="shared" si="83"/>
        <v>13.242614795071603</v>
      </c>
      <c r="V172" s="156">
        <f t="shared" si="83"/>
        <v>-11.117840644627146</v>
      </c>
      <c r="W172" s="156">
        <f t="shared" si="83"/>
        <v>-11.044499993840386</v>
      </c>
      <c r="X172" s="156">
        <f t="shared" si="83"/>
        <v>-10.927627213800172</v>
      </c>
      <c r="Y172" s="156">
        <f t="shared" si="83"/>
        <v>-10.762406869783756</v>
      </c>
      <c r="Z172" s="156">
        <f t="shared" si="83"/>
        <v>-8.148627799719268</v>
      </c>
      <c r="AA172" s="156">
        <f t="shared" si="83"/>
        <v>-10.265941191503664</v>
      </c>
      <c r="AB172" s="156">
        <f t="shared" si="83"/>
        <v>-9.9221312709583351</v>
      </c>
      <c r="AC172" s="156">
        <f t="shared" si="83"/>
        <v>-9.5059906656670989</v>
      </c>
      <c r="AD172" s="156">
        <f t="shared" si="83"/>
        <v>-9.0097088512994965</v>
      </c>
      <c r="AE172" s="156">
        <f t="shared" si="83"/>
        <v>69.132033394588461</v>
      </c>
      <c r="AF172" s="156">
        <f t="shared" si="83"/>
        <v>-38.164150126750819</v>
      </c>
      <c r="AG172" s="156">
        <f t="shared" si="83"/>
        <v>-39.71385103147751</v>
      </c>
      <c r="AH172" s="156">
        <f t="shared" si="83"/>
        <v>-41.326297577099702</v>
      </c>
      <c r="AI172" s="156">
        <f t="shared" si="83"/>
        <v>-43.004026648205922</v>
      </c>
      <c r="AJ172" s="156">
        <f t="shared" si="83"/>
        <v>19.306009521905622</v>
      </c>
      <c r="AK172" s="156">
        <f t="shared" si="83"/>
        <v>-46.565996531474774</v>
      </c>
      <c r="AL172" s="156">
        <f t="shared" si="83"/>
        <v>-48.455840325455895</v>
      </c>
      <c r="AM172" s="156">
        <f t="shared" si="83"/>
        <v>-50.422181396299479</v>
      </c>
      <c r="AN172" s="156">
        <f t="shared" si="83"/>
        <v>-52.468112218232434</v>
      </c>
      <c r="AO172" s="156">
        <f t="shared" si="83"/>
        <v>72.007995059031316</v>
      </c>
    </row>
    <row r="175" spans="7:41" x14ac:dyDescent="0.25">
      <c r="G175" s="2" t="s">
        <v>209</v>
      </c>
      <c r="H175" s="143"/>
      <c r="I175" s="143"/>
      <c r="J175" s="2" t="s">
        <v>39</v>
      </c>
      <c r="K175" s="32">
        <v>1</v>
      </c>
      <c r="L175" s="32">
        <v>2</v>
      </c>
      <c r="M175" s="32">
        <v>3</v>
      </c>
      <c r="N175" s="32">
        <v>4</v>
      </c>
      <c r="O175" s="32">
        <v>5</v>
      </c>
      <c r="P175" s="32">
        <v>6</v>
      </c>
      <c r="Q175" s="32">
        <v>7</v>
      </c>
      <c r="R175" s="32">
        <v>8</v>
      </c>
      <c r="S175" s="32">
        <v>9</v>
      </c>
      <c r="T175" s="32">
        <v>10</v>
      </c>
      <c r="U175" s="32">
        <v>11</v>
      </c>
      <c r="V175" s="32">
        <v>12</v>
      </c>
      <c r="W175" s="32">
        <v>13</v>
      </c>
      <c r="X175" s="32">
        <v>14</v>
      </c>
      <c r="Y175" s="32">
        <v>15</v>
      </c>
      <c r="Z175" s="32">
        <v>16</v>
      </c>
      <c r="AA175" s="32">
        <v>17</v>
      </c>
      <c r="AB175" s="32">
        <v>18</v>
      </c>
      <c r="AC175" s="32">
        <v>19</v>
      </c>
      <c r="AD175" s="32">
        <v>20</v>
      </c>
      <c r="AE175" s="32">
        <v>21</v>
      </c>
      <c r="AF175" s="32">
        <v>22</v>
      </c>
      <c r="AG175" s="32">
        <v>23</v>
      </c>
      <c r="AH175" s="32">
        <v>24</v>
      </c>
      <c r="AI175" s="32">
        <v>25</v>
      </c>
      <c r="AJ175" s="32">
        <v>26</v>
      </c>
      <c r="AK175" s="32">
        <v>27</v>
      </c>
      <c r="AL175" s="32">
        <v>28</v>
      </c>
      <c r="AM175" s="32">
        <v>29</v>
      </c>
      <c r="AN175" s="32">
        <v>30</v>
      </c>
      <c r="AO175" s="32">
        <v>31</v>
      </c>
    </row>
    <row r="176" spans="7:41" x14ac:dyDescent="0.25">
      <c r="H176" s="35" t="s">
        <v>52</v>
      </c>
      <c r="I176" s="36"/>
      <c r="J176" s="36"/>
      <c r="K176" s="128">
        <f t="shared" ref="K176:AO176" si="84">IF(K175&lt;=$C$85,K167,0)</f>
        <v>57.566642578754497</v>
      </c>
      <c r="L176" s="128">
        <f t="shared" si="84"/>
        <v>0</v>
      </c>
      <c r="M176" s="128">
        <f t="shared" si="84"/>
        <v>0</v>
      </c>
      <c r="N176" s="128">
        <f t="shared" si="84"/>
        <v>0</v>
      </c>
      <c r="O176" s="128">
        <f t="shared" si="84"/>
        <v>0</v>
      </c>
      <c r="P176" s="128">
        <f t="shared" si="84"/>
        <v>0</v>
      </c>
      <c r="Q176" s="128">
        <f t="shared" si="84"/>
        <v>0</v>
      </c>
      <c r="R176" s="128">
        <f t="shared" si="84"/>
        <v>0</v>
      </c>
      <c r="S176" s="128">
        <f t="shared" si="84"/>
        <v>0</v>
      </c>
      <c r="T176" s="128">
        <f t="shared" si="84"/>
        <v>0</v>
      </c>
      <c r="U176" s="128">
        <f t="shared" si="84"/>
        <v>24.308646898524785</v>
      </c>
      <c r="V176" s="128">
        <f t="shared" si="84"/>
        <v>0</v>
      </c>
      <c r="W176" s="128">
        <f t="shared" si="84"/>
        <v>0</v>
      </c>
      <c r="X176" s="128">
        <f t="shared" si="84"/>
        <v>0</v>
      </c>
      <c r="Y176" s="128">
        <f t="shared" si="84"/>
        <v>0</v>
      </c>
      <c r="Z176" s="128">
        <f t="shared" si="84"/>
        <v>0</v>
      </c>
      <c r="AA176" s="128">
        <f t="shared" si="84"/>
        <v>0</v>
      </c>
      <c r="AB176" s="128">
        <f t="shared" si="84"/>
        <v>0</v>
      </c>
      <c r="AC176" s="128">
        <f t="shared" si="84"/>
        <v>0</v>
      </c>
      <c r="AD176" s="128">
        <f t="shared" si="84"/>
        <v>0</v>
      </c>
      <c r="AE176" s="128">
        <f t="shared" si="84"/>
        <v>0</v>
      </c>
      <c r="AF176" s="128">
        <f t="shared" si="84"/>
        <v>0</v>
      </c>
      <c r="AG176" s="128">
        <f t="shared" si="84"/>
        <v>0</v>
      </c>
      <c r="AH176" s="128">
        <f t="shared" si="84"/>
        <v>0</v>
      </c>
      <c r="AI176" s="128">
        <f t="shared" si="84"/>
        <v>0</v>
      </c>
      <c r="AJ176" s="128">
        <f t="shared" si="84"/>
        <v>0</v>
      </c>
      <c r="AK176" s="128">
        <f t="shared" si="84"/>
        <v>0</v>
      </c>
      <c r="AL176" s="128">
        <f t="shared" si="84"/>
        <v>0</v>
      </c>
      <c r="AM176" s="128">
        <f t="shared" si="84"/>
        <v>0</v>
      </c>
      <c r="AN176" s="128">
        <f t="shared" si="84"/>
        <v>0</v>
      </c>
      <c r="AO176" s="128">
        <f t="shared" si="84"/>
        <v>0</v>
      </c>
    </row>
    <row r="177" spans="8:41" x14ac:dyDescent="0.25">
      <c r="H177" s="35" t="s">
        <v>206</v>
      </c>
      <c r="I177" s="36"/>
      <c r="J177" s="151"/>
      <c r="K177" s="128">
        <f t="shared" ref="K177:AO177" si="85">IF(K175&lt;=$C$85,K168,0)</f>
        <v>29.271874999999998</v>
      </c>
      <c r="L177" s="128">
        <f t="shared" si="85"/>
        <v>31.67015</v>
      </c>
      <c r="M177" s="128">
        <f t="shared" si="85"/>
        <v>34.205473900000001</v>
      </c>
      <c r="N177" s="128">
        <f t="shared" si="85"/>
        <v>36.979111398999997</v>
      </c>
      <c r="O177" s="128">
        <f t="shared" si="85"/>
        <v>39.962445691840003</v>
      </c>
      <c r="P177" s="128">
        <f t="shared" si="85"/>
        <v>43.224686156480011</v>
      </c>
      <c r="Q177" s="128">
        <f t="shared" si="85"/>
        <v>46.677257963228854</v>
      </c>
      <c r="R177" s="128">
        <f t="shared" si="85"/>
        <v>19.30548480275483</v>
      </c>
      <c r="S177" s="128">
        <f t="shared" si="85"/>
        <v>11.647642497662082</v>
      </c>
      <c r="T177" s="128">
        <f t="shared" si="85"/>
        <v>12.619351899400742</v>
      </c>
      <c r="U177" s="128">
        <f t="shared" si="85"/>
        <v>13.551492264674748</v>
      </c>
      <c r="V177" s="128">
        <f t="shared" si="85"/>
        <v>14.500854484587816</v>
      </c>
      <c r="W177" s="128">
        <f t="shared" si="85"/>
        <v>15.615932930234974</v>
      </c>
      <c r="X177" s="128">
        <f t="shared" si="85"/>
        <v>16.816751328183436</v>
      </c>
      <c r="Y177" s="128">
        <f t="shared" si="85"/>
        <v>18.109832207203119</v>
      </c>
      <c r="Z177" s="128">
        <f t="shared" si="85"/>
        <v>0</v>
      </c>
      <c r="AA177" s="128">
        <f t="shared" si="85"/>
        <v>0</v>
      </c>
      <c r="AB177" s="128">
        <f t="shared" si="85"/>
        <v>0</v>
      </c>
      <c r="AC177" s="128">
        <f t="shared" si="85"/>
        <v>0</v>
      </c>
      <c r="AD177" s="128">
        <f t="shared" si="85"/>
        <v>0</v>
      </c>
      <c r="AE177" s="128">
        <f t="shared" si="85"/>
        <v>0</v>
      </c>
      <c r="AF177" s="128">
        <f t="shared" si="85"/>
        <v>0</v>
      </c>
      <c r="AG177" s="128">
        <f t="shared" si="85"/>
        <v>0</v>
      </c>
      <c r="AH177" s="128">
        <f t="shared" si="85"/>
        <v>0</v>
      </c>
      <c r="AI177" s="128">
        <f t="shared" si="85"/>
        <v>0</v>
      </c>
      <c r="AJ177" s="128">
        <f t="shared" si="85"/>
        <v>0</v>
      </c>
      <c r="AK177" s="128">
        <f t="shared" si="85"/>
        <v>0</v>
      </c>
      <c r="AL177" s="128">
        <f t="shared" si="85"/>
        <v>0</v>
      </c>
      <c r="AM177" s="128">
        <f t="shared" si="85"/>
        <v>0</v>
      </c>
      <c r="AN177" s="128">
        <f t="shared" si="85"/>
        <v>0</v>
      </c>
      <c r="AO177" s="128">
        <f t="shared" si="85"/>
        <v>0</v>
      </c>
    </row>
    <row r="178" spans="8:41" x14ac:dyDescent="0.25">
      <c r="H178" s="35" t="s">
        <v>56</v>
      </c>
      <c r="I178" s="36"/>
      <c r="J178" s="36"/>
      <c r="K178" s="128">
        <f t="shared" ref="K178:AO178" si="86">IF(K175&lt;=$C$85,K169,0)</f>
        <v>0.29142857142857143</v>
      </c>
      <c r="L178" s="128">
        <f t="shared" si="86"/>
        <v>0.29725714285714283</v>
      </c>
      <c r="M178" s="128">
        <f t="shared" si="86"/>
        <v>0.3032022857142857</v>
      </c>
      <c r="N178" s="128">
        <f t="shared" si="86"/>
        <v>0.30926633142857141</v>
      </c>
      <c r="O178" s="128">
        <f t="shared" si="86"/>
        <v>0.31545165805714287</v>
      </c>
      <c r="P178" s="128">
        <f t="shared" si="86"/>
        <v>0.32176069121828577</v>
      </c>
      <c r="Q178" s="128">
        <f t="shared" si="86"/>
        <v>0.32819590504265139</v>
      </c>
      <c r="R178" s="128">
        <f t="shared" si="86"/>
        <v>0.33475982314350444</v>
      </c>
      <c r="S178" s="128">
        <f t="shared" si="86"/>
        <v>0.34145501960637448</v>
      </c>
      <c r="T178" s="128">
        <f t="shared" si="86"/>
        <v>0.34828411999850201</v>
      </c>
      <c r="U178" s="128">
        <f t="shared" si="86"/>
        <v>0.35524980239847204</v>
      </c>
      <c r="V178" s="128">
        <f t="shared" si="86"/>
        <v>0.36235479844644147</v>
      </c>
      <c r="W178" s="128">
        <f t="shared" si="86"/>
        <v>0.36960189441537022</v>
      </c>
      <c r="X178" s="128">
        <f t="shared" si="86"/>
        <v>0.37699393230367778</v>
      </c>
      <c r="Y178" s="128">
        <f t="shared" si="86"/>
        <v>0.3845338109497512</v>
      </c>
      <c r="Z178" s="128">
        <f t="shared" si="86"/>
        <v>0</v>
      </c>
      <c r="AA178" s="128">
        <f t="shared" si="86"/>
        <v>0</v>
      </c>
      <c r="AB178" s="128">
        <f t="shared" si="86"/>
        <v>0</v>
      </c>
      <c r="AC178" s="128">
        <f t="shared" si="86"/>
        <v>0</v>
      </c>
      <c r="AD178" s="128">
        <f t="shared" si="86"/>
        <v>0</v>
      </c>
      <c r="AE178" s="128">
        <f t="shared" si="86"/>
        <v>0</v>
      </c>
      <c r="AF178" s="128">
        <f t="shared" si="86"/>
        <v>0</v>
      </c>
      <c r="AG178" s="128">
        <f t="shared" si="86"/>
        <v>0</v>
      </c>
      <c r="AH178" s="128">
        <f t="shared" si="86"/>
        <v>0</v>
      </c>
      <c r="AI178" s="128">
        <f t="shared" si="86"/>
        <v>0</v>
      </c>
      <c r="AJ178" s="128">
        <f t="shared" si="86"/>
        <v>0</v>
      </c>
      <c r="AK178" s="128">
        <f t="shared" si="86"/>
        <v>0</v>
      </c>
      <c r="AL178" s="128">
        <f t="shared" si="86"/>
        <v>0</v>
      </c>
      <c r="AM178" s="128">
        <f t="shared" si="86"/>
        <v>0</v>
      </c>
      <c r="AN178" s="128">
        <f t="shared" si="86"/>
        <v>0</v>
      </c>
      <c r="AO178" s="128">
        <f t="shared" si="86"/>
        <v>0</v>
      </c>
    </row>
    <row r="179" spans="8:41" x14ac:dyDescent="0.25"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  <c r="AD179" s="98"/>
      <c r="AE179" s="98"/>
      <c r="AF179" s="98"/>
      <c r="AG179" s="98"/>
      <c r="AH179" s="98"/>
      <c r="AI179" s="98"/>
      <c r="AJ179" s="98"/>
      <c r="AK179" s="98"/>
      <c r="AL179" s="98"/>
      <c r="AM179" s="98"/>
      <c r="AN179" s="98"/>
      <c r="AO179" s="98"/>
    </row>
    <row r="180" spans="8:41" x14ac:dyDescent="0.25">
      <c r="H180" s="98" t="s">
        <v>207</v>
      </c>
      <c r="I180" s="98"/>
      <c r="J180" s="98"/>
      <c r="K180" s="155">
        <f t="shared" ref="K180:AO180" si="87">IF(K175&lt;=$C$85,K171,0)</f>
        <v>-16.809999999999999</v>
      </c>
      <c r="L180" s="155">
        <f t="shared" si="87"/>
        <v>-17.488703749999996</v>
      </c>
      <c r="M180" s="155">
        <f t="shared" si="87"/>
        <v>-18.194810163906244</v>
      </c>
      <c r="N180" s="155">
        <f t="shared" si="87"/>
        <v>-18.92942562427395</v>
      </c>
      <c r="O180" s="155">
        <f t="shared" si="87"/>
        <v>-19.69370118385401</v>
      </c>
      <c r="P180" s="155">
        <f t="shared" si="87"/>
        <v>-20.488834369152116</v>
      </c>
      <c r="Q180" s="155">
        <f t="shared" si="87"/>
        <v>-21.316071056806624</v>
      </c>
      <c r="R180" s="155">
        <f t="shared" si="87"/>
        <v>-22.176707425725191</v>
      </c>
      <c r="S180" s="155">
        <f t="shared" si="87"/>
        <v>-23.072091988038842</v>
      </c>
      <c r="T180" s="155">
        <f t="shared" si="87"/>
        <v>-24.003627702055905</v>
      </c>
      <c r="U180" s="155">
        <f t="shared" si="87"/>
        <v>-24.972774170526407</v>
      </c>
      <c r="V180" s="155">
        <f t="shared" si="87"/>
        <v>-25.981049927661402</v>
      </c>
      <c r="W180" s="155">
        <f t="shared" si="87"/>
        <v>-27.03003481849073</v>
      </c>
      <c r="X180" s="155">
        <f t="shared" si="87"/>
        <v>-28.121372474287284</v>
      </c>
      <c r="Y180" s="155">
        <f t="shared" si="87"/>
        <v>-29.256772887936627</v>
      </c>
      <c r="Z180" s="155">
        <f t="shared" si="87"/>
        <v>0</v>
      </c>
      <c r="AA180" s="155">
        <f t="shared" si="87"/>
        <v>0</v>
      </c>
      <c r="AB180" s="155">
        <f t="shared" si="87"/>
        <v>0</v>
      </c>
      <c r="AC180" s="155">
        <f t="shared" si="87"/>
        <v>0</v>
      </c>
      <c r="AD180" s="155">
        <f t="shared" si="87"/>
        <v>0</v>
      </c>
      <c r="AE180" s="155">
        <f t="shared" si="87"/>
        <v>0</v>
      </c>
      <c r="AF180" s="155">
        <f t="shared" si="87"/>
        <v>0</v>
      </c>
      <c r="AG180" s="155">
        <f t="shared" si="87"/>
        <v>0</v>
      </c>
      <c r="AH180" s="155">
        <f t="shared" si="87"/>
        <v>0</v>
      </c>
      <c r="AI180" s="155">
        <f t="shared" si="87"/>
        <v>0</v>
      </c>
      <c r="AJ180" s="155">
        <f t="shared" si="87"/>
        <v>0</v>
      </c>
      <c r="AK180" s="155">
        <f t="shared" si="87"/>
        <v>0</v>
      </c>
      <c r="AL180" s="155">
        <f t="shared" si="87"/>
        <v>0</v>
      </c>
      <c r="AM180" s="155">
        <f t="shared" si="87"/>
        <v>0</v>
      </c>
      <c r="AN180" s="155">
        <f t="shared" si="87"/>
        <v>0</v>
      </c>
      <c r="AO180" s="155">
        <f t="shared" si="87"/>
        <v>0</v>
      </c>
    </row>
    <row r="181" spans="8:41" x14ac:dyDescent="0.25">
      <c r="H181" s="98" t="s">
        <v>208</v>
      </c>
      <c r="I181" s="98"/>
      <c r="J181" s="98"/>
      <c r="K181" s="156">
        <f>SUM(K176:K180)</f>
        <v>70.319946150183057</v>
      </c>
      <c r="L181" s="156">
        <f t="shared" ref="L181:AO181" si="88">SUM(L176:L180)</f>
        <v>14.478703392857145</v>
      </c>
      <c r="M181" s="156">
        <f t="shared" si="88"/>
        <v>16.313866021808042</v>
      </c>
      <c r="N181" s="156">
        <f t="shared" si="88"/>
        <v>18.358952106154621</v>
      </c>
      <c r="O181" s="156">
        <f t="shared" si="88"/>
        <v>20.584196166043135</v>
      </c>
      <c r="P181" s="156">
        <f t="shared" si="88"/>
        <v>23.057612478546183</v>
      </c>
      <c r="Q181" s="156">
        <f t="shared" si="88"/>
        <v>25.689382811464878</v>
      </c>
      <c r="R181" s="156">
        <f t="shared" si="88"/>
        <v>-2.5364627998268574</v>
      </c>
      <c r="S181" s="156">
        <f t="shared" si="88"/>
        <v>-11.082994470770386</v>
      </c>
      <c r="T181" s="156">
        <f t="shared" si="88"/>
        <v>-11.035991682656661</v>
      </c>
      <c r="U181" s="156">
        <f t="shared" si="88"/>
        <v>13.242614795071603</v>
      </c>
      <c r="V181" s="156">
        <f t="shared" si="88"/>
        <v>-11.117840644627146</v>
      </c>
      <c r="W181" s="156">
        <f t="shared" si="88"/>
        <v>-11.044499993840386</v>
      </c>
      <c r="X181" s="156">
        <f t="shared" si="88"/>
        <v>-10.927627213800172</v>
      </c>
      <c r="Y181" s="156">
        <f t="shared" si="88"/>
        <v>-10.762406869783756</v>
      </c>
      <c r="Z181" s="156">
        <f t="shared" si="88"/>
        <v>0</v>
      </c>
      <c r="AA181" s="156">
        <f t="shared" si="88"/>
        <v>0</v>
      </c>
      <c r="AB181" s="156">
        <f t="shared" si="88"/>
        <v>0</v>
      </c>
      <c r="AC181" s="156">
        <f t="shared" si="88"/>
        <v>0</v>
      </c>
      <c r="AD181" s="156">
        <f t="shared" si="88"/>
        <v>0</v>
      </c>
      <c r="AE181" s="156">
        <f t="shared" si="88"/>
        <v>0</v>
      </c>
      <c r="AF181" s="156">
        <f t="shared" si="88"/>
        <v>0</v>
      </c>
      <c r="AG181" s="156">
        <f t="shared" si="88"/>
        <v>0</v>
      </c>
      <c r="AH181" s="156">
        <f t="shared" si="88"/>
        <v>0</v>
      </c>
      <c r="AI181" s="156">
        <f t="shared" si="88"/>
        <v>0</v>
      </c>
      <c r="AJ181" s="156">
        <f t="shared" si="88"/>
        <v>0</v>
      </c>
      <c r="AK181" s="156">
        <f t="shared" si="88"/>
        <v>0</v>
      </c>
      <c r="AL181" s="156">
        <f t="shared" si="88"/>
        <v>0</v>
      </c>
      <c r="AM181" s="156">
        <f t="shared" si="88"/>
        <v>0</v>
      </c>
      <c r="AN181" s="156">
        <f t="shared" si="88"/>
        <v>0</v>
      </c>
      <c r="AO181" s="156">
        <f t="shared" si="88"/>
        <v>0</v>
      </c>
    </row>
    <row r="183" spans="8:41" x14ac:dyDescent="0.25">
      <c r="Z183" s="12"/>
    </row>
    <row r="185" spans="8:41" x14ac:dyDescent="0.25">
      <c r="X185" t="s">
        <v>210</v>
      </c>
      <c r="Y185">
        <f>SUM(K18:Z18)/$D$12</f>
        <v>99.349745203725561</v>
      </c>
    </row>
    <row r="186" spans="8:41" x14ac:dyDescent="0.25">
      <c r="X186" t="s">
        <v>211</v>
      </c>
      <c r="Y186">
        <f>SUM(K19:Z19)/$D$12</f>
        <v>483.72919519918258</v>
      </c>
    </row>
    <row r="187" spans="8:41" x14ac:dyDescent="0.25">
      <c r="X187" t="s">
        <v>212</v>
      </c>
      <c r="Y187">
        <f>SUM(K20:Z20)/$D$12</f>
        <v>6.8134705210215394</v>
      </c>
    </row>
  </sheetData>
  <mergeCells count="1">
    <mergeCell ref="B7:E7"/>
  </mergeCells>
  <pageMargins left="0.38" right="0.31" top="0.39" bottom="0.39" header="0.3" footer="0.3"/>
  <pageSetup scale="60" fitToWidth="0" orientation="landscape" r:id="rId1"/>
  <colBreaks count="2" manualBreakCount="2">
    <brk id="6" min="9" max="81" man="1"/>
    <brk id="19" min="9" max="81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CEEB6-8585-43AA-AD39-200C22018023}">
  <dimension ref="A1:X91"/>
  <sheetViews>
    <sheetView workbookViewId="0"/>
  </sheetViews>
  <sheetFormatPr defaultRowHeight="13.2" x14ac:dyDescent="0.25"/>
  <cols>
    <col min="1" max="1" width="36.88671875" customWidth="1"/>
    <col min="3" max="3" width="12" customWidth="1"/>
    <col min="6" max="6" width="9.44140625" bestFit="1" customWidth="1"/>
    <col min="24" max="24" width="13.109375" bestFit="1" customWidth="1"/>
  </cols>
  <sheetData>
    <row r="1" spans="1:6" x14ac:dyDescent="0.25">
      <c r="A1" s="2" t="s">
        <v>38</v>
      </c>
      <c r="B1" s="2"/>
      <c r="C1" s="2"/>
      <c r="D1" t="s">
        <v>217</v>
      </c>
    </row>
    <row r="2" spans="1:6" x14ac:dyDescent="0.25">
      <c r="A2" s="33" t="s">
        <v>40</v>
      </c>
      <c r="C2">
        <f>2000*2.47105</f>
        <v>4942.1000000000004</v>
      </c>
      <c r="D2">
        <f>C2/2.471</f>
        <v>2000.0404694455688</v>
      </c>
    </row>
    <row r="3" spans="1:6" x14ac:dyDescent="0.25">
      <c r="A3" s="33" t="s">
        <v>42</v>
      </c>
      <c r="C3" s="38">
        <v>1000</v>
      </c>
    </row>
    <row r="4" spans="1:6" x14ac:dyDescent="0.25">
      <c r="A4" s="33" t="s">
        <v>47</v>
      </c>
      <c r="B4" s="42">
        <v>0.01</v>
      </c>
      <c r="C4" s="43">
        <v>49421</v>
      </c>
    </row>
    <row r="5" spans="1:6" x14ac:dyDescent="0.25">
      <c r="A5" s="33" t="s">
        <v>49</v>
      </c>
      <c r="B5" s="42">
        <v>0.01</v>
      </c>
      <c r="C5" s="43">
        <v>49421</v>
      </c>
      <c r="E5" t="s">
        <v>215</v>
      </c>
      <c r="F5" t="s">
        <v>216</v>
      </c>
    </row>
    <row r="6" spans="1:6" x14ac:dyDescent="0.25">
      <c r="A6" s="44" t="s">
        <v>51</v>
      </c>
      <c r="B6" s="45">
        <v>2.5000000000000001E-2</v>
      </c>
      <c r="C6" s="46">
        <v>123552.5</v>
      </c>
      <c r="D6" t="s">
        <v>214</v>
      </c>
      <c r="E6" s="12">
        <f>SUM(C4:C6)</f>
        <v>222394.5</v>
      </c>
      <c r="F6" s="118">
        <f>E6/2000</f>
        <v>111.19725</v>
      </c>
    </row>
    <row r="7" spans="1:6" x14ac:dyDescent="0.25">
      <c r="A7" s="49" t="s">
        <v>53</v>
      </c>
      <c r="B7" s="50"/>
      <c r="C7" s="51">
        <v>5164494.5</v>
      </c>
      <c r="F7" s="118">
        <f>C7/2000</f>
        <v>2582.2472499999999</v>
      </c>
    </row>
    <row r="8" spans="1:6" x14ac:dyDescent="0.25">
      <c r="A8" s="54" t="s">
        <v>55</v>
      </c>
      <c r="B8" s="55"/>
      <c r="C8" s="56">
        <v>1045</v>
      </c>
    </row>
    <row r="10" spans="1:6" x14ac:dyDescent="0.25">
      <c r="A10" s="2" t="s">
        <v>57</v>
      </c>
      <c r="B10" s="2"/>
      <c r="C10" s="2"/>
    </row>
    <row r="11" spans="1:6" x14ac:dyDescent="0.25">
      <c r="A11" t="s">
        <v>59</v>
      </c>
      <c r="B11" s="157">
        <v>2.5000000000000001E-2</v>
      </c>
      <c r="C11" t="s">
        <v>60</v>
      </c>
    </row>
    <row r="12" spans="1:6" x14ac:dyDescent="0.25">
      <c r="A12" t="s">
        <v>61</v>
      </c>
      <c r="B12" s="158">
        <v>1.4999999999999999E-2</v>
      </c>
    </row>
    <row r="13" spans="1:6" x14ac:dyDescent="0.25">
      <c r="A13" t="s">
        <v>63</v>
      </c>
      <c r="B13" s="157">
        <v>0.01</v>
      </c>
      <c r="C13" t="s">
        <v>64</v>
      </c>
    </row>
    <row r="14" spans="1:6" x14ac:dyDescent="0.25">
      <c r="C14" s="118"/>
    </row>
    <row r="15" spans="1:6" x14ac:dyDescent="0.25">
      <c r="A15" s="2" t="s">
        <v>65</v>
      </c>
      <c r="B15" s="2"/>
      <c r="C15" s="2"/>
    </row>
    <row r="16" spans="1:6" x14ac:dyDescent="0.25">
      <c r="A16" t="s">
        <v>67</v>
      </c>
      <c r="B16" s="158">
        <v>0.17169999999999999</v>
      </c>
      <c r="C16" s="12">
        <v>886743.70565000002</v>
      </c>
    </row>
    <row r="17" spans="1:4" x14ac:dyDescent="0.25">
      <c r="A17" t="s">
        <v>69</v>
      </c>
      <c r="B17" s="158">
        <v>0.34983110047846894</v>
      </c>
      <c r="C17" s="12">
        <v>1806700.7943500001</v>
      </c>
    </row>
    <row r="18" spans="1:4" x14ac:dyDescent="0.25">
      <c r="A18" t="s">
        <v>70</v>
      </c>
      <c r="B18" s="158">
        <v>0.4784688995215311</v>
      </c>
      <c r="C18" s="12">
        <v>2471050</v>
      </c>
    </row>
    <row r="19" spans="1:4" x14ac:dyDescent="0.25">
      <c r="A19" t="s">
        <v>213</v>
      </c>
      <c r="B19" s="157">
        <v>1</v>
      </c>
      <c r="C19" s="12">
        <v>5164494.5</v>
      </c>
    </row>
    <row r="21" spans="1:4" x14ac:dyDescent="0.25">
      <c r="A21" s="2" t="s">
        <v>44</v>
      </c>
      <c r="B21" s="2" t="s">
        <v>75</v>
      </c>
      <c r="C21" s="2"/>
    </row>
    <row r="22" spans="1:4" x14ac:dyDescent="0.25">
      <c r="A22" t="s">
        <v>77</v>
      </c>
      <c r="B22" s="158">
        <v>0.5</v>
      </c>
    </row>
    <row r="23" spans="1:4" x14ac:dyDescent="0.25">
      <c r="A23" t="s">
        <v>78</v>
      </c>
      <c r="B23" s="157">
        <v>1</v>
      </c>
    </row>
    <row r="25" spans="1:4" x14ac:dyDescent="0.25">
      <c r="A25" s="2" t="s">
        <v>85</v>
      </c>
      <c r="B25" s="2" t="s">
        <v>86</v>
      </c>
      <c r="C25" s="2" t="s">
        <v>87</v>
      </c>
      <c r="D25" s="2" t="s">
        <v>88</v>
      </c>
    </row>
    <row r="26" spans="1:4" x14ac:dyDescent="0.25">
      <c r="A26" t="s">
        <v>90</v>
      </c>
      <c r="B26">
        <v>3.5</v>
      </c>
      <c r="C26" t="s">
        <v>91</v>
      </c>
      <c r="D26" t="s">
        <v>92</v>
      </c>
    </row>
    <row r="27" spans="1:4" x14ac:dyDescent="0.25">
      <c r="A27" t="s">
        <v>93</v>
      </c>
      <c r="B27">
        <v>2</v>
      </c>
      <c r="C27" t="s">
        <v>91</v>
      </c>
      <c r="D27" t="s">
        <v>92</v>
      </c>
    </row>
    <row r="28" spans="1:4" x14ac:dyDescent="0.25">
      <c r="A28" t="s">
        <v>94</v>
      </c>
      <c r="B28">
        <v>1.45</v>
      </c>
      <c r="C28" t="s">
        <v>91</v>
      </c>
      <c r="D28" t="s">
        <v>92</v>
      </c>
    </row>
    <row r="29" spans="1:4" x14ac:dyDescent="0.25">
      <c r="A29" t="s">
        <v>95</v>
      </c>
      <c r="B29">
        <v>1.25</v>
      </c>
      <c r="C29" t="s">
        <v>91</v>
      </c>
      <c r="D29" t="s">
        <v>92</v>
      </c>
    </row>
    <row r="31" spans="1:4" x14ac:dyDescent="0.25">
      <c r="A31" s="2" t="s">
        <v>74</v>
      </c>
      <c r="B31" s="81" t="s">
        <v>86</v>
      </c>
      <c r="C31" s="81" t="s">
        <v>87</v>
      </c>
      <c r="D31" s="29"/>
    </row>
    <row r="32" spans="1:4" x14ac:dyDescent="0.25">
      <c r="A32" s="33" t="s">
        <v>106</v>
      </c>
      <c r="B32" s="100">
        <v>150</v>
      </c>
      <c r="C32" s="85" t="s">
        <v>91</v>
      </c>
      <c r="D32" s="34"/>
    </row>
    <row r="33" spans="1:4" x14ac:dyDescent="0.25">
      <c r="A33" s="33" t="s">
        <v>110</v>
      </c>
      <c r="B33" s="100">
        <v>125</v>
      </c>
      <c r="C33" s="85" t="s">
        <v>91</v>
      </c>
      <c r="D33" s="34"/>
    </row>
    <row r="34" spans="1:4" x14ac:dyDescent="0.25">
      <c r="A34" s="33" t="s">
        <v>113</v>
      </c>
      <c r="B34" s="100">
        <v>650</v>
      </c>
      <c r="C34" s="85" t="s">
        <v>91</v>
      </c>
      <c r="D34" s="34"/>
    </row>
    <row r="35" spans="1:4" x14ac:dyDescent="0.25">
      <c r="A35" s="33" t="s">
        <v>115</v>
      </c>
      <c r="B35" s="100">
        <v>0.25</v>
      </c>
      <c r="C35" s="85" t="s">
        <v>116</v>
      </c>
      <c r="D35" s="34"/>
    </row>
    <row r="36" spans="1:4" x14ac:dyDescent="0.25">
      <c r="D36" s="34"/>
    </row>
    <row r="37" spans="1:4" x14ac:dyDescent="0.25">
      <c r="A37" s="2" t="s">
        <v>119</v>
      </c>
      <c r="B37" s="81"/>
      <c r="C37" s="81"/>
      <c r="D37" s="29"/>
    </row>
    <row r="38" spans="1:4" x14ac:dyDescent="0.25">
      <c r="A38" s="33" t="s">
        <v>121</v>
      </c>
      <c r="B38" s="42">
        <v>0</v>
      </c>
      <c r="C38" s="67"/>
      <c r="D38" s="34"/>
    </row>
    <row r="39" spans="1:4" x14ac:dyDescent="0.25">
      <c r="A39" s="57"/>
      <c r="B39" s="109"/>
      <c r="C39" s="12"/>
    </row>
    <row r="40" spans="1:4" x14ac:dyDescent="0.25">
      <c r="A40" s="2" t="s">
        <v>123</v>
      </c>
      <c r="B40" s="81"/>
      <c r="C40" s="81"/>
      <c r="D40" s="29"/>
    </row>
    <row r="41" spans="1:4" x14ac:dyDescent="0.25">
      <c r="A41" s="33" t="s">
        <v>125</v>
      </c>
      <c r="B41" s="97">
        <v>0.17</v>
      </c>
      <c r="C41" s="67">
        <v>877964.06500000006</v>
      </c>
      <c r="D41" s="34"/>
    </row>
    <row r="42" spans="1:4" x14ac:dyDescent="0.25">
      <c r="A42" s="33" t="s">
        <v>127</v>
      </c>
      <c r="B42" s="110">
        <v>3</v>
      </c>
      <c r="C42" s="34"/>
      <c r="D42" s="34"/>
    </row>
    <row r="43" spans="1:4" x14ac:dyDescent="0.25">
      <c r="A43" s="33" t="s">
        <v>129</v>
      </c>
      <c r="B43" s="111">
        <v>0.02</v>
      </c>
      <c r="C43" s="34"/>
      <c r="D43" s="34"/>
    </row>
    <row r="44" spans="1:4" x14ac:dyDescent="0.25">
      <c r="A44" s="33" t="s">
        <v>131</v>
      </c>
      <c r="B44" s="110">
        <v>7</v>
      </c>
      <c r="C44" s="34"/>
      <c r="D44" s="34"/>
    </row>
    <row r="45" spans="1:4" x14ac:dyDescent="0.25">
      <c r="A45" s="33" t="s">
        <v>132</v>
      </c>
      <c r="B45" s="110">
        <v>4</v>
      </c>
      <c r="C45" s="34"/>
      <c r="D45" s="34"/>
    </row>
    <row r="46" spans="1:4" x14ac:dyDescent="0.25">
      <c r="A46" s="33" t="s">
        <v>134</v>
      </c>
      <c r="B46" s="42">
        <v>0.01</v>
      </c>
      <c r="C46" s="67">
        <v>8779.6406500000012</v>
      </c>
      <c r="D46" s="34"/>
    </row>
    <row r="48" spans="1:4" x14ac:dyDescent="0.25">
      <c r="A48" s="2" t="s">
        <v>140</v>
      </c>
      <c r="B48" s="81"/>
      <c r="C48" s="81"/>
    </row>
    <row r="49" spans="1:22" x14ac:dyDescent="0.25">
      <c r="A49" s="33" t="s">
        <v>141</v>
      </c>
      <c r="B49" s="42">
        <v>0.01</v>
      </c>
      <c r="C49" s="34"/>
    </row>
    <row r="50" spans="1:22" x14ac:dyDescent="0.25">
      <c r="A50" s="33" t="s">
        <v>143</v>
      </c>
      <c r="B50" s="42">
        <v>0</v>
      </c>
      <c r="C50" s="34"/>
    </row>
    <row r="51" spans="1:22" x14ac:dyDescent="0.25">
      <c r="A51" s="33" t="s">
        <v>145</v>
      </c>
      <c r="C51" s="125">
        <v>2.5000000000000001E-2</v>
      </c>
    </row>
    <row r="52" spans="1:22" x14ac:dyDescent="0.25">
      <c r="A52" s="33" t="s">
        <v>146</v>
      </c>
      <c r="B52" s="85" t="s">
        <v>147</v>
      </c>
      <c r="C52" s="34"/>
    </row>
    <row r="54" spans="1:22" x14ac:dyDescent="0.25">
      <c r="A54" s="2" t="s">
        <v>6</v>
      </c>
      <c r="B54" s="81"/>
    </row>
    <row r="55" spans="1:22" x14ac:dyDescent="0.25">
      <c r="A55" s="33" t="s">
        <v>150</v>
      </c>
      <c r="B55" s="110">
        <v>15</v>
      </c>
    </row>
    <row r="56" spans="1:22" x14ac:dyDescent="0.25">
      <c r="A56" s="33" t="s">
        <v>151</v>
      </c>
      <c r="B56" s="42">
        <v>0.06</v>
      </c>
    </row>
    <row r="57" spans="1:22" x14ac:dyDescent="0.25">
      <c r="A57" s="33" t="s">
        <v>152</v>
      </c>
      <c r="B57" s="42">
        <v>0.6</v>
      </c>
    </row>
    <row r="58" spans="1:22" x14ac:dyDescent="0.25">
      <c r="A58" s="33" t="s">
        <v>153</v>
      </c>
      <c r="B58" s="42">
        <v>0.5</v>
      </c>
    </row>
    <row r="59" spans="1:22" x14ac:dyDescent="0.25">
      <c r="A59" s="33" t="s">
        <v>154</v>
      </c>
      <c r="B59" s="42">
        <v>0.05</v>
      </c>
    </row>
    <row r="60" spans="1:22" x14ac:dyDescent="0.25">
      <c r="A60" s="33" t="s">
        <v>156</v>
      </c>
      <c r="B60" s="42">
        <v>0.01</v>
      </c>
    </row>
    <row r="62" spans="1:22" x14ac:dyDescent="0.25">
      <c r="A62" s="2" t="s">
        <v>197</v>
      </c>
      <c r="B62" s="143"/>
      <c r="C62" s="143"/>
      <c r="D62" s="2"/>
      <c r="E62" s="32">
        <v>1</v>
      </c>
      <c r="F62" s="32">
        <v>2</v>
      </c>
      <c r="G62" s="32">
        <v>3</v>
      </c>
      <c r="H62" s="32">
        <v>4</v>
      </c>
      <c r="I62" s="32">
        <v>5</v>
      </c>
      <c r="J62" s="32">
        <v>6</v>
      </c>
      <c r="K62" s="32">
        <v>7</v>
      </c>
      <c r="L62" s="32">
        <v>8</v>
      </c>
      <c r="M62" s="32">
        <v>9</v>
      </c>
      <c r="N62" s="32">
        <v>10</v>
      </c>
      <c r="O62" s="32">
        <v>11</v>
      </c>
      <c r="P62" s="32">
        <v>12</v>
      </c>
      <c r="Q62" s="32">
        <v>13</v>
      </c>
      <c r="R62" s="32">
        <v>14</v>
      </c>
      <c r="S62" s="32">
        <v>15</v>
      </c>
      <c r="T62" t="s">
        <v>213</v>
      </c>
      <c r="U62" t="s">
        <v>64</v>
      </c>
      <c r="V62" t="s">
        <v>218</v>
      </c>
    </row>
    <row r="63" spans="1:22" x14ac:dyDescent="0.25">
      <c r="A63" s="40" t="s">
        <v>198</v>
      </c>
      <c r="B63" s="40"/>
      <c r="C63" s="144" t="s">
        <v>199</v>
      </c>
      <c r="D63" s="144"/>
      <c r="E63" s="144"/>
      <c r="F63" s="145">
        <v>0.03</v>
      </c>
      <c r="G63" s="146">
        <v>0.03</v>
      </c>
      <c r="H63" s="146">
        <v>0.03</v>
      </c>
      <c r="I63" s="146">
        <v>0.03</v>
      </c>
      <c r="J63" s="146">
        <v>0.03</v>
      </c>
      <c r="K63" s="146">
        <v>0.03</v>
      </c>
      <c r="L63" s="146">
        <v>0.03</v>
      </c>
      <c r="M63" s="146">
        <v>0.03</v>
      </c>
      <c r="N63" s="146">
        <v>0.03</v>
      </c>
      <c r="O63" s="146">
        <v>0.03</v>
      </c>
      <c r="P63" s="146">
        <v>0.03</v>
      </c>
      <c r="Q63" s="146">
        <v>0.03</v>
      </c>
      <c r="R63" s="146">
        <v>0.03</v>
      </c>
      <c r="S63" s="146">
        <v>0.03</v>
      </c>
    </row>
    <row r="64" spans="1:22" x14ac:dyDescent="0.25">
      <c r="B64" s="57" t="s">
        <v>200</v>
      </c>
      <c r="E64" s="27">
        <v>3.625</v>
      </c>
      <c r="F64" s="27">
        <v>3.7</v>
      </c>
      <c r="G64" s="27">
        <v>3.77</v>
      </c>
      <c r="H64" s="27">
        <v>3.8449999999999998</v>
      </c>
      <c r="I64" s="27">
        <v>3.92</v>
      </c>
      <c r="J64" s="27">
        <v>4</v>
      </c>
      <c r="K64" s="27">
        <v>4.0750000000000002</v>
      </c>
      <c r="L64" s="27">
        <v>1.59</v>
      </c>
      <c r="M64" s="27">
        <v>0.90500000000000003</v>
      </c>
      <c r="N64" s="27">
        <v>0.92500000000000004</v>
      </c>
      <c r="O64" s="27">
        <v>0.93710000000000004</v>
      </c>
      <c r="P64" s="27">
        <v>0.94599</v>
      </c>
      <c r="Q64" s="27">
        <v>0.96106999999999998</v>
      </c>
      <c r="R64" s="27">
        <v>0.97638999999999998</v>
      </c>
      <c r="S64" s="27">
        <v>0.99195</v>
      </c>
      <c r="T64" s="118">
        <f>SUM(E64:S64)</f>
        <v>35.167500000000004</v>
      </c>
      <c r="U64" s="118">
        <f>T64/15</f>
        <v>2.3445000000000005</v>
      </c>
      <c r="V64" s="118">
        <f>U64*2.47105</f>
        <v>5.7933767250000008</v>
      </c>
    </row>
    <row r="65" spans="1:24" x14ac:dyDescent="0.25">
      <c r="B65" s="57" t="s">
        <v>201</v>
      </c>
      <c r="E65" s="147">
        <v>6</v>
      </c>
      <c r="F65" s="27">
        <v>7.2215999999999996</v>
      </c>
      <c r="G65" s="27">
        <v>7.3660320000000006</v>
      </c>
      <c r="H65" s="27">
        <v>7.5133526400000008</v>
      </c>
      <c r="I65" s="27">
        <v>7.6636196928000011</v>
      </c>
      <c r="J65" s="27">
        <v>7.8168920866560017</v>
      </c>
      <c r="K65" s="27">
        <v>7.9732299283891219</v>
      </c>
      <c r="L65" s="27">
        <v>8.1326945269569038</v>
      </c>
      <c r="M65" s="27">
        <v>8.2953484174960419</v>
      </c>
      <c r="N65" s="27">
        <v>8.4612553858459627</v>
      </c>
      <c r="O65" s="27">
        <v>8.6304804935628816</v>
      </c>
      <c r="P65" s="27">
        <v>8.8030901034341387</v>
      </c>
      <c r="Q65" s="27">
        <v>8.9791519055028211</v>
      </c>
      <c r="R65" s="27">
        <v>9.1587349436128775</v>
      </c>
      <c r="S65" s="27">
        <v>9.3419096424851347</v>
      </c>
    </row>
    <row r="66" spans="1:24" x14ac:dyDescent="0.25">
      <c r="B66" s="57" t="s">
        <v>202</v>
      </c>
      <c r="E66" s="148">
        <v>0.19370000000000001</v>
      </c>
      <c r="F66" s="149">
        <v>0.19370000000000001</v>
      </c>
      <c r="G66" s="149">
        <v>0.19370000000000001</v>
      </c>
      <c r="H66" s="149">
        <v>0.19370000000000001</v>
      </c>
      <c r="I66" s="149">
        <v>0.19370000000000001</v>
      </c>
      <c r="J66" s="149">
        <v>0.19370000000000001</v>
      </c>
      <c r="K66" s="149">
        <v>0.19370000000000001</v>
      </c>
      <c r="L66" s="149">
        <v>0.19370000000000001</v>
      </c>
      <c r="M66" s="149">
        <v>0.19370000000000001</v>
      </c>
      <c r="N66" s="149">
        <v>0.19370000000000001</v>
      </c>
      <c r="O66" s="149">
        <v>0.19370000000000001</v>
      </c>
      <c r="P66" s="149">
        <v>0.19370000000000001</v>
      </c>
      <c r="Q66" s="149">
        <v>0.19370000000000001</v>
      </c>
      <c r="R66" s="149">
        <v>0.19370000000000001</v>
      </c>
      <c r="S66" s="149">
        <v>0.19370000000000001</v>
      </c>
    </row>
    <row r="67" spans="1:24" x14ac:dyDescent="0.25">
      <c r="A67" s="40" t="s">
        <v>203</v>
      </c>
      <c r="D67" s="57" t="s">
        <v>190</v>
      </c>
    </row>
    <row r="68" spans="1:24" x14ac:dyDescent="0.25">
      <c r="B68" s="57" t="s">
        <v>200</v>
      </c>
      <c r="E68" s="27">
        <v>3.625</v>
      </c>
      <c r="F68" s="27">
        <v>3.7</v>
      </c>
      <c r="G68" s="27">
        <v>3.77</v>
      </c>
      <c r="H68" s="27">
        <v>3.8449999999999998</v>
      </c>
      <c r="I68" s="27">
        <v>3.92</v>
      </c>
      <c r="J68" s="27">
        <v>4</v>
      </c>
      <c r="K68" s="27">
        <v>4.0750000000000002</v>
      </c>
      <c r="L68" s="27">
        <v>1.59</v>
      </c>
      <c r="M68" s="27">
        <v>0.90500000000000003</v>
      </c>
      <c r="N68" s="27">
        <v>0.92500000000000004</v>
      </c>
      <c r="O68" s="27">
        <v>0.93710000000000004</v>
      </c>
      <c r="P68" s="27">
        <v>0.94599</v>
      </c>
      <c r="Q68" s="27">
        <v>0.96106999999999998</v>
      </c>
      <c r="R68" s="27">
        <v>0.97638999999999998</v>
      </c>
      <c r="S68" s="27">
        <v>0.99195</v>
      </c>
    </row>
    <row r="69" spans="1:24" x14ac:dyDescent="0.25">
      <c r="B69" s="57" t="s">
        <v>201</v>
      </c>
      <c r="E69" s="27">
        <v>9.5</v>
      </c>
      <c r="F69" s="27">
        <v>10.07</v>
      </c>
      <c r="G69" s="27">
        <v>10.674200000000001</v>
      </c>
      <c r="H69" s="27">
        <v>11.314652000000001</v>
      </c>
      <c r="I69" s="27">
        <v>11.993531120000002</v>
      </c>
      <c r="J69" s="27">
        <v>12.713142987200003</v>
      </c>
      <c r="K69" s="27">
        <v>13.475931566432005</v>
      </c>
      <c r="L69" s="27">
        <v>14.284487460417926</v>
      </c>
      <c r="M69" s="27">
        <v>15.141556708043003</v>
      </c>
      <c r="N69" s="27">
        <v>16.050050110525586</v>
      </c>
      <c r="O69" s="27">
        <v>17.013053117157121</v>
      </c>
      <c r="P69" s="27">
        <v>18.033836304186547</v>
      </c>
      <c r="Q69" s="27">
        <v>19.115866482437742</v>
      </c>
      <c r="R69" s="27">
        <v>20.262818471384008</v>
      </c>
      <c r="S69" s="27">
        <v>21.47858757966705</v>
      </c>
    </row>
    <row r="70" spans="1:24" x14ac:dyDescent="0.25">
      <c r="B70" s="57" t="s">
        <v>202</v>
      </c>
      <c r="E70" s="148">
        <v>0.15</v>
      </c>
      <c r="F70" s="149">
        <v>0.15</v>
      </c>
      <c r="G70" s="149">
        <v>0.15</v>
      </c>
      <c r="H70" s="149">
        <v>0.15</v>
      </c>
      <c r="I70" s="149">
        <v>0.15</v>
      </c>
      <c r="J70" s="149">
        <v>0.15</v>
      </c>
      <c r="K70" s="149">
        <v>0.15</v>
      </c>
      <c r="L70" s="149">
        <v>0.15</v>
      </c>
      <c r="M70" s="149">
        <v>0.15</v>
      </c>
      <c r="N70" s="149">
        <v>0.15</v>
      </c>
      <c r="O70" s="149">
        <v>0.15</v>
      </c>
      <c r="P70" s="149">
        <v>0.15</v>
      </c>
      <c r="Q70" s="149">
        <v>0.15</v>
      </c>
      <c r="R70" s="149">
        <v>0.15</v>
      </c>
      <c r="S70" s="149">
        <v>0.15</v>
      </c>
    </row>
    <row r="71" spans="1:24" x14ac:dyDescent="0.25">
      <c r="A71" s="40" t="s">
        <v>204</v>
      </c>
      <c r="B71" s="57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</row>
    <row r="72" spans="1:24" x14ac:dyDescent="0.25">
      <c r="B72" s="57" t="s">
        <v>200</v>
      </c>
      <c r="E72" s="27">
        <v>3.625</v>
      </c>
      <c r="F72" s="27">
        <v>3.7</v>
      </c>
      <c r="G72" s="27">
        <v>3.77</v>
      </c>
      <c r="H72" s="27">
        <v>3.8449999999999998</v>
      </c>
      <c r="I72" s="27">
        <v>3.92</v>
      </c>
      <c r="J72" s="27">
        <v>4</v>
      </c>
      <c r="K72" s="27">
        <v>4.0750000000000002</v>
      </c>
      <c r="L72" s="27">
        <v>1.59</v>
      </c>
      <c r="M72" s="27">
        <v>0.90500000000000003</v>
      </c>
      <c r="N72" s="27">
        <v>0.92500000000000004</v>
      </c>
      <c r="O72" s="27">
        <v>0.93710000000000004</v>
      </c>
      <c r="P72" s="27">
        <v>0.94599</v>
      </c>
      <c r="Q72" s="27">
        <v>0.96106999999999998</v>
      </c>
      <c r="R72" s="27">
        <v>0.97638999999999998</v>
      </c>
      <c r="S72" s="27">
        <v>0.99195</v>
      </c>
    </row>
    <row r="73" spans="1:24" x14ac:dyDescent="0.25">
      <c r="B73" s="57" t="s">
        <v>201</v>
      </c>
      <c r="E73" s="27">
        <v>6</v>
      </c>
      <c r="F73" s="27">
        <v>6.1349999999999998</v>
      </c>
      <c r="G73" s="27">
        <v>6.2730374999999992</v>
      </c>
      <c r="H73" s="27">
        <v>6.4141808437499988</v>
      </c>
      <c r="I73" s="27">
        <v>6.5584999127343737</v>
      </c>
      <c r="J73" s="27">
        <v>6.7060661607708969</v>
      </c>
      <c r="K73" s="27">
        <v>6.8569526493882416</v>
      </c>
      <c r="L73" s="27">
        <v>7.0112340839994767</v>
      </c>
      <c r="M73" s="27">
        <v>7.168986850889465</v>
      </c>
      <c r="N73" s="27">
        <v>7.3302890550344779</v>
      </c>
      <c r="O73" s="27">
        <v>7.4952205587727532</v>
      </c>
      <c r="P73" s="27">
        <v>7.66386302134514</v>
      </c>
      <c r="Q73" s="27">
        <v>7.8362999393254054</v>
      </c>
      <c r="R73" s="27">
        <v>8.012616687960227</v>
      </c>
      <c r="S73" s="27">
        <v>8.1929005634393324</v>
      </c>
    </row>
    <row r="74" spans="1:24" x14ac:dyDescent="0.25">
      <c r="B74" s="57" t="s">
        <v>202</v>
      </c>
      <c r="E74" s="148">
        <v>0.2</v>
      </c>
      <c r="F74" s="149">
        <v>0.2</v>
      </c>
      <c r="G74" s="149">
        <v>0.2</v>
      </c>
      <c r="H74" s="149">
        <v>0.2</v>
      </c>
      <c r="I74" s="149">
        <v>0.2</v>
      </c>
      <c r="J74" s="149">
        <v>0.2</v>
      </c>
      <c r="K74" s="149">
        <v>0.2</v>
      </c>
      <c r="L74" s="149">
        <v>0.2</v>
      </c>
      <c r="M74" s="149">
        <v>0.2</v>
      </c>
      <c r="N74" s="149">
        <v>0.2</v>
      </c>
      <c r="O74" s="149">
        <v>0.2</v>
      </c>
      <c r="P74" s="149">
        <v>0.2</v>
      </c>
      <c r="Q74" s="149">
        <v>0.2</v>
      </c>
      <c r="R74" s="149">
        <v>0.2</v>
      </c>
      <c r="S74" s="149">
        <v>0.2</v>
      </c>
    </row>
    <row r="76" spans="1:24" x14ac:dyDescent="0.25">
      <c r="A76" s="2" t="s">
        <v>205</v>
      </c>
      <c r="B76" s="143"/>
      <c r="C76" s="143"/>
      <c r="D76" s="2" t="s">
        <v>39</v>
      </c>
      <c r="E76" s="32">
        <v>1</v>
      </c>
      <c r="F76" s="32">
        <v>2</v>
      </c>
      <c r="G76" s="32">
        <v>3</v>
      </c>
      <c r="H76" s="32">
        <v>4</v>
      </c>
      <c r="I76" s="32">
        <v>5</v>
      </c>
      <c r="J76" s="32">
        <v>6</v>
      </c>
      <c r="K76" s="32">
        <v>7</v>
      </c>
      <c r="L76" s="32">
        <v>8</v>
      </c>
      <c r="M76" s="32">
        <v>9</v>
      </c>
      <c r="N76" s="32">
        <v>10</v>
      </c>
      <c r="O76" s="32">
        <v>11</v>
      </c>
      <c r="P76" s="32">
        <v>12</v>
      </c>
      <c r="Q76" s="32">
        <v>13</v>
      </c>
      <c r="R76" s="32">
        <v>14</v>
      </c>
      <c r="S76" s="32">
        <v>15</v>
      </c>
      <c r="T76" t="s">
        <v>221</v>
      </c>
      <c r="U76" t="s">
        <v>222</v>
      </c>
    </row>
    <row r="77" spans="1:24" x14ac:dyDescent="0.25">
      <c r="B77" s="35" t="s">
        <v>52</v>
      </c>
      <c r="C77" s="36"/>
      <c r="D77" s="36"/>
      <c r="E77" s="150">
        <v>57.566642578754497</v>
      </c>
      <c r="F77" s="150">
        <v>0</v>
      </c>
      <c r="G77" s="150">
        <v>0</v>
      </c>
      <c r="H77" s="150">
        <v>0</v>
      </c>
      <c r="I77" s="150">
        <v>0</v>
      </c>
      <c r="J77" s="150">
        <v>0</v>
      </c>
      <c r="K77" s="150">
        <v>0</v>
      </c>
      <c r="L77" s="150">
        <v>0</v>
      </c>
      <c r="M77" s="150">
        <v>0</v>
      </c>
      <c r="N77" s="150">
        <v>0</v>
      </c>
      <c r="O77" s="150">
        <v>24.308646898524785</v>
      </c>
      <c r="P77" s="150">
        <v>0</v>
      </c>
      <c r="Q77" s="150">
        <v>0</v>
      </c>
      <c r="R77" s="150">
        <v>0</v>
      </c>
      <c r="S77" s="150">
        <v>0</v>
      </c>
      <c r="V77" t="s">
        <v>219</v>
      </c>
      <c r="X77" t="s">
        <v>220</v>
      </c>
    </row>
    <row r="78" spans="1:24" x14ac:dyDescent="0.25">
      <c r="B78" s="35" t="s">
        <v>206</v>
      </c>
      <c r="C78" s="36"/>
      <c r="D78" s="151"/>
      <c r="E78" s="152">
        <v>29.271874999999998</v>
      </c>
      <c r="F78" s="152">
        <v>31.67015</v>
      </c>
      <c r="G78" s="152">
        <v>34.205473900000001</v>
      </c>
      <c r="H78" s="152">
        <v>36.979111398999997</v>
      </c>
      <c r="I78" s="152">
        <v>39.962445691840003</v>
      </c>
      <c r="J78" s="152">
        <v>43.224686156480011</v>
      </c>
      <c r="K78" s="152">
        <v>46.677257963228854</v>
      </c>
      <c r="L78" s="152">
        <v>19.30548480275483</v>
      </c>
      <c r="M78" s="152">
        <v>11.647642497662082</v>
      </c>
      <c r="N78" s="152">
        <v>12.619351899400742</v>
      </c>
      <c r="O78" s="152">
        <v>13.551492264674748</v>
      </c>
      <c r="P78" s="152">
        <v>14.500854484587816</v>
      </c>
      <c r="Q78" s="152">
        <v>15.615932930234974</v>
      </c>
      <c r="R78" s="152">
        <v>16.816751328183436</v>
      </c>
      <c r="S78" s="152">
        <v>18.109832207203119</v>
      </c>
      <c r="T78" s="118">
        <f>SUM(E78:S78)</f>
        <v>384.15834252525059</v>
      </c>
      <c r="U78" s="118">
        <f>T78*2.47105</f>
        <v>949.27447229702045</v>
      </c>
      <c r="V78">
        <f>T78/T64</f>
        <v>10.92367505581149</v>
      </c>
      <c r="X78" s="118">
        <f>U78*2000</f>
        <v>1898548.944594041</v>
      </c>
    </row>
    <row r="79" spans="1:24" x14ac:dyDescent="0.25">
      <c r="B79" s="35" t="s">
        <v>56</v>
      </c>
      <c r="C79" s="36"/>
      <c r="D79" s="36"/>
      <c r="E79" s="153">
        <v>0.29142857142857143</v>
      </c>
      <c r="F79" s="153">
        <v>0.29725714285714283</v>
      </c>
      <c r="G79" s="153">
        <v>0.3032022857142857</v>
      </c>
      <c r="H79" s="153">
        <v>0.30926633142857141</v>
      </c>
      <c r="I79" s="153">
        <v>0.31545165805714287</v>
      </c>
      <c r="J79" s="154">
        <v>0.32176069121828577</v>
      </c>
      <c r="K79" s="154">
        <v>0.32819590504265139</v>
      </c>
      <c r="L79" s="154">
        <v>0.33475982314350444</v>
      </c>
      <c r="M79" s="154">
        <v>0.34145501960637448</v>
      </c>
      <c r="N79" s="154">
        <v>0.34828411999850201</v>
      </c>
      <c r="O79" s="154">
        <v>0.35524980239847204</v>
      </c>
      <c r="P79" s="154">
        <v>0.36235479844644147</v>
      </c>
      <c r="Q79" s="154">
        <v>0.36960189441537022</v>
      </c>
      <c r="R79" s="154">
        <v>0.37699393230367778</v>
      </c>
      <c r="S79" s="154">
        <v>0.3845338109497512</v>
      </c>
    </row>
    <row r="81" spans="1:24" x14ac:dyDescent="0.25">
      <c r="B81" s="98" t="s">
        <v>207</v>
      </c>
      <c r="C81" s="98"/>
      <c r="D81" s="98"/>
      <c r="E81" s="155">
        <v>-16.809999999999999</v>
      </c>
      <c r="F81" s="155">
        <v>-17.488703749999996</v>
      </c>
      <c r="G81" s="155">
        <v>-18.194810163906244</v>
      </c>
      <c r="H81" s="155">
        <v>-18.92942562427395</v>
      </c>
      <c r="I81" s="155">
        <v>-19.69370118385401</v>
      </c>
      <c r="J81" s="155">
        <v>-20.488834369152116</v>
      </c>
      <c r="K81" s="155">
        <v>-21.316071056806624</v>
      </c>
      <c r="L81" s="155">
        <v>-22.176707425725191</v>
      </c>
      <c r="M81" s="155">
        <v>-23.072091988038842</v>
      </c>
      <c r="N81" s="155">
        <v>-24.003627702055905</v>
      </c>
      <c r="O81" s="155">
        <v>-24.972774170526407</v>
      </c>
      <c r="P81" s="155">
        <v>-25.981049927661402</v>
      </c>
      <c r="Q81" s="155">
        <v>-27.03003481849073</v>
      </c>
      <c r="R81" s="155">
        <v>-28.121372474287284</v>
      </c>
      <c r="S81" s="155">
        <v>-29.256772887936627</v>
      </c>
    </row>
    <row r="82" spans="1:24" x14ac:dyDescent="0.25">
      <c r="B82" s="98" t="s">
        <v>208</v>
      </c>
      <c r="C82" s="98"/>
      <c r="D82" s="98"/>
      <c r="E82" s="156">
        <v>70.319946150183057</v>
      </c>
      <c r="F82" s="156">
        <v>14.478703392857145</v>
      </c>
      <c r="G82" s="156">
        <v>16.313866021808042</v>
      </c>
      <c r="H82" s="156">
        <v>18.358952106154621</v>
      </c>
      <c r="I82" s="156">
        <v>20.584196166043135</v>
      </c>
      <c r="J82" s="156">
        <v>23.057612478546183</v>
      </c>
      <c r="K82" s="156">
        <v>25.689382811464878</v>
      </c>
      <c r="L82" s="156">
        <v>-2.5364627998268574</v>
      </c>
      <c r="M82" s="156">
        <v>-11.082994470770386</v>
      </c>
      <c r="N82" s="156">
        <v>-11.035991682656661</v>
      </c>
      <c r="O82" s="156">
        <v>13.242614795071603</v>
      </c>
      <c r="P82" s="156">
        <v>-11.117840644627146</v>
      </c>
      <c r="Q82" s="156">
        <v>-11.044499993840386</v>
      </c>
      <c r="R82" s="156">
        <v>-10.927627213800172</v>
      </c>
      <c r="S82" s="156">
        <v>-10.762406869783756</v>
      </c>
    </row>
    <row r="85" spans="1:24" x14ac:dyDescent="0.25">
      <c r="A85" s="2" t="s">
        <v>209</v>
      </c>
      <c r="B85" s="143"/>
      <c r="C85" s="143"/>
      <c r="D85" s="2" t="s">
        <v>39</v>
      </c>
      <c r="E85" s="32">
        <v>1</v>
      </c>
      <c r="F85" s="32">
        <v>2</v>
      </c>
      <c r="G85" s="32">
        <v>3</v>
      </c>
      <c r="H85" s="32">
        <v>4</v>
      </c>
      <c r="I85" s="32">
        <v>5</v>
      </c>
      <c r="J85" s="32">
        <v>6</v>
      </c>
      <c r="K85" s="32">
        <v>7</v>
      </c>
      <c r="L85" s="32">
        <v>8</v>
      </c>
      <c r="M85" s="32">
        <v>9</v>
      </c>
      <c r="N85" s="32">
        <v>10</v>
      </c>
      <c r="O85" s="32">
        <v>11</v>
      </c>
      <c r="P85" s="32">
        <v>12</v>
      </c>
      <c r="Q85" s="32">
        <v>13</v>
      </c>
      <c r="R85" s="32">
        <v>14</v>
      </c>
      <c r="S85" s="32">
        <v>15</v>
      </c>
      <c r="X85" t="s">
        <v>223</v>
      </c>
    </row>
    <row r="86" spans="1:24" x14ac:dyDescent="0.25">
      <c r="B86" s="35" t="s">
        <v>52</v>
      </c>
      <c r="C86" s="36"/>
      <c r="D86" s="36"/>
      <c r="E86" s="128">
        <v>57.566642578754497</v>
      </c>
      <c r="F86" s="128">
        <v>0</v>
      </c>
      <c r="G86" s="128">
        <v>0</v>
      </c>
      <c r="H86" s="128">
        <v>0</v>
      </c>
      <c r="I86" s="128">
        <v>0</v>
      </c>
      <c r="J86" s="128">
        <v>0</v>
      </c>
      <c r="K86" s="128">
        <v>0</v>
      </c>
      <c r="L86" s="128">
        <v>0</v>
      </c>
      <c r="M86" s="128">
        <v>0</v>
      </c>
      <c r="N86" s="128">
        <v>0</v>
      </c>
      <c r="O86" s="128">
        <v>24.308646898524785</v>
      </c>
      <c r="P86" s="128">
        <v>0</v>
      </c>
      <c r="Q86" s="128">
        <v>0</v>
      </c>
      <c r="R86" s="128">
        <v>0</v>
      </c>
      <c r="S86" s="128">
        <v>0</v>
      </c>
      <c r="T86" s="118">
        <f>E86+O86</f>
        <v>81.875289477279281</v>
      </c>
      <c r="U86" s="118">
        <f>T86*2.47105</f>
        <v>202.31793406283097</v>
      </c>
      <c r="X86" s="118">
        <f>U86*4942.1</f>
        <v>999875.461931917</v>
      </c>
    </row>
    <row r="87" spans="1:24" x14ac:dyDescent="0.25">
      <c r="B87" s="35" t="s">
        <v>206</v>
      </c>
      <c r="C87" s="36"/>
      <c r="D87" s="151"/>
      <c r="E87" s="128">
        <v>29.271874999999998</v>
      </c>
      <c r="F87" s="128">
        <v>31.67015</v>
      </c>
      <c r="G87" s="128">
        <v>34.205473900000001</v>
      </c>
      <c r="H87" s="128">
        <v>36.979111398999997</v>
      </c>
      <c r="I87" s="128">
        <v>39.962445691840003</v>
      </c>
      <c r="J87" s="128">
        <v>43.224686156480011</v>
      </c>
      <c r="K87" s="128">
        <v>46.677257963228854</v>
      </c>
      <c r="L87" s="128">
        <v>19.30548480275483</v>
      </c>
      <c r="M87" s="128">
        <v>11.647642497662082</v>
      </c>
      <c r="N87" s="128">
        <v>12.619351899400742</v>
      </c>
      <c r="O87" s="128">
        <v>13.551492264674748</v>
      </c>
      <c r="P87" s="128">
        <v>14.500854484587816</v>
      </c>
      <c r="Q87" s="128">
        <v>15.615932930234974</v>
      </c>
      <c r="R87" s="128">
        <v>16.816751328183436</v>
      </c>
      <c r="S87" s="128">
        <v>18.109832207203119</v>
      </c>
      <c r="T87" s="118">
        <f>SUM(E87:S87)</f>
        <v>384.15834252525059</v>
      </c>
      <c r="U87" s="118">
        <f t="shared" ref="U87:U88" si="0">T87*2.47105</f>
        <v>949.27447229702045</v>
      </c>
      <c r="X87" s="118">
        <f>U87*2000</f>
        <v>1898548.944594041</v>
      </c>
    </row>
    <row r="88" spans="1:24" x14ac:dyDescent="0.25">
      <c r="A88" s="118">
        <f>E88*2.47105</f>
        <v>0.7201345714285714</v>
      </c>
      <c r="B88" s="35" t="s">
        <v>56</v>
      </c>
      <c r="C88" s="36"/>
      <c r="D88" s="36"/>
      <c r="E88" s="128">
        <v>0.29142857142857143</v>
      </c>
      <c r="F88" s="128">
        <v>0.29725714285714283</v>
      </c>
      <c r="G88" s="128">
        <v>0.3032022857142857</v>
      </c>
      <c r="H88" s="128">
        <v>0.30926633142857141</v>
      </c>
      <c r="I88" s="128">
        <v>0.31545165805714287</v>
      </c>
      <c r="J88" s="128">
        <v>0.32176069121828577</v>
      </c>
      <c r="K88" s="128">
        <v>0.32819590504265139</v>
      </c>
      <c r="L88" s="128">
        <v>0.33475982314350444</v>
      </c>
      <c r="M88" s="128">
        <v>0.34145501960637448</v>
      </c>
      <c r="N88" s="128">
        <v>0.34828411999850201</v>
      </c>
      <c r="O88" s="128">
        <v>0.35524980239847204</v>
      </c>
      <c r="P88" s="128">
        <v>0.36235479844644147</v>
      </c>
      <c r="Q88" s="128">
        <v>0.36960189441537022</v>
      </c>
      <c r="R88" s="128">
        <v>0.37699393230367778</v>
      </c>
      <c r="S88" s="128">
        <v>0.3845338109497512</v>
      </c>
      <c r="T88" s="118">
        <f>SUM(E88:S88)</f>
        <v>5.0397957870087451</v>
      </c>
      <c r="U88" s="118">
        <f t="shared" si="0"/>
        <v>12.45358737948796</v>
      </c>
      <c r="X88" s="118">
        <f>U88*2000</f>
        <v>24907.174758975922</v>
      </c>
    </row>
    <row r="89" spans="1:24" x14ac:dyDescent="0.25"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</row>
    <row r="90" spans="1:24" x14ac:dyDescent="0.25">
      <c r="B90" s="98" t="s">
        <v>207</v>
      </c>
      <c r="C90" s="98"/>
      <c r="D90" s="98"/>
      <c r="E90" s="155">
        <v>-16.809999999999999</v>
      </c>
      <c r="F90" s="155">
        <v>-17.488703749999996</v>
      </c>
      <c r="G90" s="155">
        <v>-18.194810163906244</v>
      </c>
      <c r="H90" s="155">
        <v>-18.92942562427395</v>
      </c>
      <c r="I90" s="155">
        <v>-19.69370118385401</v>
      </c>
      <c r="J90" s="155">
        <v>-20.488834369152116</v>
      </c>
      <c r="K90" s="155">
        <v>-21.316071056806624</v>
      </c>
      <c r="L90" s="155">
        <v>-22.176707425725191</v>
      </c>
      <c r="M90" s="155">
        <v>-23.072091988038842</v>
      </c>
      <c r="N90" s="155">
        <v>-24.003627702055905</v>
      </c>
      <c r="O90" s="155">
        <v>-24.972774170526407</v>
      </c>
      <c r="P90" s="155">
        <v>-25.981049927661402</v>
      </c>
      <c r="Q90" s="155">
        <v>-27.03003481849073</v>
      </c>
      <c r="R90" s="155">
        <v>-28.121372474287284</v>
      </c>
      <c r="S90" s="155">
        <v>-29.256772887936627</v>
      </c>
      <c r="X90" t="s">
        <v>229</v>
      </c>
    </row>
    <row r="91" spans="1:24" x14ac:dyDescent="0.25">
      <c r="B91" s="98" t="s">
        <v>208</v>
      </c>
      <c r="C91" s="98"/>
      <c r="D91" s="98"/>
      <c r="E91" s="156">
        <v>70.319946150183057</v>
      </c>
      <c r="F91" s="156">
        <v>14.478703392857145</v>
      </c>
      <c r="G91" s="156">
        <v>16.313866021808042</v>
      </c>
      <c r="H91" s="156">
        <v>18.358952106154621</v>
      </c>
      <c r="I91" s="156">
        <v>20.584196166043135</v>
      </c>
      <c r="J91" s="156">
        <v>23.057612478546183</v>
      </c>
      <c r="K91" s="156">
        <v>25.689382811464878</v>
      </c>
      <c r="L91" s="156">
        <v>-2.5364627998268574</v>
      </c>
      <c r="M91" s="156">
        <v>-11.082994470770386</v>
      </c>
      <c r="N91" s="156">
        <v>-11.035991682656661</v>
      </c>
      <c r="O91" s="156">
        <v>13.242614795071603</v>
      </c>
      <c r="P91" s="156">
        <v>-11.117840644627146</v>
      </c>
      <c r="Q91" s="156">
        <v>-11.044499993840386</v>
      </c>
      <c r="R91" s="156">
        <v>-10.927627213800172</v>
      </c>
      <c r="S91" s="156">
        <v>-10.762406869783756</v>
      </c>
      <c r="T91" s="118">
        <f>SUM(E91:S91)</f>
        <v>133.53745024682328</v>
      </c>
      <c r="U91" s="118">
        <f t="shared" ref="U91" si="1">T91*2.47105</f>
        <v>329.97771643241265</v>
      </c>
      <c r="X91" s="118">
        <f>U91*2000</f>
        <v>659955.43286482524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Basic Acquisition Model-metric</vt:lpstr>
      <vt:lpstr>Basic Acquisition Model</vt:lpstr>
      <vt:lpstr>Sheet1</vt:lpstr>
      <vt:lpstr>'Basic Acquisition Model'!Print_Area</vt:lpstr>
      <vt:lpstr>'Basic Acquisition Model-metric'!Print_Area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Brown</dc:creator>
  <cp:lastModifiedBy>Colleen Ryan</cp:lastModifiedBy>
  <dcterms:created xsi:type="dcterms:W3CDTF">2022-05-24T20:33:55Z</dcterms:created>
  <dcterms:modified xsi:type="dcterms:W3CDTF">2022-06-29T02:00:37Z</dcterms:modified>
</cp:coreProperties>
</file>