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han\Downloads\"/>
    </mc:Choice>
  </mc:AlternateContent>
  <xr:revisionPtr revIDLastSave="0" documentId="13_ncr:1_{CFA6C670-C8D6-4C9C-A739-8B11F06C8D93}" xr6:coauthVersionLast="47" xr6:coauthVersionMax="47" xr10:uidLastSave="{00000000-0000-0000-0000-000000000000}"/>
  <bookViews>
    <workbookView xWindow="-120" yWindow="-120" windowWidth="29040" windowHeight="15840" activeTab="1" xr2:uid="{600BD6F6-3B06-4E09-AFAF-3CF386DE804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1" i="2" l="1"/>
  <c r="U102" i="2" s="1"/>
  <c r="AG16" i="2"/>
  <c r="AF16" i="2"/>
  <c r="AE16" i="2"/>
  <c r="AD16" i="2"/>
  <c r="AC16" i="2"/>
  <c r="AB16" i="2"/>
  <c r="AA16" i="2"/>
  <c r="Z16" i="2"/>
  <c r="Y16" i="2"/>
  <c r="X16" i="2"/>
  <c r="W16" i="2"/>
  <c r="AD4" i="2"/>
  <c r="AE4" i="2" s="1"/>
  <c r="AF4" i="2" s="1"/>
  <c r="AC4" i="2"/>
  <c r="AB31" i="2"/>
  <c r="AA31" i="2"/>
  <c r="Z31" i="2"/>
  <c r="Y31" i="2"/>
  <c r="X31" i="2"/>
  <c r="W31" i="2"/>
  <c r="AB27" i="2"/>
  <c r="AA27" i="2"/>
  <c r="Z27" i="2"/>
  <c r="Y27" i="2"/>
  <c r="X27" i="2"/>
  <c r="W27" i="2"/>
  <c r="Y26" i="2"/>
  <c r="X26" i="2"/>
  <c r="W26" i="2"/>
  <c r="AB25" i="2"/>
  <c r="AA25" i="2"/>
  <c r="Z25" i="2"/>
  <c r="Y25" i="2"/>
  <c r="X25" i="2"/>
  <c r="W25" i="2"/>
  <c r="AB23" i="2"/>
  <c r="AA23" i="2"/>
  <c r="Z23" i="2"/>
  <c r="Y23" i="2"/>
  <c r="X23" i="2"/>
  <c r="W23" i="2"/>
  <c r="Y21" i="2"/>
  <c r="Z21" i="2" s="1"/>
  <c r="AA21" i="2" s="1"/>
  <c r="AB21" i="2" s="1"/>
  <c r="AC21" i="2" s="1"/>
  <c r="AD21" i="2" s="1"/>
  <c r="AE21" i="2" s="1"/>
  <c r="AF21" i="2" s="1"/>
  <c r="AG21" i="2" s="1"/>
  <c r="X21" i="2"/>
  <c r="W21" i="2"/>
  <c r="X24" i="2"/>
  <c r="Y24" i="2" s="1"/>
  <c r="Z24" i="2" s="1"/>
  <c r="AA24" i="2" s="1"/>
  <c r="AB24" i="2" s="1"/>
  <c r="AC24" i="2" s="1"/>
  <c r="AD24" i="2" s="1"/>
  <c r="AE24" i="2" s="1"/>
  <c r="AF24" i="2" s="1"/>
  <c r="AG24" i="2" s="1"/>
  <c r="W24" i="2"/>
  <c r="AC15" i="2"/>
  <c r="AC31" i="2" s="1"/>
  <c r="AB15" i="2"/>
  <c r="AA15" i="2"/>
  <c r="Z15" i="2"/>
  <c r="Y15" i="2"/>
  <c r="X15" i="2"/>
  <c r="W15" i="2"/>
  <c r="AG14" i="2"/>
  <c r="AF14" i="2"/>
  <c r="AE14" i="2"/>
  <c r="AD14" i="2"/>
  <c r="AC14" i="2"/>
  <c r="AB14" i="2"/>
  <c r="AA14" i="2"/>
  <c r="Z14" i="2"/>
  <c r="Y14" i="2"/>
  <c r="X14" i="2"/>
  <c r="W14" i="2"/>
  <c r="W13" i="2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W12" i="2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X11" i="2"/>
  <c r="Y11" i="2" s="1"/>
  <c r="Z11" i="2" s="1"/>
  <c r="AA11" i="2" s="1"/>
  <c r="AB11" i="2" s="1"/>
  <c r="AC11" i="2" s="1"/>
  <c r="AD11" i="2" s="1"/>
  <c r="AE11" i="2" s="1"/>
  <c r="AF11" i="2" s="1"/>
  <c r="AG11" i="2" s="1"/>
  <c r="W11" i="2"/>
  <c r="X9" i="2"/>
  <c r="Y9" i="2" s="1"/>
  <c r="Z9" i="2" s="1"/>
  <c r="AA9" i="2" s="1"/>
  <c r="AB9" i="2" s="1"/>
  <c r="AC9" i="2" s="1"/>
  <c r="AD9" i="2" s="1"/>
  <c r="AE9" i="2" s="1"/>
  <c r="AF9" i="2" s="1"/>
  <c r="AG9" i="2" s="1"/>
  <c r="W9" i="2"/>
  <c r="X10" i="2"/>
  <c r="Y10" i="2" s="1"/>
  <c r="Z10" i="2" s="1"/>
  <c r="AA10" i="2" s="1"/>
  <c r="AB10" i="2" s="1"/>
  <c r="AC10" i="2" s="1"/>
  <c r="AD10" i="2" s="1"/>
  <c r="AE10" i="2" s="1"/>
  <c r="AF10" i="2" s="1"/>
  <c r="AG10" i="2" s="1"/>
  <c r="W10" i="2"/>
  <c r="X8" i="2"/>
  <c r="Y8" i="2" s="1"/>
  <c r="Z8" i="2" s="1"/>
  <c r="AA8" i="2" s="1"/>
  <c r="AB8" i="2" s="1"/>
  <c r="AC8" i="2" s="1"/>
  <c r="AD8" i="2" s="1"/>
  <c r="AE8" i="2" s="1"/>
  <c r="AF8" i="2" s="1"/>
  <c r="AG8" i="2" s="1"/>
  <c r="W8" i="2"/>
  <c r="X7" i="2"/>
  <c r="Y7" i="2" s="1"/>
  <c r="Z7" i="2" s="1"/>
  <c r="AA7" i="2" s="1"/>
  <c r="AB7" i="2" s="1"/>
  <c r="AC7" i="2" s="1"/>
  <c r="AD7" i="2" s="1"/>
  <c r="AE7" i="2" s="1"/>
  <c r="AF7" i="2" s="1"/>
  <c r="AG7" i="2" s="1"/>
  <c r="W7" i="2"/>
  <c r="X6" i="2"/>
  <c r="Y6" i="2" s="1"/>
  <c r="Z6" i="2" s="1"/>
  <c r="AA6" i="2" s="1"/>
  <c r="AB6" i="2" s="1"/>
  <c r="AC6" i="2" s="1"/>
  <c r="AD6" i="2" s="1"/>
  <c r="AE6" i="2" s="1"/>
  <c r="AF6" i="2" s="1"/>
  <c r="AG6" i="2" s="1"/>
  <c r="W6" i="2"/>
  <c r="X5" i="2"/>
  <c r="Y5" i="2" s="1"/>
  <c r="Z5" i="2" s="1"/>
  <c r="AA5" i="2" s="1"/>
  <c r="AB5" i="2" s="1"/>
  <c r="AC5" i="2" s="1"/>
  <c r="AD5" i="2" s="1"/>
  <c r="AE5" i="2" s="1"/>
  <c r="AF5" i="2" s="1"/>
  <c r="AG5" i="2" s="1"/>
  <c r="W5" i="2"/>
  <c r="Q29" i="2"/>
  <c r="X4" i="2"/>
  <c r="Y4" i="2" s="1"/>
  <c r="Z4" i="2" s="1"/>
  <c r="AA4" i="2" s="1"/>
  <c r="AB4" i="2" s="1"/>
  <c r="W4" i="2"/>
  <c r="N31" i="2"/>
  <c r="N29" i="2"/>
  <c r="N27" i="2"/>
  <c r="N25" i="2"/>
  <c r="N24" i="2"/>
  <c r="N23" i="2"/>
  <c r="N21" i="2"/>
  <c r="N20" i="2"/>
  <c r="N19" i="2"/>
  <c r="N18" i="2"/>
  <c r="N15" i="2"/>
  <c r="N14" i="2"/>
  <c r="N13" i="2"/>
  <c r="N12" i="2"/>
  <c r="N11" i="2"/>
  <c r="N10" i="2"/>
  <c r="N9" i="2"/>
  <c r="N8" i="2"/>
  <c r="N7" i="2"/>
  <c r="N6" i="2"/>
  <c r="N5" i="2"/>
  <c r="N4" i="2"/>
  <c r="M53" i="2"/>
  <c r="M55" i="2"/>
  <c r="M56" i="2"/>
  <c r="M51" i="2"/>
  <c r="M31" i="2"/>
  <c r="M29" i="2"/>
  <c r="M27" i="2"/>
  <c r="M25" i="2"/>
  <c r="M21" i="2"/>
  <c r="M15" i="2"/>
  <c r="M14" i="2"/>
  <c r="P65" i="2"/>
  <c r="P64" i="2"/>
  <c r="P63" i="2"/>
  <c r="P95" i="2"/>
  <c r="P94" i="2"/>
  <c r="P92" i="2"/>
  <c r="P91" i="2"/>
  <c r="P89" i="2"/>
  <c r="P59" i="2" s="1"/>
  <c r="P86" i="2"/>
  <c r="P85" i="2"/>
  <c r="P83" i="2"/>
  <c r="P70" i="2"/>
  <c r="P69" i="2"/>
  <c r="P58" i="2"/>
  <c r="P60" i="2"/>
  <c r="P56" i="2"/>
  <c r="P55" i="2"/>
  <c r="P53" i="2"/>
  <c r="P51" i="2"/>
  <c r="P31" i="2"/>
  <c r="P29" i="2"/>
  <c r="P27" i="2"/>
  <c r="P25" i="2"/>
  <c r="P21" i="2"/>
  <c r="P15" i="2"/>
  <c r="P14" i="2"/>
  <c r="L31" i="2"/>
  <c r="L29" i="2"/>
  <c r="L27" i="2"/>
  <c r="L25" i="2"/>
  <c r="L21" i="2"/>
  <c r="L15" i="2"/>
  <c r="L14" i="2"/>
  <c r="O65" i="2"/>
  <c r="O64" i="2"/>
  <c r="O63" i="2"/>
  <c r="K61" i="2"/>
  <c r="K60" i="2"/>
  <c r="K59" i="2"/>
  <c r="K58" i="2"/>
  <c r="O61" i="2"/>
  <c r="O60" i="2"/>
  <c r="O59" i="2"/>
  <c r="O58" i="2"/>
  <c r="O89" i="2"/>
  <c r="K89" i="2"/>
  <c r="O56" i="2"/>
  <c r="O55" i="2"/>
  <c r="O53" i="2"/>
  <c r="O51" i="2"/>
  <c r="K31" i="2"/>
  <c r="O31" i="2"/>
  <c r="K29" i="2"/>
  <c r="O29" i="2"/>
  <c r="O27" i="2"/>
  <c r="O25" i="2"/>
  <c r="O21" i="2"/>
  <c r="O15" i="2"/>
  <c r="O14" i="2"/>
  <c r="J27" i="2"/>
  <c r="K27" i="2"/>
  <c r="K25" i="2"/>
  <c r="K21" i="2"/>
  <c r="K15" i="2"/>
  <c r="K14" i="2"/>
  <c r="E31" i="2"/>
  <c r="J95" i="2"/>
  <c r="J94" i="2"/>
  <c r="J92" i="2"/>
  <c r="J91" i="2"/>
  <c r="J89" i="2"/>
  <c r="J88" i="2"/>
  <c r="J86" i="2"/>
  <c r="J85" i="2"/>
  <c r="J83" i="2"/>
  <c r="J72" i="2"/>
  <c r="J70" i="2"/>
  <c r="J69" i="2"/>
  <c r="J61" i="2"/>
  <c r="J60" i="2"/>
  <c r="J59" i="2"/>
  <c r="J58" i="2"/>
  <c r="J56" i="2"/>
  <c r="J55" i="2"/>
  <c r="J53" i="2"/>
  <c r="J52" i="2"/>
  <c r="J51" i="2"/>
  <c r="J50" i="2"/>
  <c r="J48" i="2"/>
  <c r="J47" i="2"/>
  <c r="J46" i="2"/>
  <c r="J45" i="2"/>
  <c r="J43" i="2"/>
  <c r="J42" i="2"/>
  <c r="J41" i="2"/>
  <c r="J40" i="2"/>
  <c r="J39" i="2"/>
  <c r="J38" i="2"/>
  <c r="J36" i="2"/>
  <c r="J35" i="2"/>
  <c r="J34" i="2"/>
  <c r="J33" i="2"/>
  <c r="J31" i="2"/>
  <c r="F4" i="2"/>
  <c r="J29" i="2" s="1"/>
  <c r="J25" i="2"/>
  <c r="J24" i="2"/>
  <c r="J23" i="2"/>
  <c r="J21" i="2"/>
  <c r="J20" i="2"/>
  <c r="J19" i="2"/>
  <c r="J18" i="2"/>
  <c r="J15" i="2"/>
  <c r="J14" i="2"/>
  <c r="J13" i="2"/>
  <c r="J12" i="2"/>
  <c r="J11" i="2"/>
  <c r="J10" i="2"/>
  <c r="J9" i="2"/>
  <c r="J8" i="2"/>
  <c r="J7" i="2"/>
  <c r="J6" i="2"/>
  <c r="J5" i="2"/>
  <c r="J4" i="2"/>
  <c r="F27" i="2"/>
  <c r="F25" i="2"/>
  <c r="F24" i="2"/>
  <c r="F23" i="2"/>
  <c r="F21" i="2"/>
  <c r="F20" i="2"/>
  <c r="F19" i="2"/>
  <c r="F18" i="2"/>
  <c r="F15" i="2"/>
  <c r="F14" i="2"/>
  <c r="F13" i="2"/>
  <c r="F12" i="2"/>
  <c r="F11" i="2"/>
  <c r="F10" i="2"/>
  <c r="F9" i="2"/>
  <c r="F8" i="2"/>
  <c r="F7" i="2"/>
  <c r="F6" i="2"/>
  <c r="F5" i="2"/>
  <c r="I95" i="2"/>
  <c r="I60" i="2" s="1"/>
  <c r="I94" i="2"/>
  <c r="I92" i="2"/>
  <c r="I91" i="2"/>
  <c r="I89" i="2"/>
  <c r="I88" i="2"/>
  <c r="I86" i="2"/>
  <c r="I85" i="2"/>
  <c r="I83" i="2"/>
  <c r="I58" i="2" s="1"/>
  <c r="I72" i="2"/>
  <c r="I70" i="2"/>
  <c r="I69" i="2"/>
  <c r="I65" i="2"/>
  <c r="I64" i="2"/>
  <c r="I63" i="2"/>
  <c r="H65" i="2"/>
  <c r="H64" i="2"/>
  <c r="H63" i="2"/>
  <c r="I59" i="2"/>
  <c r="H56" i="2"/>
  <c r="I56" i="2"/>
  <c r="I55" i="2"/>
  <c r="I53" i="2"/>
  <c r="I51" i="2"/>
  <c r="I31" i="2"/>
  <c r="I29" i="2"/>
  <c r="I27" i="2"/>
  <c r="E27" i="2"/>
  <c r="E21" i="2"/>
  <c r="I15" i="2"/>
  <c r="I14" i="2"/>
  <c r="E15" i="2"/>
  <c r="E14" i="2"/>
  <c r="H95" i="2"/>
  <c r="H60" i="2" s="1"/>
  <c r="H94" i="2"/>
  <c r="H92" i="2"/>
  <c r="H91" i="2"/>
  <c r="H89" i="2"/>
  <c r="H88" i="2"/>
  <c r="H86" i="2"/>
  <c r="H85" i="2"/>
  <c r="H83" i="2"/>
  <c r="H58" i="2" s="1"/>
  <c r="H72" i="2"/>
  <c r="H70" i="2"/>
  <c r="H69" i="2"/>
  <c r="H59" i="2"/>
  <c r="H55" i="2"/>
  <c r="H53" i="2"/>
  <c r="H51" i="2"/>
  <c r="H50" i="2"/>
  <c r="H43" i="2"/>
  <c r="D31" i="2"/>
  <c r="H31" i="2"/>
  <c r="H29" i="2"/>
  <c r="H27" i="2"/>
  <c r="H25" i="2"/>
  <c r="D27" i="2"/>
  <c r="D25" i="2"/>
  <c r="H21" i="2"/>
  <c r="D21" i="2"/>
  <c r="H15" i="2"/>
  <c r="H14" i="2"/>
  <c r="D15" i="2"/>
  <c r="D14" i="2"/>
  <c r="G61" i="2"/>
  <c r="G60" i="2"/>
  <c r="G59" i="2"/>
  <c r="G58" i="2"/>
  <c r="C61" i="2"/>
  <c r="C60" i="2"/>
  <c r="C59" i="2"/>
  <c r="C58" i="2"/>
  <c r="G65" i="2"/>
  <c r="C65" i="2"/>
  <c r="G64" i="2"/>
  <c r="C64" i="2"/>
  <c r="G63" i="2"/>
  <c r="C63" i="2"/>
  <c r="G89" i="2"/>
  <c r="C89" i="2"/>
  <c r="G56" i="2"/>
  <c r="C56" i="2"/>
  <c r="C53" i="2"/>
  <c r="G53" i="2"/>
  <c r="G51" i="2"/>
  <c r="C51" i="2"/>
  <c r="C48" i="2"/>
  <c r="G48" i="2"/>
  <c r="G43" i="2"/>
  <c r="C43" i="2"/>
  <c r="G31" i="2"/>
  <c r="C31" i="2"/>
  <c r="G29" i="2"/>
  <c r="C27" i="2"/>
  <c r="G27" i="2"/>
  <c r="G25" i="2"/>
  <c r="C25" i="2"/>
  <c r="G21" i="2"/>
  <c r="C21" i="2"/>
  <c r="G15" i="2"/>
  <c r="C15" i="2"/>
  <c r="G14" i="2"/>
  <c r="C14" i="2"/>
  <c r="V64" i="2"/>
  <c r="T51" i="2"/>
  <c r="T48" i="2"/>
  <c r="T43" i="2"/>
  <c r="T53" i="2" s="1"/>
  <c r="T95" i="2"/>
  <c r="T60" i="2" s="1"/>
  <c r="U95" i="2"/>
  <c r="U60" i="2" s="1"/>
  <c r="V95" i="2"/>
  <c r="V60" i="2" s="1"/>
  <c r="T89" i="2"/>
  <c r="T59" i="2" s="1"/>
  <c r="U89" i="2"/>
  <c r="U59" i="2" s="1"/>
  <c r="V89" i="2"/>
  <c r="V59" i="2" s="1"/>
  <c r="V83" i="2"/>
  <c r="V58" i="2" s="1"/>
  <c r="U83" i="2"/>
  <c r="U58" i="2" s="1"/>
  <c r="T83" i="2"/>
  <c r="T58" i="2" s="1"/>
  <c r="V51" i="2"/>
  <c r="U51" i="2"/>
  <c r="V48" i="2"/>
  <c r="U48" i="2"/>
  <c r="V43" i="2"/>
  <c r="U43" i="2"/>
  <c r="V29" i="2"/>
  <c r="U29" i="2"/>
  <c r="T21" i="2"/>
  <c r="U21" i="2"/>
  <c r="V21" i="2"/>
  <c r="V14" i="2"/>
  <c r="V15" i="2" s="1"/>
  <c r="V23" i="2" s="1"/>
  <c r="V25" i="2" s="1"/>
  <c r="V27" i="2" s="1"/>
  <c r="U14" i="2"/>
  <c r="U15" i="2" s="1"/>
  <c r="U31" i="2" s="1"/>
  <c r="T14" i="2"/>
  <c r="T15" i="2" s="1"/>
  <c r="T31" i="2" s="1"/>
  <c r="D5" i="1"/>
  <c r="D8" i="1" s="1"/>
  <c r="AG4" i="2" l="1"/>
  <c r="AF15" i="2"/>
  <c r="AF31" i="2" s="1"/>
  <c r="AG15" i="2"/>
  <c r="AG31" i="2"/>
  <c r="AG23" i="2"/>
  <c r="AG25" i="2" s="1"/>
  <c r="AG27" i="2" s="1"/>
  <c r="AD15" i="2"/>
  <c r="AE15" i="2"/>
  <c r="AC23" i="2"/>
  <c r="AC25" i="2" s="1"/>
  <c r="AC27" i="2" s="1"/>
  <c r="AF23" i="2"/>
  <c r="AF25" i="2" s="1"/>
  <c r="AF27" i="2" s="1"/>
  <c r="Z26" i="2"/>
  <c r="P61" i="2"/>
  <c r="F31" i="2"/>
  <c r="I61" i="2"/>
  <c r="H61" i="2"/>
  <c r="V65" i="2"/>
  <c r="V66" i="2"/>
  <c r="V31" i="2"/>
  <c r="V63" i="2"/>
  <c r="T50" i="2"/>
  <c r="T52" i="2" s="1"/>
  <c r="T55" i="2" s="1"/>
  <c r="T56" i="2" s="1"/>
  <c r="V53" i="2"/>
  <c r="U53" i="2"/>
  <c r="U23" i="2"/>
  <c r="U25" i="2" s="1"/>
  <c r="U50" i="2"/>
  <c r="T23" i="2"/>
  <c r="T25" i="2" s="1"/>
  <c r="V50" i="2"/>
  <c r="T61" i="2"/>
  <c r="U61" i="2"/>
  <c r="V61" i="2"/>
  <c r="AD31" i="2" l="1"/>
  <c r="AD23" i="2"/>
  <c r="AD25" i="2" s="1"/>
  <c r="AD27" i="2" s="1"/>
  <c r="AE31" i="2"/>
  <c r="AE23" i="2"/>
  <c r="AE25" i="2" s="1"/>
  <c r="AE27" i="2" s="1"/>
  <c r="AA26" i="2"/>
  <c r="T27" i="2"/>
  <c r="T66" i="2"/>
  <c r="T65" i="2"/>
  <c r="T63" i="2"/>
  <c r="T64" i="2"/>
  <c r="U27" i="2"/>
  <c r="U66" i="2"/>
  <c r="U65" i="2"/>
  <c r="U63" i="2"/>
  <c r="U64" i="2"/>
  <c r="U56" i="2"/>
  <c r="U52" i="2"/>
  <c r="V56" i="2"/>
  <c r="V52" i="2"/>
  <c r="AB26" i="2" l="1"/>
  <c r="AC26" i="2" s="1"/>
  <c r="AD26" i="2" l="1"/>
  <c r="AE26" i="2" l="1"/>
  <c r="AG26" i="2" s="1"/>
  <c r="AF26" i="2"/>
</calcChain>
</file>

<file path=xl/sharedStrings.xml><?xml version="1.0" encoding="utf-8"?>
<sst xmlns="http://schemas.openxmlformats.org/spreadsheetml/2006/main" count="111" uniqueCount="107">
  <si>
    <t>Price</t>
  </si>
  <si>
    <t>S/O</t>
  </si>
  <si>
    <t>MC</t>
  </si>
  <si>
    <t>Cash</t>
  </si>
  <si>
    <t>Debt</t>
  </si>
  <si>
    <t>EV</t>
  </si>
  <si>
    <t>Revenue from Operation</t>
  </si>
  <si>
    <t>Salaries wages and benefits</t>
  </si>
  <si>
    <t>General supplies and expenses</t>
  </si>
  <si>
    <t>Operating expenses</t>
  </si>
  <si>
    <t>Operating taxes and licenses</t>
  </si>
  <si>
    <t>Insurance and claims</t>
  </si>
  <si>
    <t>Communications and utilities</t>
  </si>
  <si>
    <t>Deprecitation and amortization</t>
  </si>
  <si>
    <t>Purchased transportation</t>
  </si>
  <si>
    <t>Miscellaneous</t>
  </si>
  <si>
    <t>Operating income</t>
  </si>
  <si>
    <t>Interest expense</t>
  </si>
  <si>
    <t>Interest income</t>
  </si>
  <si>
    <t>Other expense</t>
  </si>
  <si>
    <t>Non operating income</t>
  </si>
  <si>
    <t>EPS</t>
  </si>
  <si>
    <t>Pre tax income</t>
  </si>
  <si>
    <t>tax</t>
  </si>
  <si>
    <t>Net Income</t>
  </si>
  <si>
    <t>shares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</si>
  <si>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</si>
  <si>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</si>
  <si>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</si>
  <si>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</si>
  <si>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</si>
  <si>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</si>
  <si>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</si>
  <si>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</si>
  <si>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</si>
  <si>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</si>
  <si>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</si>
  <si>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</si>
  <si>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</si>
  <si>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</si>
  <si>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Total Current Assests</t>
  </si>
  <si>
    <t>Total Assets</t>
  </si>
  <si>
    <t>Revenue y/y</t>
  </si>
  <si>
    <t>AP</t>
  </si>
  <si>
    <t>Compensation and Benefits</t>
  </si>
  <si>
    <t>Claims and Insurance accruals</t>
  </si>
  <si>
    <t>other accruals</t>
  </si>
  <si>
    <t>Long term debt maturities</t>
  </si>
  <si>
    <t>Long Term debt</t>
  </si>
  <si>
    <t>noncurrent liabilities</t>
  </si>
  <si>
    <t>Deferred income tax</t>
  </si>
  <si>
    <t>current liabilities</t>
  </si>
  <si>
    <t>Total long term liabilities</t>
  </si>
  <si>
    <t>Total liabilities</t>
  </si>
  <si>
    <t>Net Cash</t>
  </si>
  <si>
    <t>SE</t>
  </si>
  <si>
    <t>SE+L</t>
  </si>
  <si>
    <t>CFFO</t>
  </si>
  <si>
    <t>CFFI</t>
  </si>
  <si>
    <t>CFFF</t>
  </si>
  <si>
    <t>ROE</t>
  </si>
  <si>
    <t>ROA</t>
  </si>
  <si>
    <t>D&amp;A</t>
  </si>
  <si>
    <t>Noncash lease expense</t>
  </si>
  <si>
    <t>Gain on disposal of property and equipment</t>
  </si>
  <si>
    <t>SBC</t>
  </si>
  <si>
    <t>Changes in assets and liabilities</t>
  </si>
  <si>
    <t>Customer and otheer recivables</t>
  </si>
  <si>
    <t>Prepaid expenses and other assets</t>
  </si>
  <si>
    <t>Income taxes</t>
  </si>
  <si>
    <t>Other liabilities</t>
  </si>
  <si>
    <t>Purchase of property and equipment</t>
  </si>
  <si>
    <t>Proceeds from sale of property and equipment</t>
  </si>
  <si>
    <t>Proceeds from maturities of short term investments</t>
  </si>
  <si>
    <t>Payments for share repurchases</t>
  </si>
  <si>
    <t>Dividends paid</t>
  </si>
  <si>
    <t>Principal payments under debt agreements</t>
  </si>
  <si>
    <t>Other financing activities</t>
  </si>
  <si>
    <t>PP&amp;E (net)</t>
  </si>
  <si>
    <t>Claims and Insurance Accruals</t>
  </si>
  <si>
    <t>Compensation Benefits and other Accruals Liabilities</t>
  </si>
  <si>
    <t>Purchase of short term investments</t>
  </si>
  <si>
    <t>Cash used in Financing activities</t>
  </si>
  <si>
    <t>Total Cashflow</t>
  </si>
  <si>
    <t>Shareholders Equity</t>
  </si>
  <si>
    <t>Working Capital</t>
  </si>
  <si>
    <t>ROIC</t>
  </si>
  <si>
    <t xml:space="preserve">Net cash used in investing </t>
  </si>
  <si>
    <t>net cash provided by operations</t>
  </si>
  <si>
    <t>Operating Margin</t>
  </si>
  <si>
    <t>Total Operating expenses</t>
  </si>
  <si>
    <t>&lt;net income/SE+debt-cash</t>
  </si>
  <si>
    <t>net income/SE-cash&gt;</t>
  </si>
  <si>
    <t>net income/SE+debt-cash&gt;</t>
  </si>
  <si>
    <t>Maturity</t>
  </si>
  <si>
    <t>Discount</t>
  </si>
  <si>
    <t>NPV</t>
  </si>
  <si>
    <t>share</t>
  </si>
  <si>
    <t>FCF</t>
  </si>
  <si>
    <t>98% LTL Revenue</t>
  </si>
  <si>
    <t>261 Service centers as of Dec 31 2024</t>
  </si>
  <si>
    <t>Services</t>
  </si>
  <si>
    <t>LTL</t>
  </si>
  <si>
    <t>Expedite</t>
  </si>
  <si>
    <r>
      <t>LTL Industry had revenue of approximately $46.9B in 2023 (</t>
    </r>
    <r>
      <rPr>
        <i/>
        <sz val="11"/>
        <color theme="1"/>
        <rFont val="Aptos Narrow"/>
        <family val="2"/>
        <scheme val="minor"/>
      </rPr>
      <t>Transport Topics)</t>
    </r>
  </si>
  <si>
    <r>
      <t>Top 5 and 10 LTL carriers accounted for 57% and 82% of the domestic LTL market in 2023 (</t>
    </r>
    <r>
      <rPr>
        <i/>
        <sz val="11"/>
        <color theme="1"/>
        <rFont val="Aptos Narrow"/>
        <family val="2"/>
        <scheme val="minor"/>
      </rPr>
      <t>Transport Topics)</t>
    </r>
  </si>
  <si>
    <t>Union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</si>
</sst>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8" fontId="0" fillId="0" borderId="0" xfId="0" applyNumberFormat="1"/>
    <xf numFmtId="0" fontId="1" fillId="0" borderId="0" xfId="0" applyFont="1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24848</xdr:colOff>
      <xdr:row>0</xdr:row>
      <xdr:rowOff>33130</xdr:rowOff>
    </xdr:from>
    <xdr:to>
      <xdr:col>16</xdr:col>
      <xdr:colOff>57979</xdr:colOff>
      <xdr:row>97</xdr:row>
      <xdr:rowOff>182217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7059622-E20F-015E-C9F2-F216DC075C43}"/>
            </a:ext>
          </a:extLst>
        </xdr:cNvPr>
        <xdr:cNvCxnSpPr/>
      </xdr:nvCxnSpPr>
      <xdr:spPr>
        <a:xfrm>
          <a:off x="12316239" y="33130"/>
          <a:ext cx="33131" cy="1862758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19879</xdr:colOff>
      <xdr:row>0</xdr:row>
      <xdr:rowOff>0</xdr:rowOff>
    </xdr:from>
    <xdr:to>
      <xdr:col>22</xdr:col>
      <xdr:colOff>53010</xdr:colOff>
      <xdr:row>97</xdr:row>
      <xdr:rowOff>149087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DBBD4CA-E4F9-463D-9FDD-62F35A812D5E}"/>
            </a:ext>
          </a:extLst>
        </xdr:cNvPr>
        <xdr:cNvCxnSpPr/>
      </xdr:nvCxnSpPr>
      <xdr:spPr>
        <a:xfrm>
          <a:off x="16626509" y="0"/>
          <a:ext cx="33131" cy="1862758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5625-66EE-437A-A249-A55107A62D29}">
  <dimension ref="C3:G19"/>
  <sheetViews>
    <sheetView zoomScale="145" zoomScaleNormal="145" workbookViewId="0">
      <selection activeCell="G4" sqref="G4"/>
    </sheetView>
  </sheetViews>
  <sheetFormatPr defaultRowHeight="15" x14ac:dyDescent="0.25"/>
  <cols>
    <col min="4" max="4" width="10.140625" bestFit="1" customWidth="1"/>
    <col min="7" max="7" width="9.85546875" bestFit="1" customWidth="1"/>
  </cols>
  <sheetData>
    <row r="3" spans="3:7" x14ac:dyDescent="0.25">
      <c r="C3" t="s">
        <v>0</v>
      </c>
      <c r="D3" s="1">
        <v>138.59</v>
      </c>
      <c r="G3" s="7">
        <v>45928</v>
      </c>
    </row>
    <row r="4" spans="3:7" x14ac:dyDescent="0.25">
      <c r="C4" t="s">
        <v>1</v>
      </c>
      <c r="D4" s="1">
        <v>212.54507899999999</v>
      </c>
    </row>
    <row r="5" spans="3:7" x14ac:dyDescent="0.25">
      <c r="C5" t="s">
        <v>2</v>
      </c>
      <c r="D5" s="1">
        <f>+D3*D4</f>
        <v>29456.622498609999</v>
      </c>
    </row>
    <row r="6" spans="3:7" x14ac:dyDescent="0.25">
      <c r="C6" t="s">
        <v>3</v>
      </c>
      <c r="D6" s="1">
        <v>108.676</v>
      </c>
    </row>
    <row r="7" spans="3:7" x14ac:dyDescent="0.25">
      <c r="C7" t="s">
        <v>4</v>
      </c>
      <c r="D7" s="1">
        <v>59.987000000000002</v>
      </c>
    </row>
    <row r="8" spans="3:7" x14ac:dyDescent="0.25">
      <c r="C8" t="s">
        <v>5</v>
      </c>
      <c r="D8" s="1">
        <f>+D5-D6+D7</f>
        <v>29407.93349861</v>
      </c>
    </row>
    <row r="11" spans="3:7" x14ac:dyDescent="0.25">
      <c r="C11" t="s">
        <v>99</v>
      </c>
    </row>
    <row r="12" spans="3:7" x14ac:dyDescent="0.25">
      <c r="C12" t="s">
        <v>100</v>
      </c>
    </row>
    <row r="13" spans="3:7" x14ac:dyDescent="0.25">
      <c r="C13" t="s">
        <v>106</v>
      </c>
    </row>
    <row r="14" spans="3:7" x14ac:dyDescent="0.25">
      <c r="C14" t="s">
        <v>104</v>
      </c>
    </row>
    <row r="15" spans="3:7" x14ac:dyDescent="0.25">
      <c r="C15" t="s">
        <v>105</v>
      </c>
    </row>
    <row r="17" spans="3:3" x14ac:dyDescent="0.25">
      <c r="C17" s="5" t="s">
        <v>101</v>
      </c>
    </row>
    <row r="18" spans="3:3" x14ac:dyDescent="0.25">
      <c r="C18" s="6" t="s">
        <v>102</v>
      </c>
    </row>
    <row r="19" spans="3:3" x14ac:dyDescent="0.25">
      <c r="C19" s="6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434F-3C18-4CA9-B488-393771750F25}">
  <dimension ref="A3:AG102"/>
  <sheetViews>
    <sheetView tabSelected="1" zoomScale="115" zoomScaleNormal="115" workbookViewId="0">
      <pane xSplit="2" ySplit="3" topLeftCell="P4" activePane="bottomRight" state="frozen"/>
      <selection pane="topRight" activeCell="C1" sqref="C1"/>
      <selection pane="bottomLeft" activeCell="A7" sqref="A7"/>
      <selection pane="bottomRight" activeCell="AC33" sqref="AC33"/>
    </sheetView>
  </sheetViews>
  <sheetFormatPr defaultRowHeight="15" x14ac:dyDescent="0.25"/>
  <cols>
    <col min="1" max="1" width="2.7109375" customWidth="1"/>
    <col min="2" max="2" width="47" bestFit="1" customWidth="1"/>
    <col min="12" max="12" width="12.140625" bestFit="1" customWidth="1"/>
    <col min="15" max="15" width="12.140625" bestFit="1" customWidth="1"/>
    <col min="19" max="19" width="18.7109375" bestFit="1" customWidth="1"/>
    <col min="21" max="21" width="11.7109375" bestFit="1" customWidth="1"/>
  </cols>
  <sheetData>
    <row r="3" spans="2:33" x14ac:dyDescent="0.25"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39</v>
      </c>
      <c r="T3">
        <v>2022</v>
      </c>
      <c r="U3">
        <v>2023</v>
      </c>
      <c r="V3">
        <v>2024</v>
      </c>
      <c r="W3">
        <v>2025</v>
      </c>
      <c r="X3">
        <v>2026</v>
      </c>
      <c r="Y3">
        <v>2027</v>
      </c>
      <c r="Z3">
        <v>2028</v>
      </c>
      <c r="AA3">
        <v>2029</v>
      </c>
      <c r="AB3">
        <v>2030</v>
      </c>
      <c r="AC3">
        <v>2031</v>
      </c>
      <c r="AD3">
        <v>2032</v>
      </c>
      <c r="AE3">
        <v>2033</v>
      </c>
      <c r="AF3">
        <v>2034</v>
      </c>
      <c r="AG3">
        <v>2035</v>
      </c>
    </row>
    <row r="4" spans="2:33" x14ac:dyDescent="0.25">
      <c r="B4" t="s">
        <v>6</v>
      </c>
      <c r="C4">
        <v>1497.28</v>
      </c>
      <c r="D4">
        <v>1667.4480000000001</v>
      </c>
      <c r="E4">
        <v>1603.69</v>
      </c>
      <c r="F4">
        <f t="shared" ref="F4:F15" si="0">SUM(T4-C4-D4-E4)</f>
        <v>1491.6590000000001</v>
      </c>
      <c r="G4">
        <v>1442.136</v>
      </c>
      <c r="H4">
        <v>1413.1890000000001</v>
      </c>
      <c r="I4">
        <v>1515.277</v>
      </c>
      <c r="J4">
        <f t="shared" ref="J4:J15" si="1">+U4-I4-H4-G4</f>
        <v>1495.5499999999997</v>
      </c>
      <c r="K4">
        <v>1460.0730000000001</v>
      </c>
      <c r="L4">
        <v>1498.6969999999999</v>
      </c>
      <c r="M4">
        <v>1470.211</v>
      </c>
      <c r="N4">
        <f>V4-M4-L4-K4</f>
        <v>1385.829</v>
      </c>
      <c r="O4">
        <v>1374.8579999999999</v>
      </c>
      <c r="P4">
        <v>1407.7239999999999</v>
      </c>
      <c r="T4">
        <v>6260.0770000000002</v>
      </c>
      <c r="U4">
        <v>5866.152</v>
      </c>
      <c r="V4">
        <v>5814.81</v>
      </c>
      <c r="W4">
        <f>+V4*1.05</f>
        <v>6105.5505000000003</v>
      </c>
      <c r="X4">
        <f t="shared" ref="X4:AG4" si="2">+W4*1.05</f>
        <v>6410.8280250000007</v>
      </c>
      <c r="Y4">
        <f t="shared" si="2"/>
        <v>6731.3694262500012</v>
      </c>
      <c r="Z4">
        <f t="shared" si="2"/>
        <v>7067.9378975625013</v>
      </c>
      <c r="AA4">
        <f t="shared" si="2"/>
        <v>7421.3347924406271</v>
      </c>
      <c r="AB4">
        <f t="shared" si="2"/>
        <v>7792.4015320626586</v>
      </c>
      <c r="AC4">
        <f>+AB4*1.03</f>
        <v>8026.173578024539</v>
      </c>
      <c r="AD4">
        <f t="shared" ref="AD4:AG4" si="3">+AC4*1.03</f>
        <v>8266.9587853652756</v>
      </c>
      <c r="AE4">
        <f t="shared" si="3"/>
        <v>8514.9675489262336</v>
      </c>
      <c r="AF4">
        <f t="shared" si="3"/>
        <v>8770.4165753940215</v>
      </c>
      <c r="AG4">
        <f t="shared" si="3"/>
        <v>9033.5290726558433</v>
      </c>
    </row>
    <row r="5" spans="2:33" x14ac:dyDescent="0.25">
      <c r="B5" t="s">
        <v>7</v>
      </c>
      <c r="C5">
        <v>680.18899999999996</v>
      </c>
      <c r="D5">
        <v>705.71</v>
      </c>
      <c r="E5">
        <v>675.08399999999995</v>
      </c>
      <c r="F5">
        <f t="shared" si="0"/>
        <v>655.8520000000002</v>
      </c>
      <c r="G5">
        <v>652.13599999999997</v>
      </c>
      <c r="H5">
        <v>642.84100000000001</v>
      </c>
      <c r="I5">
        <v>663.81</v>
      </c>
      <c r="J5">
        <f t="shared" si="1"/>
        <v>670.88900000000012</v>
      </c>
      <c r="K5">
        <v>668.39</v>
      </c>
      <c r="L5">
        <v>683.78399999999999</v>
      </c>
      <c r="M5">
        <v>681.23800000000006</v>
      </c>
      <c r="N5">
        <f>V5-M5-L5-K5</f>
        <v>655.90199999999993</v>
      </c>
      <c r="O5">
        <v>658.08500000000004</v>
      </c>
      <c r="P5">
        <v>672.09299999999996</v>
      </c>
      <c r="T5">
        <v>2716.835</v>
      </c>
      <c r="U5">
        <v>2629.6759999999999</v>
      </c>
      <c r="V5">
        <v>2689.3139999999999</v>
      </c>
      <c r="W5">
        <f>+V5*1.03</f>
        <v>2769.9934199999998</v>
      </c>
      <c r="X5">
        <f t="shared" ref="X5:AG5" si="4">+W5*1.03</f>
        <v>2853.0932226</v>
      </c>
      <c r="Y5">
        <f t="shared" si="4"/>
        <v>2938.686019278</v>
      </c>
      <c r="Z5">
        <f t="shared" si="4"/>
        <v>3026.8465998563402</v>
      </c>
      <c r="AA5">
        <f t="shared" si="4"/>
        <v>3117.6519978520305</v>
      </c>
      <c r="AB5">
        <f t="shared" si="4"/>
        <v>3211.1815577875914</v>
      </c>
      <c r="AC5">
        <f t="shared" si="4"/>
        <v>3307.5170045212194</v>
      </c>
      <c r="AD5">
        <f t="shared" si="4"/>
        <v>3406.7425146568562</v>
      </c>
      <c r="AE5">
        <f t="shared" si="4"/>
        <v>3508.944790096562</v>
      </c>
      <c r="AF5">
        <f t="shared" si="4"/>
        <v>3614.2131337994588</v>
      </c>
      <c r="AG5">
        <f t="shared" si="4"/>
        <v>3722.6395278134428</v>
      </c>
    </row>
    <row r="6" spans="2:33" x14ac:dyDescent="0.25">
      <c r="B6" t="s">
        <v>9</v>
      </c>
      <c r="C6">
        <v>191.357</v>
      </c>
      <c r="D6">
        <v>236.71199999999999</v>
      </c>
      <c r="E6">
        <v>217.26</v>
      </c>
      <c r="F6">
        <f t="shared" si="0"/>
        <v>207.62600000000009</v>
      </c>
      <c r="G6">
        <v>192.38399999999999</v>
      </c>
      <c r="H6">
        <v>165.37299999999999</v>
      </c>
      <c r="I6">
        <v>180.65299999999999</v>
      </c>
      <c r="J6">
        <f t="shared" si="1"/>
        <v>179.91600000000003</v>
      </c>
      <c r="K6">
        <v>172.47200000000001</v>
      </c>
      <c r="L6">
        <v>161.02000000000001</v>
      </c>
      <c r="M6">
        <v>156.17699999999999</v>
      </c>
      <c r="N6">
        <f>V6-M6-L6-K6</f>
        <v>145.65100000000004</v>
      </c>
      <c r="O6">
        <v>149.892</v>
      </c>
      <c r="P6">
        <v>142.45699999999999</v>
      </c>
      <c r="T6">
        <v>852.95500000000004</v>
      </c>
      <c r="U6">
        <v>718.32600000000002</v>
      </c>
      <c r="V6">
        <v>635.32000000000005</v>
      </c>
      <c r="W6">
        <f>+V6*1.03</f>
        <v>654.3796000000001</v>
      </c>
      <c r="X6">
        <f t="shared" ref="X6:AG6" si="5">+W6*1.03</f>
        <v>674.01098800000011</v>
      </c>
      <c r="Y6">
        <f t="shared" si="5"/>
        <v>694.23131764000016</v>
      </c>
      <c r="Z6">
        <f t="shared" si="5"/>
        <v>715.05825716920015</v>
      </c>
      <c r="AA6">
        <f t="shared" si="5"/>
        <v>736.51000488427621</v>
      </c>
      <c r="AB6">
        <f t="shared" si="5"/>
        <v>758.60530503080452</v>
      </c>
      <c r="AC6">
        <f t="shared" si="5"/>
        <v>781.36346418172866</v>
      </c>
      <c r="AD6">
        <f t="shared" si="5"/>
        <v>804.80436810718049</v>
      </c>
      <c r="AE6">
        <f t="shared" si="5"/>
        <v>828.94849915039595</v>
      </c>
      <c r="AF6">
        <f t="shared" si="5"/>
        <v>853.81695412490785</v>
      </c>
      <c r="AG6">
        <f t="shared" si="5"/>
        <v>879.43146274865512</v>
      </c>
    </row>
    <row r="7" spans="2:33" x14ac:dyDescent="0.25">
      <c r="B7" t="s">
        <v>8</v>
      </c>
      <c r="C7">
        <v>35.512999999999998</v>
      </c>
      <c r="D7">
        <v>39.116</v>
      </c>
      <c r="E7">
        <v>45.951000000000001</v>
      </c>
      <c r="F7">
        <f t="shared" si="0"/>
        <v>39.417999999999985</v>
      </c>
      <c r="G7">
        <v>39.545000000000002</v>
      </c>
      <c r="H7">
        <v>38.606000000000002</v>
      </c>
      <c r="I7">
        <v>41.744999999999997</v>
      </c>
      <c r="J7">
        <f t="shared" si="1"/>
        <v>42.519999999999996</v>
      </c>
      <c r="K7">
        <v>45.576000000000001</v>
      </c>
      <c r="L7">
        <v>44.371000000000002</v>
      </c>
      <c r="M7">
        <v>46.04</v>
      </c>
      <c r="N7">
        <f>V7-M7-L7-K7</f>
        <v>40.55899999999999</v>
      </c>
      <c r="O7">
        <v>39.880000000000003</v>
      </c>
      <c r="P7">
        <v>41.676000000000002</v>
      </c>
      <c r="T7">
        <v>159.99799999999999</v>
      </c>
      <c r="U7">
        <v>162.416</v>
      </c>
      <c r="V7">
        <v>176.54599999999999</v>
      </c>
      <c r="W7">
        <f>+V7*1.01</f>
        <v>178.31145999999998</v>
      </c>
      <c r="X7">
        <f t="shared" ref="X7:AG7" si="6">+W7*1.01</f>
        <v>180.09457459999999</v>
      </c>
      <c r="Y7">
        <f t="shared" si="6"/>
        <v>181.89552034599998</v>
      </c>
      <c r="Z7">
        <f t="shared" si="6"/>
        <v>183.71447554945999</v>
      </c>
      <c r="AA7">
        <f t="shared" si="6"/>
        <v>185.55162030495458</v>
      </c>
      <c r="AB7">
        <f t="shared" si="6"/>
        <v>187.40713650800413</v>
      </c>
      <c r="AC7">
        <f t="shared" si="6"/>
        <v>189.28120787308418</v>
      </c>
      <c r="AD7">
        <f t="shared" si="6"/>
        <v>191.17401995181504</v>
      </c>
      <c r="AE7">
        <f t="shared" si="6"/>
        <v>193.0857601513332</v>
      </c>
      <c r="AF7">
        <f t="shared" si="6"/>
        <v>195.01661775284654</v>
      </c>
      <c r="AG7">
        <f t="shared" si="6"/>
        <v>196.96678393037502</v>
      </c>
    </row>
    <row r="8" spans="2:33" x14ac:dyDescent="0.25">
      <c r="B8" t="s">
        <v>10</v>
      </c>
      <c r="C8">
        <v>35.076000000000001</v>
      </c>
      <c r="D8">
        <v>34.951999999999998</v>
      </c>
      <c r="E8">
        <v>35.753</v>
      </c>
      <c r="F8">
        <f t="shared" si="0"/>
        <v>35.458000000000013</v>
      </c>
      <c r="G8">
        <v>36.701000000000001</v>
      </c>
      <c r="H8">
        <v>36.89</v>
      </c>
      <c r="I8">
        <v>36.527000000000001</v>
      </c>
      <c r="J8">
        <f t="shared" si="1"/>
        <v>35.523999999999994</v>
      </c>
      <c r="K8">
        <v>35.838000000000001</v>
      </c>
      <c r="L8">
        <v>36.281999999999996</v>
      </c>
      <c r="M8">
        <v>36.732999999999997</v>
      </c>
      <c r="N8">
        <f>V8-M8-L8-K8</f>
        <v>35.836999999999996</v>
      </c>
      <c r="O8">
        <v>35.603000000000002</v>
      </c>
      <c r="P8">
        <v>34.982999999999997</v>
      </c>
      <c r="T8">
        <v>141.239</v>
      </c>
      <c r="U8">
        <v>145.642</v>
      </c>
      <c r="V8">
        <v>144.69</v>
      </c>
      <c r="W8">
        <f>+V8*1.01</f>
        <v>146.1369</v>
      </c>
      <c r="X8">
        <f t="shared" ref="X8:AG8" si="7">+W8*1.01</f>
        <v>147.59826899999999</v>
      </c>
      <c r="Y8">
        <f t="shared" si="7"/>
        <v>149.07425168999998</v>
      </c>
      <c r="Z8">
        <f t="shared" si="7"/>
        <v>150.5649942069</v>
      </c>
      <c r="AA8">
        <f t="shared" si="7"/>
        <v>152.070644148969</v>
      </c>
      <c r="AB8">
        <f t="shared" si="7"/>
        <v>153.59135059045869</v>
      </c>
      <c r="AC8">
        <f t="shared" si="7"/>
        <v>155.12726409636326</v>
      </c>
      <c r="AD8">
        <f t="shared" si="7"/>
        <v>156.67853673732691</v>
      </c>
      <c r="AE8">
        <f t="shared" si="7"/>
        <v>158.24532210470016</v>
      </c>
      <c r="AF8">
        <f t="shared" si="7"/>
        <v>159.82777532574715</v>
      </c>
      <c r="AG8">
        <f t="shared" si="7"/>
        <v>161.42605307900462</v>
      </c>
    </row>
    <row r="9" spans="2:33" x14ac:dyDescent="0.25">
      <c r="B9" t="s">
        <v>11</v>
      </c>
      <c r="C9">
        <v>16.106999999999999</v>
      </c>
      <c r="D9">
        <v>16.963999999999999</v>
      </c>
      <c r="E9">
        <v>17.491</v>
      </c>
      <c r="F9">
        <f t="shared" si="0"/>
        <v>7.7390000000000043</v>
      </c>
      <c r="G9">
        <v>16.027999999999999</v>
      </c>
      <c r="H9">
        <v>15.381</v>
      </c>
      <c r="I9">
        <v>16.004000000000001</v>
      </c>
      <c r="J9">
        <f t="shared" si="1"/>
        <v>27.954999999999991</v>
      </c>
      <c r="K9">
        <v>18.193999999999999</v>
      </c>
      <c r="L9">
        <v>17.140999999999998</v>
      </c>
      <c r="M9">
        <v>17.209</v>
      </c>
      <c r="N9">
        <f>V9-M9-L9-K9</f>
        <v>39.814999999999998</v>
      </c>
      <c r="O9">
        <v>17.48</v>
      </c>
      <c r="P9">
        <v>18.794</v>
      </c>
      <c r="T9">
        <v>58.301000000000002</v>
      </c>
      <c r="U9">
        <v>75.367999999999995</v>
      </c>
      <c r="V9">
        <v>92.358999999999995</v>
      </c>
      <c r="W9">
        <f>+V9*1.03</f>
        <v>95.129769999999994</v>
      </c>
      <c r="X9">
        <f t="shared" ref="X9:AG9" si="8">+W9*1.03</f>
        <v>97.983663100000001</v>
      </c>
      <c r="Y9">
        <f t="shared" si="8"/>
        <v>100.92317299300001</v>
      </c>
      <c r="Z9">
        <f t="shared" si="8"/>
        <v>103.95086818279002</v>
      </c>
      <c r="AA9">
        <f t="shared" si="8"/>
        <v>107.06939422827372</v>
      </c>
      <c r="AB9">
        <f t="shared" si="8"/>
        <v>110.28147605512194</v>
      </c>
      <c r="AC9">
        <f t="shared" si="8"/>
        <v>113.58992033677561</v>
      </c>
      <c r="AD9">
        <f t="shared" si="8"/>
        <v>116.99761794687888</v>
      </c>
      <c r="AE9">
        <f t="shared" si="8"/>
        <v>120.50754648528525</v>
      </c>
      <c r="AF9">
        <f t="shared" si="8"/>
        <v>124.12277287984381</v>
      </c>
      <c r="AG9">
        <f t="shared" si="8"/>
        <v>127.84645606623913</v>
      </c>
    </row>
    <row r="10" spans="2:33" x14ac:dyDescent="0.25">
      <c r="B10" t="s">
        <v>12</v>
      </c>
      <c r="C10">
        <v>9.8759999999999994</v>
      </c>
      <c r="D10">
        <v>9.8979999999999997</v>
      </c>
      <c r="E10">
        <v>10.288</v>
      </c>
      <c r="F10">
        <f t="shared" si="0"/>
        <v>10.522000000000006</v>
      </c>
      <c r="G10">
        <v>11.016999999999999</v>
      </c>
      <c r="H10">
        <v>11.515000000000001</v>
      </c>
      <c r="I10">
        <v>10.724</v>
      </c>
      <c r="J10">
        <f t="shared" si="1"/>
        <v>10.013000000000002</v>
      </c>
      <c r="K10">
        <v>10.994999999999999</v>
      </c>
      <c r="L10">
        <v>10.157999999999999</v>
      </c>
      <c r="M10">
        <v>10.055999999999999</v>
      </c>
      <c r="N10">
        <f>V10-M10-L10-K10</f>
        <v>9.6180000000000003</v>
      </c>
      <c r="O10">
        <v>10.803000000000001</v>
      </c>
      <c r="P10">
        <v>9.2959999999999994</v>
      </c>
      <c r="T10">
        <v>40.584000000000003</v>
      </c>
      <c r="U10">
        <v>43.268999999999998</v>
      </c>
      <c r="V10">
        <v>40.826999999999998</v>
      </c>
      <c r="W10">
        <f>+V10*1.05</f>
        <v>42.86835</v>
      </c>
      <c r="X10">
        <f t="shared" ref="X10:AG10" si="9">+W10*1.05</f>
        <v>45.011767500000005</v>
      </c>
      <c r="Y10">
        <f t="shared" si="9"/>
        <v>47.262355875000004</v>
      </c>
      <c r="Z10">
        <f t="shared" si="9"/>
        <v>49.625473668750004</v>
      </c>
      <c r="AA10">
        <f t="shared" si="9"/>
        <v>52.106747352187504</v>
      </c>
      <c r="AB10">
        <f t="shared" si="9"/>
        <v>54.712084719796884</v>
      </c>
      <c r="AC10">
        <f t="shared" si="9"/>
        <v>57.447688955786731</v>
      </c>
      <c r="AD10">
        <f t="shared" si="9"/>
        <v>60.320073403576068</v>
      </c>
      <c r="AE10">
        <f t="shared" si="9"/>
        <v>63.336077073754872</v>
      </c>
      <c r="AF10">
        <f t="shared" si="9"/>
        <v>66.502880927442618</v>
      </c>
      <c r="AG10">
        <f t="shared" si="9"/>
        <v>69.828024973814749</v>
      </c>
    </row>
    <row r="11" spans="2:33" x14ac:dyDescent="0.25">
      <c r="B11" t="s">
        <v>13</v>
      </c>
      <c r="C11">
        <v>67.34</v>
      </c>
      <c r="D11">
        <v>68.31</v>
      </c>
      <c r="E11">
        <v>68.346999999999994</v>
      </c>
      <c r="F11">
        <f t="shared" si="0"/>
        <v>72.053000000000011</v>
      </c>
      <c r="G11">
        <v>75.947000000000003</v>
      </c>
      <c r="H11">
        <v>79.784000000000006</v>
      </c>
      <c r="I11">
        <v>84.055000000000007</v>
      </c>
      <c r="J11">
        <f t="shared" si="1"/>
        <v>84.649000000000001</v>
      </c>
      <c r="K11">
        <v>84.531000000000006</v>
      </c>
      <c r="L11">
        <v>84.563000000000002</v>
      </c>
      <c r="M11">
        <v>86.665999999999997</v>
      </c>
      <c r="N11">
        <f>V11-M11-L11-K11</f>
        <v>88.807999999999993</v>
      </c>
      <c r="O11">
        <v>89.132000000000005</v>
      </c>
      <c r="P11">
        <v>90.662999999999997</v>
      </c>
      <c r="T11">
        <v>276.05</v>
      </c>
      <c r="U11">
        <v>324.435</v>
      </c>
      <c r="V11">
        <v>344.56799999999998</v>
      </c>
      <c r="W11">
        <f>+V11*1.03</f>
        <v>354.90503999999999</v>
      </c>
      <c r="X11">
        <f t="shared" ref="X11:AG11" si="10">+W11*1.03</f>
        <v>365.55219119999998</v>
      </c>
      <c r="Y11">
        <f t="shared" si="10"/>
        <v>376.51875693599999</v>
      </c>
      <c r="Z11">
        <f t="shared" si="10"/>
        <v>387.81431964408</v>
      </c>
      <c r="AA11">
        <f t="shared" si="10"/>
        <v>399.4487492334024</v>
      </c>
      <c r="AB11">
        <f t="shared" si="10"/>
        <v>411.43221171040449</v>
      </c>
      <c r="AC11">
        <f t="shared" si="10"/>
        <v>423.77517806171664</v>
      </c>
      <c r="AD11">
        <f t="shared" si="10"/>
        <v>436.48843340356814</v>
      </c>
      <c r="AE11">
        <f t="shared" si="10"/>
        <v>449.5830864056752</v>
      </c>
      <c r="AF11">
        <f t="shared" si="10"/>
        <v>463.07057899784547</v>
      </c>
      <c r="AG11">
        <f t="shared" si="10"/>
        <v>476.96269636778084</v>
      </c>
    </row>
    <row r="12" spans="2:33" x14ac:dyDescent="0.25">
      <c r="B12" t="s">
        <v>14</v>
      </c>
      <c r="C12">
        <v>52.5</v>
      </c>
      <c r="D12">
        <v>42.680999999999997</v>
      </c>
      <c r="E12">
        <v>34.453000000000003</v>
      </c>
      <c r="F12">
        <f t="shared" si="0"/>
        <v>28.47699999999999</v>
      </c>
      <c r="G12">
        <v>30.614999999999998</v>
      </c>
      <c r="H12">
        <v>28.596</v>
      </c>
      <c r="I12">
        <v>30.835000000000001</v>
      </c>
      <c r="J12">
        <f t="shared" si="1"/>
        <v>31.47000000000001</v>
      </c>
      <c r="K12">
        <v>30.71</v>
      </c>
      <c r="L12">
        <v>32.01</v>
      </c>
      <c r="M12">
        <v>30.940999999999999</v>
      </c>
      <c r="N12">
        <f>V12-M12-L12-K12</f>
        <v>29.153999999999996</v>
      </c>
      <c r="O12">
        <v>27.663</v>
      </c>
      <c r="P12">
        <v>28.544</v>
      </c>
      <c r="T12">
        <v>158.11099999999999</v>
      </c>
      <c r="U12">
        <v>121.51600000000001</v>
      </c>
      <c r="V12">
        <v>122.815</v>
      </c>
      <c r="W12">
        <f t="shared" ref="W12:AG12" si="11">+V12*1.03</f>
        <v>126.49945</v>
      </c>
      <c r="X12">
        <f t="shared" si="11"/>
        <v>130.2944335</v>
      </c>
      <c r="Y12">
        <f t="shared" si="11"/>
        <v>134.20326650499999</v>
      </c>
      <c r="Z12">
        <f t="shared" si="11"/>
        <v>138.22936450014998</v>
      </c>
      <c r="AA12">
        <f t="shared" si="11"/>
        <v>142.37624543515449</v>
      </c>
      <c r="AB12">
        <f t="shared" si="11"/>
        <v>146.64753279820911</v>
      </c>
      <c r="AC12">
        <f t="shared" si="11"/>
        <v>151.0469587821554</v>
      </c>
      <c r="AD12">
        <f t="shared" si="11"/>
        <v>155.57836754562007</v>
      </c>
      <c r="AE12">
        <f t="shared" si="11"/>
        <v>160.24571857198868</v>
      </c>
      <c r="AF12">
        <f t="shared" si="11"/>
        <v>165.05309012914833</v>
      </c>
      <c r="AG12">
        <f t="shared" si="11"/>
        <v>170.0046828330228</v>
      </c>
    </row>
    <row r="13" spans="2:33" x14ac:dyDescent="0.25">
      <c r="B13" t="s">
        <v>15</v>
      </c>
      <c r="C13">
        <v>3.7040000000000002</v>
      </c>
      <c r="D13">
        <v>4.4000000000000004</v>
      </c>
      <c r="E13">
        <v>2.9830000000000001</v>
      </c>
      <c r="F13">
        <f t="shared" si="0"/>
        <v>4.2849999999999984</v>
      </c>
      <c r="G13">
        <v>4.7750000000000004</v>
      </c>
      <c r="H13">
        <v>2.609</v>
      </c>
      <c r="I13">
        <v>5.9050000000000002</v>
      </c>
      <c r="J13">
        <f t="shared" si="1"/>
        <v>-8.4580000000000002</v>
      </c>
      <c r="K13">
        <v>6.9409999999999998</v>
      </c>
      <c r="L13">
        <v>7.6769999999999996</v>
      </c>
      <c r="M13">
        <v>3.29</v>
      </c>
      <c r="N13">
        <f>V13-M13-L13-K13</f>
        <v>6.4650000000000025</v>
      </c>
      <c r="O13">
        <v>8.2650000000000006</v>
      </c>
      <c r="P13">
        <v>11.323</v>
      </c>
      <c r="T13">
        <v>15.372</v>
      </c>
      <c r="U13">
        <v>4.8310000000000004</v>
      </c>
      <c r="V13">
        <v>24.373000000000001</v>
      </c>
      <c r="W13">
        <f t="shared" ref="W13:AG13" si="12">+V13*1.03</f>
        <v>25.104190000000003</v>
      </c>
      <c r="X13">
        <f t="shared" si="12"/>
        <v>25.857315700000004</v>
      </c>
      <c r="Y13">
        <f t="shared" si="12"/>
        <v>26.633035171000007</v>
      </c>
      <c r="Z13">
        <f t="shared" si="12"/>
        <v>27.432026226130006</v>
      </c>
      <c r="AA13">
        <f t="shared" si="12"/>
        <v>28.254987012913908</v>
      </c>
      <c r="AB13">
        <f t="shared" si="12"/>
        <v>29.102636623301326</v>
      </c>
      <c r="AC13">
        <f t="shared" si="12"/>
        <v>29.975715722000366</v>
      </c>
      <c r="AD13">
        <f t="shared" si="12"/>
        <v>30.874987193660377</v>
      </c>
      <c r="AE13">
        <f t="shared" si="12"/>
        <v>31.80123680947019</v>
      </c>
      <c r="AF13">
        <f t="shared" si="12"/>
        <v>32.755273913754294</v>
      </c>
      <c r="AG13">
        <f t="shared" si="12"/>
        <v>33.737932131166922</v>
      </c>
    </row>
    <row r="14" spans="2:33" x14ac:dyDescent="0.25">
      <c r="B14" t="s">
        <v>90</v>
      </c>
      <c r="C14">
        <f>SUM(C5:C13)</f>
        <v>1091.6619999999998</v>
      </c>
      <c r="D14">
        <f>SUM(D5:D13)</f>
        <v>1158.7429999999999</v>
      </c>
      <c r="E14">
        <f>SUM(E5:E13)</f>
        <v>1107.6099999999999</v>
      </c>
      <c r="F14">
        <f t="shared" si="0"/>
        <v>1061.43</v>
      </c>
      <c r="G14">
        <f>SUM(G5:G13)</f>
        <v>1059.1480000000001</v>
      </c>
      <c r="H14">
        <f>SUM(H5:H13)</f>
        <v>1021.5949999999999</v>
      </c>
      <c r="I14">
        <f>SUM(I5:I13)</f>
        <v>1070.258</v>
      </c>
      <c r="J14">
        <f t="shared" si="1"/>
        <v>1074.4779999999996</v>
      </c>
      <c r="K14">
        <f>SUM(K5:K13)</f>
        <v>1073.6469999999999</v>
      </c>
      <c r="L14">
        <f>SUM(L5:L13)</f>
        <v>1077.0059999999999</v>
      </c>
      <c r="M14">
        <f>SUM(M5:M13)</f>
        <v>1068.3499999999999</v>
      </c>
      <c r="N14">
        <f>SUM(N5:N13)</f>
        <v>1051.809</v>
      </c>
      <c r="O14">
        <f>SUM(O5:O13)</f>
        <v>1036.8030000000001</v>
      </c>
      <c r="P14">
        <f>SUM(P5:P13)</f>
        <v>1049.8290000000002</v>
      </c>
      <c r="T14">
        <f>SUM(T5:T13)</f>
        <v>4419.4449999999997</v>
      </c>
      <c r="U14">
        <f>SUM(U5:U13)</f>
        <v>4225.4789999999994</v>
      </c>
      <c r="V14">
        <f>SUM(V5:V13)</f>
        <v>4270.811999999999</v>
      </c>
      <c r="W14">
        <f>SUM(W5:W13)</f>
        <v>4393.3281800000004</v>
      </c>
      <c r="X14">
        <f t="shared" ref="X14:AG14" si="13">SUM(X5:X13)</f>
        <v>4519.4964252000009</v>
      </c>
      <c r="Y14">
        <f t="shared" si="13"/>
        <v>4649.4276964340006</v>
      </c>
      <c r="Z14">
        <f t="shared" si="13"/>
        <v>4783.2363790037998</v>
      </c>
      <c r="AA14">
        <f t="shared" si="13"/>
        <v>4921.0403904521636</v>
      </c>
      <c r="AB14">
        <f t="shared" si="13"/>
        <v>5062.9612918236926</v>
      </c>
      <c r="AC14">
        <f t="shared" si="13"/>
        <v>5209.1244025308288</v>
      </c>
      <c r="AD14">
        <f t="shared" si="13"/>
        <v>5359.658918946483</v>
      </c>
      <c r="AE14">
        <f t="shared" si="13"/>
        <v>5514.6980368491659</v>
      </c>
      <c r="AF14">
        <f t="shared" si="13"/>
        <v>5674.3790778509956</v>
      </c>
      <c r="AG14">
        <f t="shared" si="13"/>
        <v>5838.8436199435018</v>
      </c>
    </row>
    <row r="15" spans="2:33" x14ac:dyDescent="0.25">
      <c r="B15" t="s">
        <v>16</v>
      </c>
      <c r="C15">
        <f>+C4-C14</f>
        <v>405.61800000000017</v>
      </c>
      <c r="D15">
        <f>+D4-D14</f>
        <v>508.70500000000015</v>
      </c>
      <c r="E15">
        <f>+E4-E14</f>
        <v>496.08000000000015</v>
      </c>
      <c r="F15">
        <f t="shared" si="0"/>
        <v>430.22900000000004</v>
      </c>
      <c r="G15">
        <f>+G4-G14</f>
        <v>382.98799999999983</v>
      </c>
      <c r="H15">
        <f>+H4-H14</f>
        <v>391.59400000000016</v>
      </c>
      <c r="I15">
        <f>+I4-I14</f>
        <v>445.01900000000001</v>
      </c>
      <c r="J15">
        <f t="shared" si="1"/>
        <v>421.07200000000068</v>
      </c>
      <c r="K15">
        <f>+K4-K14</f>
        <v>386.42600000000016</v>
      </c>
      <c r="L15">
        <f>+L4-L14</f>
        <v>421.69100000000003</v>
      </c>
      <c r="M15">
        <f>+M4-M14</f>
        <v>401.8610000000001</v>
      </c>
      <c r="N15">
        <f>+N4-N14</f>
        <v>334.02</v>
      </c>
      <c r="O15">
        <f>+O4-O14</f>
        <v>338.05499999999984</v>
      </c>
      <c r="P15">
        <f>+P4-P14</f>
        <v>357.89499999999975</v>
      </c>
      <c r="T15">
        <f>+T4-T14</f>
        <v>1840.6320000000005</v>
      </c>
      <c r="U15">
        <f>+U4-U14</f>
        <v>1640.6730000000007</v>
      </c>
      <c r="V15">
        <f>SUM(V4-V14)</f>
        <v>1543.9980000000014</v>
      </c>
      <c r="W15">
        <f>+W4-W14</f>
        <v>1712.2223199999999</v>
      </c>
      <c r="X15">
        <f>+X4-X14</f>
        <v>1891.3315997999998</v>
      </c>
      <c r="Y15">
        <f>+Y4-Y14</f>
        <v>2081.9417298160006</v>
      </c>
      <c r="Z15">
        <f>+Z4-Z14</f>
        <v>2284.7015185587015</v>
      </c>
      <c r="AA15">
        <f>+AA4-AA14</f>
        <v>2500.2944019884635</v>
      </c>
      <c r="AB15">
        <f>+AB4-AB14</f>
        <v>2729.440240238966</v>
      </c>
      <c r="AC15">
        <f>+AC4-AC14</f>
        <v>2817.0491754937102</v>
      </c>
      <c r="AD15">
        <f>+AD4-AD14</f>
        <v>2907.2998664187926</v>
      </c>
      <c r="AE15">
        <f>+AE4-AE14</f>
        <v>3000.2695120770677</v>
      </c>
      <c r="AF15">
        <f>+AF4-AF14</f>
        <v>3096.0374975430259</v>
      </c>
      <c r="AG15">
        <f>+AG4-AG14</f>
        <v>3194.6854527123414</v>
      </c>
    </row>
    <row r="16" spans="2:33" x14ac:dyDescent="0.25">
      <c r="B16" t="s">
        <v>98</v>
      </c>
      <c r="W16">
        <f>+W15*(1-0.1)+W11-300+600</f>
        <v>2195.9051279999999</v>
      </c>
      <c r="X16">
        <f t="shared" ref="X16:AG16" si="14">+X15*(1-0.1)+X11-300+600</f>
        <v>2367.7506310200001</v>
      </c>
      <c r="Y16">
        <f t="shared" si="14"/>
        <v>2550.2663137704003</v>
      </c>
      <c r="Z16">
        <f t="shared" si="14"/>
        <v>2744.0456863469117</v>
      </c>
      <c r="AA16">
        <f t="shared" si="14"/>
        <v>2949.7137110230196</v>
      </c>
      <c r="AB16">
        <f t="shared" si="14"/>
        <v>3167.9284279254739</v>
      </c>
      <c r="AC16">
        <f t="shared" si="14"/>
        <v>3259.1194360060563</v>
      </c>
      <c r="AD16">
        <f t="shared" si="14"/>
        <v>3353.0583131804815</v>
      </c>
      <c r="AE16">
        <f t="shared" si="14"/>
        <v>3449.8256472750363</v>
      </c>
      <c r="AF16">
        <f t="shared" si="14"/>
        <v>3549.504326786569</v>
      </c>
      <c r="AG16">
        <f t="shared" si="14"/>
        <v>3652.1796038088878</v>
      </c>
    </row>
    <row r="18" spans="1:33" x14ac:dyDescent="0.25">
      <c r="B18" t="s">
        <v>17</v>
      </c>
      <c r="C18">
        <v>7.2999999999999995E-2</v>
      </c>
      <c r="D18">
        <v>0.21299999999999999</v>
      </c>
      <c r="E18">
        <v>0.997</v>
      </c>
      <c r="F18">
        <f>SUM(T18-C18-D18-E18)</f>
        <v>0.27999999999999992</v>
      </c>
      <c r="G18">
        <v>0.2</v>
      </c>
      <c r="H18">
        <v>8.8999999999999996E-2</v>
      </c>
      <c r="I18">
        <v>0.09</v>
      </c>
      <c r="J18">
        <f>+U18-I18-H18-G18</f>
        <v>8.500000000000002E-2</v>
      </c>
      <c r="K18">
        <v>3.6999999999999998E-2</v>
      </c>
      <c r="L18">
        <v>0.13100000000000001</v>
      </c>
      <c r="M18">
        <v>1.9E-2</v>
      </c>
      <c r="N18">
        <f>V18-M18-L18-K18</f>
        <v>2.5000000000000001E-2</v>
      </c>
      <c r="O18">
        <v>2E-3</v>
      </c>
      <c r="P18">
        <v>6.0000000000000001E-3</v>
      </c>
      <c r="T18">
        <v>1.5629999999999999</v>
      </c>
      <c r="U18">
        <v>0.46400000000000002</v>
      </c>
      <c r="V18">
        <v>0.21199999999999999</v>
      </c>
    </row>
    <row r="19" spans="1:33" x14ac:dyDescent="0.25">
      <c r="B19" t="s">
        <v>18</v>
      </c>
      <c r="C19">
        <v>-0.129</v>
      </c>
      <c r="D19">
        <v>-0.41699999999999998</v>
      </c>
      <c r="E19">
        <v>-1.333</v>
      </c>
      <c r="F19">
        <f>SUM(T19-C19-D19-E19)</f>
        <v>-3.0050000000000008</v>
      </c>
      <c r="G19">
        <v>-2.8109999999999999</v>
      </c>
      <c r="H19">
        <v>-2.3679999999999999</v>
      </c>
      <c r="I19">
        <v>-2.3079999999999998</v>
      </c>
      <c r="J19">
        <f>+U19-I19-H19-G19</f>
        <v>-5.3119999999999994</v>
      </c>
      <c r="K19">
        <v>-7.3719999999999999</v>
      </c>
      <c r="L19">
        <v>-5.9610000000000003</v>
      </c>
      <c r="M19">
        <v>-1.7749999999999999</v>
      </c>
      <c r="N19">
        <f>V19-M19-L19-K19</f>
        <v>-1.9029999999999987</v>
      </c>
      <c r="O19">
        <v>-1.6619999999999999</v>
      </c>
      <c r="P19">
        <v>-0.68400000000000005</v>
      </c>
      <c r="T19">
        <v>-4.8840000000000003</v>
      </c>
      <c r="U19">
        <v>-12.798999999999999</v>
      </c>
      <c r="V19">
        <v>-17.010999999999999</v>
      </c>
    </row>
    <row r="20" spans="1:33" x14ac:dyDescent="0.25">
      <c r="B20" t="s">
        <v>19</v>
      </c>
      <c r="C20">
        <v>0.60499999999999998</v>
      </c>
      <c r="D20">
        <v>0.75</v>
      </c>
      <c r="E20">
        <v>0.35099999999999998</v>
      </c>
      <c r="F20">
        <f>SUM(T20-C20-D20-E20)</f>
        <v>0.89800000000000013</v>
      </c>
      <c r="G20">
        <v>1.5109999999999999</v>
      </c>
      <c r="H20">
        <v>1.9470000000000001</v>
      </c>
      <c r="I20">
        <v>0.86099999999999999</v>
      </c>
      <c r="J20">
        <f>+U20-I20-H20-G20</f>
        <v>0.91300000000000048</v>
      </c>
      <c r="K20">
        <v>0.879</v>
      </c>
      <c r="L20">
        <v>1.075</v>
      </c>
      <c r="M20">
        <v>0.52300000000000002</v>
      </c>
      <c r="N20">
        <f>V20-M20-L20-K20</f>
        <v>0.72300000000000009</v>
      </c>
      <c r="O20">
        <v>1.071</v>
      </c>
      <c r="P20">
        <v>1.357</v>
      </c>
      <c r="T20">
        <v>2.6040000000000001</v>
      </c>
      <c r="U20">
        <v>5.2320000000000002</v>
      </c>
      <c r="V20">
        <v>3.2</v>
      </c>
    </row>
    <row r="21" spans="1:33" x14ac:dyDescent="0.25">
      <c r="B21" t="s">
        <v>20</v>
      </c>
      <c r="C21">
        <f>SUM(C18:C20)</f>
        <v>0.54899999999999993</v>
      </c>
      <c r="D21">
        <f>+D18+D19+D20</f>
        <v>0.54600000000000004</v>
      </c>
      <c r="E21">
        <f>SUM(E18:E20)</f>
        <v>1.5000000000000013E-2</v>
      </c>
      <c r="F21">
        <f>SUM(T21-C21-D21-E21)</f>
        <v>-1.8270000000000004</v>
      </c>
      <c r="G21">
        <f>SUM(G18:G20)</f>
        <v>-1.0999999999999999</v>
      </c>
      <c r="H21">
        <f>SUM(H18:H20)</f>
        <v>-0.33199999999999985</v>
      </c>
      <c r="I21">
        <v>-1.357</v>
      </c>
      <c r="J21">
        <f>+U21-I21-H21-G21</f>
        <v>-4.3139999999999992</v>
      </c>
      <c r="K21">
        <f>SUM(K18:K20)</f>
        <v>-6.4559999999999995</v>
      </c>
      <c r="L21">
        <f>SUM(L18:L20)</f>
        <v>-4.7549999999999999</v>
      </c>
      <c r="M21">
        <f>SUM(M18:M20)</f>
        <v>-1.2330000000000001</v>
      </c>
      <c r="N21">
        <f>SUM(N18:N20)</f>
        <v>-1.1549999999999987</v>
      </c>
      <c r="O21">
        <f>SUM(O18:O20)</f>
        <v>-0.58899999999999997</v>
      </c>
      <c r="P21">
        <f>SUM(P18:P20)</f>
        <v>0.67899999999999994</v>
      </c>
      <c r="T21">
        <f>SUM(T18:T20)</f>
        <v>-0.71700000000000053</v>
      </c>
      <c r="U21">
        <f>SUM(U18:U20)</f>
        <v>-7.1029999999999989</v>
      </c>
      <c r="V21">
        <f>SUM(V18:V20)</f>
        <v>-13.599</v>
      </c>
      <c r="W21">
        <f>+V21*1.05</f>
        <v>-14.27895</v>
      </c>
      <c r="X21">
        <f t="shared" ref="X21:AG21" si="15">+W21*1.05</f>
        <v>-14.992897500000002</v>
      </c>
      <c r="Y21">
        <f t="shared" si="15"/>
        <v>-15.742542375000003</v>
      </c>
      <c r="Z21">
        <f t="shared" si="15"/>
        <v>-16.529669493750003</v>
      </c>
      <c r="AA21">
        <f t="shared" si="15"/>
        <v>-17.356152968437502</v>
      </c>
      <c r="AB21">
        <f t="shared" si="15"/>
        <v>-18.22396061685938</v>
      </c>
      <c r="AC21">
        <f t="shared" si="15"/>
        <v>-19.135158647702351</v>
      </c>
      <c r="AD21">
        <f t="shared" si="15"/>
        <v>-20.091916580087471</v>
      </c>
      <c r="AE21">
        <f t="shared" si="15"/>
        <v>-21.096512409091844</v>
      </c>
      <c r="AF21">
        <f t="shared" si="15"/>
        <v>-22.151338029546437</v>
      </c>
      <c r="AG21">
        <f t="shared" si="15"/>
        <v>-23.258904931023761</v>
      </c>
    </row>
    <row r="23" spans="1:33" x14ac:dyDescent="0.25">
      <c r="B23" t="s">
        <v>22</v>
      </c>
      <c r="C23">
        <v>405.06900000000002</v>
      </c>
      <c r="D23">
        <v>508.21300000000002</v>
      </c>
      <c r="E23">
        <v>496.065</v>
      </c>
      <c r="F23">
        <f>SUM(T23-C23-D23-E23)</f>
        <v>430.5680000000005</v>
      </c>
      <c r="G23">
        <v>384.149</v>
      </c>
      <c r="H23">
        <v>391.92599999999999</v>
      </c>
      <c r="I23">
        <v>446.37599999999998</v>
      </c>
      <c r="J23">
        <f>+U23-I23-H23-G23</f>
        <v>411.11900000000071</v>
      </c>
      <c r="K23">
        <v>392.88200000000001</v>
      </c>
      <c r="L23">
        <v>426.44600000000003</v>
      </c>
      <c r="M23">
        <v>403.09399999999999</v>
      </c>
      <c r="N23">
        <f>V23-M23-L23-K23</f>
        <v>307.9770000000014</v>
      </c>
      <c r="O23">
        <v>338.64400000000001</v>
      </c>
      <c r="P23">
        <v>357.21600000000001</v>
      </c>
      <c r="T23">
        <f>+T15+T21</f>
        <v>1839.9150000000004</v>
      </c>
      <c r="U23">
        <f>+U15+U21</f>
        <v>1633.5700000000006</v>
      </c>
      <c r="V23">
        <f>+V15+V21</f>
        <v>1530.3990000000015</v>
      </c>
      <c r="W23">
        <f>+W15+W21</f>
        <v>1697.94337</v>
      </c>
      <c r="X23">
        <f t="shared" ref="X23:AG23" si="16">+X15+X21</f>
        <v>1876.3387022999998</v>
      </c>
      <c r="Y23">
        <f t="shared" si="16"/>
        <v>2066.1991874410005</v>
      </c>
      <c r="Z23">
        <f t="shared" si="16"/>
        <v>2268.1718490649514</v>
      </c>
      <c r="AA23">
        <f t="shared" si="16"/>
        <v>2482.938249020026</v>
      </c>
      <c r="AB23">
        <f t="shared" si="16"/>
        <v>2711.2162796221064</v>
      </c>
      <c r="AC23">
        <f t="shared" si="16"/>
        <v>2797.9140168460081</v>
      </c>
      <c r="AD23">
        <f t="shared" si="16"/>
        <v>2887.2079498387052</v>
      </c>
      <c r="AE23">
        <f t="shared" si="16"/>
        <v>2979.172999667976</v>
      </c>
      <c r="AF23">
        <f t="shared" si="16"/>
        <v>3073.8861595134795</v>
      </c>
      <c r="AG23">
        <f t="shared" si="16"/>
        <v>3171.4265477813178</v>
      </c>
    </row>
    <row r="24" spans="1:33" x14ac:dyDescent="0.25">
      <c r="B24" t="s">
        <v>23</v>
      </c>
      <c r="C24">
        <v>105.318</v>
      </c>
      <c r="D24">
        <v>132.13499999999999</v>
      </c>
      <c r="E24">
        <v>118.664</v>
      </c>
      <c r="F24">
        <f>SUM(T24-C24-D24-E24)</f>
        <v>108.07300000000002</v>
      </c>
      <c r="G24">
        <v>99.111000000000004</v>
      </c>
      <c r="H24">
        <v>99.563999999999993</v>
      </c>
      <c r="I24">
        <v>107.089</v>
      </c>
      <c r="J24">
        <f>+U24-I24-H24-G24</f>
        <v>102.51</v>
      </c>
      <c r="K24">
        <v>100.578</v>
      </c>
      <c r="L24">
        <v>104.401</v>
      </c>
      <c r="M24">
        <v>94.513999999999996</v>
      </c>
      <c r="N24">
        <f>V24-M24-L24-K24</f>
        <v>72.030999999999977</v>
      </c>
      <c r="O24">
        <v>83.983999999999995</v>
      </c>
      <c r="P24">
        <v>88.59</v>
      </c>
      <c r="T24">
        <v>464.19</v>
      </c>
      <c r="U24">
        <v>408.274</v>
      </c>
      <c r="V24">
        <v>371.524</v>
      </c>
      <c r="W24">
        <f>+V24*1.15</f>
        <v>427.25259999999997</v>
      </c>
      <c r="X24">
        <f t="shared" ref="X24:AG24" si="17">+W24*1.15</f>
        <v>491.34048999999993</v>
      </c>
      <c r="Y24">
        <f t="shared" si="17"/>
        <v>565.04156349999982</v>
      </c>
      <c r="Z24">
        <f t="shared" si="17"/>
        <v>649.79779802499979</v>
      </c>
      <c r="AA24">
        <f t="shared" si="17"/>
        <v>747.26746772874969</v>
      </c>
      <c r="AB24">
        <f t="shared" si="17"/>
        <v>859.35758788806208</v>
      </c>
      <c r="AC24">
        <f t="shared" si="17"/>
        <v>988.26122607127127</v>
      </c>
      <c r="AD24">
        <f t="shared" si="17"/>
        <v>1136.5004099819619</v>
      </c>
      <c r="AE24">
        <f t="shared" si="17"/>
        <v>1306.9754714792562</v>
      </c>
      <c r="AF24">
        <f t="shared" si="17"/>
        <v>1503.0217922011445</v>
      </c>
      <c r="AG24">
        <f t="shared" si="17"/>
        <v>1728.475061031316</v>
      </c>
    </row>
    <row r="25" spans="1:33" x14ac:dyDescent="0.25">
      <c r="B25" t="s">
        <v>24</v>
      </c>
      <c r="C25">
        <f>+C23-C24</f>
        <v>299.75100000000003</v>
      </c>
      <c r="D25">
        <f>+D23-D24</f>
        <v>376.07800000000003</v>
      </c>
      <c r="E25">
        <v>377.40100000000001</v>
      </c>
      <c r="F25">
        <f>SUM(T25-C25-D25-E25)</f>
        <v>322.4950000000004</v>
      </c>
      <c r="G25">
        <f>+G23-G24</f>
        <v>285.03800000000001</v>
      </c>
      <c r="H25">
        <f>+H23-H24</f>
        <v>292.36199999999997</v>
      </c>
      <c r="I25">
        <v>339.28699999999998</v>
      </c>
      <c r="J25">
        <f>+U25-I25-H25-G25</f>
        <v>308.60900000000072</v>
      </c>
      <c r="K25">
        <f>+K23-K24</f>
        <v>292.30399999999997</v>
      </c>
      <c r="L25">
        <f>+L23-L24</f>
        <v>322.04500000000002</v>
      </c>
      <c r="M25">
        <f>+M23-M24</f>
        <v>308.58</v>
      </c>
      <c r="N25">
        <f>+N23-N24</f>
        <v>235.94600000000142</v>
      </c>
      <c r="O25">
        <f>+O23-O24</f>
        <v>254.66000000000003</v>
      </c>
      <c r="P25">
        <f>+P23-P24</f>
        <v>268.62599999999998</v>
      </c>
      <c r="T25">
        <f>+T23-T24</f>
        <v>1375.7250000000004</v>
      </c>
      <c r="U25">
        <f>+U23-U24</f>
        <v>1225.2960000000007</v>
      </c>
      <c r="V25">
        <f>+V23-V24</f>
        <v>1158.8750000000014</v>
      </c>
      <c r="W25">
        <f>+W23-W24</f>
        <v>1270.6907699999999</v>
      </c>
      <c r="X25">
        <f t="shared" ref="X25:AG25" si="18">+X23-X24</f>
        <v>1384.9982123</v>
      </c>
      <c r="Y25">
        <f t="shared" si="18"/>
        <v>1501.1576239410006</v>
      </c>
      <c r="Z25">
        <f t="shared" si="18"/>
        <v>1618.3740510399516</v>
      </c>
      <c r="AA25">
        <f t="shared" si="18"/>
        <v>1735.6707812912764</v>
      </c>
      <c r="AB25">
        <f t="shared" si="18"/>
        <v>1851.8586917340444</v>
      </c>
      <c r="AC25">
        <f t="shared" si="18"/>
        <v>1809.6527907747368</v>
      </c>
      <c r="AD25">
        <f t="shared" si="18"/>
        <v>1750.7075398567433</v>
      </c>
      <c r="AE25">
        <f t="shared" si="18"/>
        <v>1672.1975281887198</v>
      </c>
      <c r="AF25">
        <f t="shared" si="18"/>
        <v>1570.8643673123349</v>
      </c>
      <c r="AG25">
        <f t="shared" si="18"/>
        <v>1442.9514867500018</v>
      </c>
    </row>
    <row r="26" spans="1:33" x14ac:dyDescent="0.25">
      <c r="B26" t="s">
        <v>25</v>
      </c>
      <c r="C26">
        <v>115.173</v>
      </c>
      <c r="D26">
        <v>113.80500000000001</v>
      </c>
      <c r="E26">
        <v>112.295</v>
      </c>
      <c r="F26">
        <v>108.837146</v>
      </c>
      <c r="G26">
        <v>110.679</v>
      </c>
      <c r="H26">
        <v>110.199</v>
      </c>
      <c r="I26">
        <v>109.83499999999999</v>
      </c>
      <c r="J26">
        <v>110.53</v>
      </c>
      <c r="K26">
        <v>218.80799999999999</v>
      </c>
      <c r="L26">
        <v>217.541</v>
      </c>
      <c r="M26">
        <v>215.227</v>
      </c>
      <c r="N26">
        <v>212.54507899999999</v>
      </c>
      <c r="O26">
        <v>213.48400000000001</v>
      </c>
      <c r="P26">
        <v>212.16399999999999</v>
      </c>
      <c r="T26">
        <v>226.15600000000001</v>
      </c>
      <c r="U26">
        <v>220.18</v>
      </c>
      <c r="V26">
        <v>216.48500000000001</v>
      </c>
      <c r="W26">
        <f>AVERAGE(T26:V26)</f>
        <v>220.94033333333334</v>
      </c>
      <c r="X26">
        <f t="shared" ref="X26:AG26" si="19">AVERAGE(U26:W26)</f>
        <v>219.20177777777781</v>
      </c>
      <c r="Y26">
        <f t="shared" si="19"/>
        <v>218.87570370370372</v>
      </c>
      <c r="Z26">
        <f t="shared" si="19"/>
        <v>219.67260493827163</v>
      </c>
      <c r="AA26">
        <f t="shared" si="19"/>
        <v>219.2500288065844</v>
      </c>
      <c r="AB26">
        <f t="shared" si="19"/>
        <v>219.26611248285326</v>
      </c>
      <c r="AC26">
        <f t="shared" si="19"/>
        <v>219.39624874256978</v>
      </c>
      <c r="AD26">
        <f t="shared" si="19"/>
        <v>219.30413001066916</v>
      </c>
      <c r="AE26">
        <f t="shared" si="19"/>
        <v>219.32216374536407</v>
      </c>
      <c r="AF26">
        <f t="shared" si="19"/>
        <v>219.34084749953433</v>
      </c>
      <c r="AG26">
        <f t="shared" si="19"/>
        <v>219.3223804185225</v>
      </c>
    </row>
    <row r="27" spans="1:33" x14ac:dyDescent="0.25">
      <c r="B27" t="s">
        <v>21</v>
      </c>
      <c r="C27">
        <f t="shared" ref="C27:L27" si="20">+C25/C26</f>
        <v>2.6026151962699595</v>
      </c>
      <c r="D27">
        <f t="shared" si="20"/>
        <v>3.3045823997188175</v>
      </c>
      <c r="E27">
        <f t="shared" si="20"/>
        <v>3.3607996794158246</v>
      </c>
      <c r="F27">
        <f t="shared" si="20"/>
        <v>2.9630968088781047</v>
      </c>
      <c r="G27">
        <f t="shared" si="20"/>
        <v>2.5753575655725114</v>
      </c>
      <c r="H27">
        <f t="shared" si="20"/>
        <v>2.6530367789181386</v>
      </c>
      <c r="I27">
        <f t="shared" si="20"/>
        <v>3.0890608640233075</v>
      </c>
      <c r="J27">
        <f t="shared" si="20"/>
        <v>2.7920835972134328</v>
      </c>
      <c r="K27">
        <f t="shared" si="20"/>
        <v>1.3358926547475412</v>
      </c>
      <c r="L27">
        <f t="shared" si="20"/>
        <v>1.4803876050951317</v>
      </c>
      <c r="M27">
        <f>+M25/M26</f>
        <v>1.4337420490923536</v>
      </c>
      <c r="N27">
        <f>+N25/N26</f>
        <v>1.1100986252427016</v>
      </c>
      <c r="O27">
        <f>+O25/O26</f>
        <v>1.1928762811264546</v>
      </c>
      <c r="P27">
        <f>+P25/P26</f>
        <v>1.2661243189230973</v>
      </c>
      <c r="T27">
        <f>SUM(T25/T26)</f>
        <v>6.0830798210085089</v>
      </c>
      <c r="U27">
        <f>SUM(U25/U26)</f>
        <v>5.5649741120901108</v>
      </c>
      <c r="V27">
        <f>SUM(V25/V26)</f>
        <v>5.3531422500404249</v>
      </c>
      <c r="W27">
        <f>+W25/W26</f>
        <v>5.7512847510866427</v>
      </c>
      <c r="X27">
        <f t="shared" ref="X27:AG27" si="21">+X25/X26</f>
        <v>6.3183712574816902</v>
      </c>
      <c r="Y27">
        <f t="shared" si="21"/>
        <v>6.8584936497709528</v>
      </c>
      <c r="Z27">
        <f t="shared" si="21"/>
        <v>7.367209268059244</v>
      </c>
      <c r="AA27">
        <f t="shared" si="21"/>
        <v>7.9163993306583853</v>
      </c>
      <c r="AB27">
        <f t="shared" si="21"/>
        <v>8.4457131599797979</v>
      </c>
      <c r="AC27">
        <f t="shared" si="21"/>
        <v>8.2483305942851661</v>
      </c>
      <c r="AD27">
        <f t="shared" si="21"/>
        <v>7.9830121747892813</v>
      </c>
      <c r="AE27">
        <f t="shared" si="21"/>
        <v>7.6243891617363548</v>
      </c>
      <c r="AF27">
        <f t="shared" si="21"/>
        <v>7.161750240413701</v>
      </c>
      <c r="AG27">
        <f t="shared" si="21"/>
        <v>6.579134714827032</v>
      </c>
    </row>
    <row r="29" spans="1:33" s="2" customFormat="1" x14ac:dyDescent="0.25">
      <c r="A29"/>
      <c r="B29" t="s">
        <v>42</v>
      </c>
      <c r="G29" s="2">
        <f>SUM(G4-C4)/C4</f>
        <v>-3.6829450737337045E-2</v>
      </c>
      <c r="H29" s="2">
        <f>SUM(H4-D4)/D4</f>
        <v>-0.15248391554039467</v>
      </c>
      <c r="I29" s="2">
        <f>SUM(I4-E4)/E4</f>
        <v>-5.5130979179267819E-2</v>
      </c>
      <c r="J29" s="2">
        <f>SUM(J4-F4)/F4</f>
        <v>2.6085050269529573E-3</v>
      </c>
      <c r="K29" s="2">
        <f>+(K4-G4)/G4</f>
        <v>1.2437800595783009E-2</v>
      </c>
      <c r="L29" s="2">
        <f>+(L4-H4)/H4</f>
        <v>6.0507122543410549E-2</v>
      </c>
      <c r="M29" s="2">
        <f>+(M4-I4)/I4</f>
        <v>-2.9741096842359534E-2</v>
      </c>
      <c r="N29" s="2">
        <f>+(N4-J4)/J4</f>
        <v>-7.3364982782253882E-2</v>
      </c>
      <c r="O29" s="2">
        <f>+(O4-K4)/K4</f>
        <v>-5.8363520180155469E-2</v>
      </c>
      <c r="P29" s="2">
        <f>+(P4-L4)/L4</f>
        <v>-6.0701395945945022E-2</v>
      </c>
      <c r="Q29" s="2">
        <f>AVERAGE(G29:P29)</f>
        <v>-3.9106191304156698E-2</v>
      </c>
      <c r="U29" s="2">
        <f>SUM(U4-T4)/T4</f>
        <v>-6.2926542277355405E-2</v>
      </c>
      <c r="V29" s="2">
        <f>SUM(V4-U4)/U4</f>
        <v>-8.7522450833186129E-3</v>
      </c>
      <c r="W29" s="2">
        <v>0.05</v>
      </c>
      <c r="X29" s="2">
        <v>0.05</v>
      </c>
      <c r="Y29" s="2">
        <v>0.05</v>
      </c>
      <c r="Z29" s="2">
        <v>0.05</v>
      </c>
      <c r="AA29" s="2">
        <v>0.05</v>
      </c>
      <c r="AB29" s="2">
        <v>0.05</v>
      </c>
      <c r="AC29" s="2">
        <v>0.03</v>
      </c>
      <c r="AD29" s="2">
        <v>0.03</v>
      </c>
      <c r="AE29" s="2">
        <v>0.03</v>
      </c>
      <c r="AF29" s="2">
        <v>0.03</v>
      </c>
      <c r="AG29" s="2">
        <v>0.03</v>
      </c>
    </row>
    <row r="30" spans="1:33" x14ac:dyDescent="0.25">
      <c r="G30" s="2"/>
      <c r="T30" s="2"/>
      <c r="U30" s="2"/>
      <c r="V30" s="2"/>
    </row>
    <row r="31" spans="1:33" s="2" customFormat="1" x14ac:dyDescent="0.25">
      <c r="A31"/>
      <c r="B31" t="s">
        <v>89</v>
      </c>
      <c r="C31" s="2">
        <f t="shared" ref="C31:L31" si="22">+C15/C4</f>
        <v>0.27090323787134013</v>
      </c>
      <c r="D31" s="2">
        <f t="shared" si="22"/>
        <v>0.30507997850607643</v>
      </c>
      <c r="E31" s="2">
        <f t="shared" si="22"/>
        <v>0.3093365924835848</v>
      </c>
      <c r="F31" s="2">
        <f t="shared" si="22"/>
        <v>0.28842315837600951</v>
      </c>
      <c r="G31" s="2">
        <f t="shared" si="22"/>
        <v>0.26556996011471862</v>
      </c>
      <c r="H31" s="2">
        <f t="shared" si="22"/>
        <v>0.27709952455050257</v>
      </c>
      <c r="I31" s="2">
        <f t="shared" si="22"/>
        <v>0.29368821674188944</v>
      </c>
      <c r="J31" s="2">
        <f t="shared" si="22"/>
        <v>0.28154993146334173</v>
      </c>
      <c r="K31" s="2">
        <f t="shared" si="22"/>
        <v>0.2646621093602855</v>
      </c>
      <c r="L31" s="2">
        <f t="shared" si="22"/>
        <v>0.28137175159488548</v>
      </c>
      <c r="M31" s="2">
        <f>+M15/M4</f>
        <v>0.27333559604709806</v>
      </c>
      <c r="N31" s="2">
        <f>+N15/N4</f>
        <v>0.24102540789664526</v>
      </c>
      <c r="O31" s="2">
        <f>+O15/O4</f>
        <v>0.24588357488555171</v>
      </c>
      <c r="P31" s="2">
        <f>+P15/P4</f>
        <v>0.2542366259295144</v>
      </c>
      <c r="T31" s="2">
        <f>+T15/T4</f>
        <v>0.29402705429981141</v>
      </c>
      <c r="U31" s="2">
        <f>+U15/U4</f>
        <v>0.2796847064310643</v>
      </c>
      <c r="V31" s="2">
        <f>+V15/V4</f>
        <v>0.26552853833573259</v>
      </c>
      <c r="W31" s="2">
        <f>+W15/W4</f>
        <v>0.28043700891508466</v>
      </c>
      <c r="X31" s="2">
        <f t="shared" ref="X31:AG31" si="23">+X15/X4</f>
        <v>0.29502142194806413</v>
      </c>
      <c r="Y31" s="2">
        <f t="shared" si="23"/>
        <v>0.30928947707091392</v>
      </c>
      <c r="Z31" s="2">
        <f t="shared" si="23"/>
        <v>0.32324866908446093</v>
      </c>
      <c r="AA31" s="2">
        <f t="shared" si="23"/>
        <v>0.3369062940719591</v>
      </c>
      <c r="AB31" s="2">
        <f t="shared" si="23"/>
        <v>0.3502694553159762</v>
      </c>
      <c r="AC31" s="2">
        <f t="shared" si="23"/>
        <v>0.35098283735187585</v>
      </c>
      <c r="AD31" s="2">
        <f t="shared" si="23"/>
        <v>0.35167707277862442</v>
      </c>
      <c r="AE31" s="2">
        <f t="shared" si="23"/>
        <v>0.3523524305686182</v>
      </c>
      <c r="AF31" s="2">
        <f t="shared" si="23"/>
        <v>0.35300917247524616</v>
      </c>
      <c r="AG31" s="2">
        <f t="shared" si="23"/>
        <v>0.35364755313430446</v>
      </c>
    </row>
    <row r="33" spans="2:22" x14ac:dyDescent="0.25">
      <c r="B33" t="s">
        <v>3</v>
      </c>
      <c r="C33">
        <v>186.31200000000001</v>
      </c>
      <c r="G33">
        <v>207.624</v>
      </c>
      <c r="H33">
        <v>55.140999999999998</v>
      </c>
      <c r="I33">
        <v>206.601</v>
      </c>
      <c r="J33">
        <f>V33</f>
        <v>108.676</v>
      </c>
      <c r="M33">
        <v>74.162999999999997</v>
      </c>
      <c r="N33">
        <v>108.676</v>
      </c>
      <c r="O33">
        <v>97.197999999999993</v>
      </c>
      <c r="P33">
        <v>24.056999999999999</v>
      </c>
      <c r="T33">
        <v>186.31200000000001</v>
      </c>
      <c r="U33">
        <v>433.79899999999998</v>
      </c>
      <c r="V33">
        <v>108.676</v>
      </c>
    </row>
    <row r="34" spans="2:22" x14ac:dyDescent="0.25">
      <c r="B34" t="s">
        <v>40</v>
      </c>
      <c r="C34">
        <v>933.74</v>
      </c>
      <c r="G34">
        <v>869.95</v>
      </c>
      <c r="H34">
        <v>730.60900000000004</v>
      </c>
      <c r="I34">
        <v>954.21600000000001</v>
      </c>
      <c r="J34">
        <f>V34</f>
        <v>720.68299999999999</v>
      </c>
      <c r="M34">
        <v>735.05899999999997</v>
      </c>
      <c r="N34">
        <v>501.55399999999997</v>
      </c>
      <c r="O34">
        <v>734.38300000000004</v>
      </c>
      <c r="P34">
        <v>698.14300000000003</v>
      </c>
      <c r="T34">
        <v>933.74</v>
      </c>
      <c r="U34">
        <v>1143.3330000000001</v>
      </c>
      <c r="V34">
        <v>720.68299999999999</v>
      </c>
    </row>
    <row r="35" spans="2:22" x14ac:dyDescent="0.25">
      <c r="B35" t="s">
        <v>78</v>
      </c>
      <c r="C35">
        <v>36687.067999999999</v>
      </c>
      <c r="G35">
        <v>3841.4639999999999</v>
      </c>
      <c r="H35">
        <v>4001.0990000000002</v>
      </c>
      <c r="I35">
        <v>4085.41</v>
      </c>
      <c r="J35">
        <f>V35</f>
        <v>4505.4309999999996</v>
      </c>
      <c r="M35">
        <v>4425.7529999999997</v>
      </c>
      <c r="O35">
        <v>4497.3609999999999</v>
      </c>
      <c r="P35">
        <v>4590.4359999999997</v>
      </c>
      <c r="T35">
        <v>3687.0680000000002</v>
      </c>
      <c r="U35">
        <v>4095.4050000000002</v>
      </c>
      <c r="V35">
        <v>4505.4309999999996</v>
      </c>
    </row>
    <row r="36" spans="2:22" x14ac:dyDescent="0.25">
      <c r="B36" t="s">
        <v>41</v>
      </c>
      <c r="C36">
        <v>4838.6099999999997</v>
      </c>
      <c r="G36">
        <v>4957.0879999999997</v>
      </c>
      <c r="H36">
        <v>4978.9319999999998</v>
      </c>
      <c r="I36">
        <v>5298.8739999999998</v>
      </c>
      <c r="J36">
        <f>V36</f>
        <v>5491.3950000000004</v>
      </c>
      <c r="M36">
        <v>5425.8310000000001</v>
      </c>
      <c r="O36">
        <v>5491.2939999999999</v>
      </c>
      <c r="P36">
        <v>5551.0959999999995</v>
      </c>
      <c r="T36">
        <v>4838.6099999999997</v>
      </c>
      <c r="U36">
        <v>5512.393</v>
      </c>
      <c r="V36">
        <v>5491.3950000000004</v>
      </c>
    </row>
    <row r="38" spans="2:22" x14ac:dyDescent="0.25">
      <c r="B38" t="s">
        <v>43</v>
      </c>
      <c r="C38">
        <v>106.27500000000001</v>
      </c>
      <c r="G38">
        <v>119.773</v>
      </c>
      <c r="H38">
        <v>96.661000000000001</v>
      </c>
      <c r="I38">
        <v>115.712</v>
      </c>
      <c r="J38">
        <f t="shared" ref="J38:J43" si="24">V38</f>
        <v>91.819000000000003</v>
      </c>
      <c r="M38">
        <v>99.278999999999996</v>
      </c>
      <c r="O38">
        <v>84.24</v>
      </c>
      <c r="P38">
        <v>-85.674999999999997</v>
      </c>
      <c r="T38">
        <v>106.27500000000001</v>
      </c>
      <c r="U38">
        <v>112.774</v>
      </c>
      <c r="V38">
        <v>91.819000000000003</v>
      </c>
    </row>
    <row r="39" spans="2:22" x14ac:dyDescent="0.25">
      <c r="B39" t="s">
        <v>44</v>
      </c>
      <c r="C39">
        <v>288.27800000000002</v>
      </c>
      <c r="G39">
        <v>220.53899999999999</v>
      </c>
      <c r="H39">
        <v>249.922</v>
      </c>
      <c r="I39">
        <v>278.06400000000002</v>
      </c>
      <c r="J39">
        <f t="shared" si="24"/>
        <v>285.42099999999999</v>
      </c>
      <c r="M39">
        <v>283.81700000000001</v>
      </c>
      <c r="O39">
        <v>233.26</v>
      </c>
      <c r="P39">
        <v>256.77100000000002</v>
      </c>
      <c r="T39">
        <v>288.27800000000002</v>
      </c>
      <c r="U39">
        <v>278.95299999999997</v>
      </c>
      <c r="V39">
        <v>285.42099999999999</v>
      </c>
    </row>
    <row r="40" spans="2:22" x14ac:dyDescent="0.25">
      <c r="B40" t="s">
        <v>45</v>
      </c>
      <c r="C40">
        <v>63.307000000000002</v>
      </c>
      <c r="G40">
        <v>61.713999999999999</v>
      </c>
      <c r="H40">
        <v>60.837000000000003</v>
      </c>
      <c r="I40">
        <v>60.616</v>
      </c>
      <c r="J40">
        <f t="shared" si="24"/>
        <v>72.846000000000004</v>
      </c>
      <c r="M40">
        <v>62.119</v>
      </c>
      <c r="O40">
        <v>73.406999999999996</v>
      </c>
      <c r="P40">
        <v>75.11</v>
      </c>
      <c r="T40">
        <v>63.307000000000002</v>
      </c>
      <c r="U40">
        <v>63.345999999999997</v>
      </c>
      <c r="V40">
        <v>72.846000000000004</v>
      </c>
    </row>
    <row r="41" spans="2:22" x14ac:dyDescent="0.25">
      <c r="B41" t="s">
        <v>46</v>
      </c>
      <c r="C41">
        <v>51.933</v>
      </c>
      <c r="G41">
        <v>64.626000000000005</v>
      </c>
      <c r="H41">
        <v>75.597999999999999</v>
      </c>
      <c r="I41">
        <v>77.957999999999998</v>
      </c>
      <c r="J41">
        <f t="shared" si="24"/>
        <v>70.442999999999998</v>
      </c>
      <c r="M41">
        <v>77.23</v>
      </c>
      <c r="O41">
        <v>69.167000000000002</v>
      </c>
      <c r="P41">
        <v>69.307000000000002</v>
      </c>
      <c r="T41">
        <v>51.933</v>
      </c>
      <c r="U41">
        <v>69.584999999999994</v>
      </c>
      <c r="V41">
        <v>70.442999999999998</v>
      </c>
    </row>
    <row r="42" spans="2:22" x14ac:dyDescent="0.25">
      <c r="B42" t="s">
        <v>47</v>
      </c>
      <c r="C42">
        <v>20</v>
      </c>
      <c r="G42">
        <v>20</v>
      </c>
      <c r="H42">
        <v>20</v>
      </c>
      <c r="I42">
        <v>20</v>
      </c>
      <c r="J42">
        <f t="shared" si="24"/>
        <v>20</v>
      </c>
      <c r="M42">
        <v>20</v>
      </c>
      <c r="O42">
        <v>20</v>
      </c>
      <c r="P42">
        <v>20</v>
      </c>
      <c r="T42">
        <v>20</v>
      </c>
      <c r="U42">
        <v>20</v>
      </c>
      <c r="V42">
        <v>20</v>
      </c>
    </row>
    <row r="43" spans="2:22" x14ac:dyDescent="0.25">
      <c r="B43" t="s">
        <v>51</v>
      </c>
      <c r="C43">
        <f>SUM(C38:C42)</f>
        <v>529.79300000000001</v>
      </c>
      <c r="G43">
        <f>SUM(G38:G42)+82.868</f>
        <v>569.52</v>
      </c>
      <c r="H43">
        <f>SUM(H38:H42)</f>
        <v>503.01799999999997</v>
      </c>
      <c r="I43">
        <v>552.35</v>
      </c>
      <c r="J43">
        <f t="shared" si="24"/>
        <v>540.529</v>
      </c>
      <c r="M43">
        <v>553.58000000000004</v>
      </c>
      <c r="O43">
        <v>557.35299999999995</v>
      </c>
      <c r="P43">
        <v>506.863</v>
      </c>
      <c r="T43">
        <f>SUM(T38:T42)</f>
        <v>529.79300000000001</v>
      </c>
      <c r="U43">
        <f>SUM(U38:U42)</f>
        <v>544.65800000000002</v>
      </c>
      <c r="V43">
        <f>SUM(V38:V42)</f>
        <v>540.529</v>
      </c>
    </row>
    <row r="45" spans="2:22" x14ac:dyDescent="0.25">
      <c r="B45" t="s">
        <v>48</v>
      </c>
      <c r="C45">
        <v>79.962999999999994</v>
      </c>
      <c r="G45">
        <v>79.966999999999999</v>
      </c>
      <c r="H45">
        <v>59.97</v>
      </c>
      <c r="I45">
        <v>59.973999999999997</v>
      </c>
      <c r="J45">
        <f>V45</f>
        <v>39.987000000000002</v>
      </c>
      <c r="M45">
        <v>39.984999999999999</v>
      </c>
      <c r="O45">
        <v>39.99</v>
      </c>
      <c r="P45">
        <v>149.99199999999999</v>
      </c>
      <c r="T45">
        <v>79.962999999999994</v>
      </c>
      <c r="U45">
        <v>59.976999999999997</v>
      </c>
      <c r="V45">
        <v>39.987000000000002</v>
      </c>
    </row>
    <row r="46" spans="2:22" x14ac:dyDescent="0.25">
      <c r="B46" t="s">
        <v>49</v>
      </c>
      <c r="C46">
        <v>265.42200000000003</v>
      </c>
      <c r="G46">
        <v>250.58699999999999</v>
      </c>
      <c r="H46">
        <v>273.39400000000001</v>
      </c>
      <c r="I46">
        <v>276.18400000000003</v>
      </c>
      <c r="J46">
        <f>V46</f>
        <v>284.36099999999999</v>
      </c>
      <c r="M46">
        <v>281.70800000000003</v>
      </c>
      <c r="O46">
        <v>276.697</v>
      </c>
      <c r="P46">
        <v>281.68</v>
      </c>
      <c r="T46">
        <v>265.42200000000003</v>
      </c>
      <c r="U46">
        <v>286.815</v>
      </c>
      <c r="V46">
        <v>284.36099999999999</v>
      </c>
    </row>
    <row r="47" spans="2:22" x14ac:dyDescent="0.25">
      <c r="B47" t="s">
        <v>50</v>
      </c>
      <c r="C47">
        <v>310.51499999999999</v>
      </c>
      <c r="G47">
        <v>310.51499999999999</v>
      </c>
      <c r="H47">
        <v>310.51499999999999</v>
      </c>
      <c r="I47">
        <v>347.24299999999999</v>
      </c>
      <c r="J47">
        <f>V47</f>
        <v>381.93</v>
      </c>
      <c r="M47">
        <v>374.81799999999998</v>
      </c>
      <c r="O47">
        <v>381.93</v>
      </c>
      <c r="P47">
        <v>381.93</v>
      </c>
      <c r="T47">
        <v>310.51499999999999</v>
      </c>
      <c r="U47">
        <v>363.13200000000001</v>
      </c>
      <c r="V47">
        <v>381.93</v>
      </c>
    </row>
    <row r="48" spans="2:22" x14ac:dyDescent="0.25">
      <c r="B48" t="s">
        <v>52</v>
      </c>
      <c r="C48">
        <f>SUM(C45:C47)</f>
        <v>655.9</v>
      </c>
      <c r="G48">
        <f>SUM(G45:G47)</f>
        <v>641.06899999999996</v>
      </c>
      <c r="H48">
        <v>643.87900000000002</v>
      </c>
      <c r="I48">
        <v>683.40099999999995</v>
      </c>
      <c r="J48">
        <f>V48</f>
        <v>706.27800000000002</v>
      </c>
      <c r="M48">
        <v>696.51099999999997</v>
      </c>
      <c r="O48">
        <v>698.61699999999996</v>
      </c>
      <c r="P48">
        <v>813.60199999999998</v>
      </c>
      <c r="T48">
        <f>SUM(T45:T47)</f>
        <v>655.9</v>
      </c>
      <c r="U48">
        <f>SUM(U45:U47)</f>
        <v>709.92399999999998</v>
      </c>
      <c r="V48">
        <f>SUM(V45:V47)</f>
        <v>706.27800000000002</v>
      </c>
    </row>
    <row r="50" spans="2:22" x14ac:dyDescent="0.25">
      <c r="B50" t="s">
        <v>53</v>
      </c>
      <c r="C50">
        <v>1185.693</v>
      </c>
      <c r="G50">
        <v>1210.5889999999999</v>
      </c>
      <c r="H50">
        <f>SUM(H45:H48)</f>
        <v>1287.758</v>
      </c>
      <c r="I50">
        <v>1235.751</v>
      </c>
      <c r="J50">
        <f>V50</f>
        <v>1246.807</v>
      </c>
      <c r="M50">
        <v>1250.0909999999999</v>
      </c>
      <c r="O50">
        <v>1255.97</v>
      </c>
      <c r="P50">
        <v>1320.4649999999999</v>
      </c>
      <c r="T50">
        <f>SUM(T43+T48)</f>
        <v>1185.693</v>
      </c>
      <c r="U50">
        <f>SUM(U43+U48)</f>
        <v>1254.5819999999999</v>
      </c>
      <c r="V50">
        <f>SUM(V43+V48)</f>
        <v>1246.807</v>
      </c>
    </row>
    <row r="51" spans="2:22" x14ac:dyDescent="0.25">
      <c r="B51" t="s">
        <v>54</v>
      </c>
      <c r="C51">
        <f>+C33-C45</f>
        <v>106.34900000000002</v>
      </c>
      <c r="G51">
        <f>+G33-G45</f>
        <v>127.657</v>
      </c>
      <c r="H51">
        <f>+H33-H45</f>
        <v>-4.8290000000000006</v>
      </c>
      <c r="I51">
        <f>+I33-I45</f>
        <v>146.62700000000001</v>
      </c>
      <c r="J51">
        <f>V51</f>
        <v>68.688999999999993</v>
      </c>
      <c r="M51">
        <f>+M33-M45</f>
        <v>34.177999999999997</v>
      </c>
      <c r="O51">
        <f>+O33-O45</f>
        <v>57.207999999999991</v>
      </c>
      <c r="P51">
        <f>+P33-P45</f>
        <v>-125.93499999999999</v>
      </c>
      <c r="T51">
        <f>+T33-T45</f>
        <v>106.34900000000002</v>
      </c>
      <c r="U51">
        <f>+U33-U45</f>
        <v>373.822</v>
      </c>
      <c r="V51">
        <f>+V33-V45</f>
        <v>68.688999999999993</v>
      </c>
    </row>
    <row r="52" spans="2:22" x14ac:dyDescent="0.25">
      <c r="B52" t="s">
        <v>84</v>
      </c>
      <c r="C52">
        <v>3652.9169999999999</v>
      </c>
      <c r="G52">
        <v>3746.4989999999998</v>
      </c>
      <c r="H52">
        <v>3832.0349999999999</v>
      </c>
      <c r="I52">
        <v>4063.123</v>
      </c>
      <c r="J52">
        <f>V52</f>
        <v>4244.5880000000006</v>
      </c>
      <c r="M52">
        <v>4175.74</v>
      </c>
      <c r="O52">
        <v>4235.3239999999996</v>
      </c>
      <c r="P52">
        <v>4230.6310000000003</v>
      </c>
      <c r="T52">
        <f>+T36-T50</f>
        <v>3652.9169999999995</v>
      </c>
      <c r="U52">
        <f>+U36-U50</f>
        <v>4257.8109999999997</v>
      </c>
      <c r="V52">
        <f>+V36-V50</f>
        <v>4244.5880000000006</v>
      </c>
    </row>
    <row r="53" spans="2:22" x14ac:dyDescent="0.25">
      <c r="B53" t="s">
        <v>85</v>
      </c>
      <c r="C53">
        <f>+C34-C43</f>
        <v>403.947</v>
      </c>
      <c r="G53">
        <f>+G34-G43</f>
        <v>300.43000000000006</v>
      </c>
      <c r="H53">
        <f>+H34-H43</f>
        <v>227.59100000000007</v>
      </c>
      <c r="I53">
        <f>+I34-I43</f>
        <v>401.86599999999999</v>
      </c>
      <c r="J53">
        <f>V53</f>
        <v>180.154</v>
      </c>
      <c r="M53">
        <f>+M34-M43</f>
        <v>181.47899999999993</v>
      </c>
      <c r="O53">
        <f>+O34-O43</f>
        <v>177.03000000000009</v>
      </c>
      <c r="P53">
        <f>+P34-P43</f>
        <v>191.28000000000003</v>
      </c>
      <c r="T53">
        <f>+T34-T43</f>
        <v>403.947</v>
      </c>
      <c r="U53">
        <f>+U34-U43</f>
        <v>598.67500000000007</v>
      </c>
      <c r="V53">
        <f>+V34-V43</f>
        <v>180.154</v>
      </c>
    </row>
    <row r="55" spans="2:22" x14ac:dyDescent="0.25">
      <c r="B55" t="s">
        <v>55</v>
      </c>
      <c r="C55">
        <v>3652.9169999999999</v>
      </c>
      <c r="G55">
        <v>3746.4989999999998</v>
      </c>
      <c r="H55">
        <f>H52</f>
        <v>3832.0349999999999</v>
      </c>
      <c r="I55">
        <f>I52</f>
        <v>4063.123</v>
      </c>
      <c r="J55">
        <f>V55</f>
        <v>4244.5879999999997</v>
      </c>
      <c r="M55">
        <f>M52</f>
        <v>4175.74</v>
      </c>
      <c r="O55">
        <f>O52</f>
        <v>4235.3239999999996</v>
      </c>
      <c r="P55">
        <f>P52</f>
        <v>4230.6310000000003</v>
      </c>
      <c r="T55">
        <f>+T52</f>
        <v>3652.9169999999995</v>
      </c>
      <c r="U55">
        <v>4257.8109999999997</v>
      </c>
      <c r="V55">
        <v>4244.5879999999997</v>
      </c>
    </row>
    <row r="56" spans="2:22" x14ac:dyDescent="0.25">
      <c r="B56" t="s">
        <v>56</v>
      </c>
      <c r="C56">
        <f>+C55+C50</f>
        <v>4838.6099999999997</v>
      </c>
      <c r="G56">
        <f>+G55+G50</f>
        <v>4957.0879999999997</v>
      </c>
      <c r="H56">
        <f>+H55+H50</f>
        <v>5119.7929999999997</v>
      </c>
      <c r="I56">
        <f>+I55+I50</f>
        <v>5298.8739999999998</v>
      </c>
      <c r="J56">
        <f>V56</f>
        <v>5491.3949999999995</v>
      </c>
      <c r="M56">
        <f>+M52+M50</f>
        <v>5425.8310000000001</v>
      </c>
      <c r="O56">
        <f>+O55+O50</f>
        <v>5491.2939999999999</v>
      </c>
      <c r="P56">
        <f>+P55+P50</f>
        <v>5551.0960000000005</v>
      </c>
      <c r="T56">
        <f>+T55+T50</f>
        <v>4838.6099999999997</v>
      </c>
      <c r="U56">
        <f>+U50+U55</f>
        <v>5512.393</v>
      </c>
      <c r="V56">
        <f>+V50+V55</f>
        <v>5491.3949999999995</v>
      </c>
    </row>
    <row r="58" spans="2:22" x14ac:dyDescent="0.25">
      <c r="B58" t="s">
        <v>57</v>
      </c>
      <c r="C58">
        <f>C83</f>
        <v>388.72500000000002</v>
      </c>
      <c r="G58">
        <f>G83</f>
        <v>415.36700000000002</v>
      </c>
      <c r="H58">
        <f>H83</f>
        <v>400.68599999999998</v>
      </c>
      <c r="I58">
        <f>I83</f>
        <v>316.38900000000007</v>
      </c>
      <c r="J58">
        <f>V58</f>
        <v>1658.8229999999996</v>
      </c>
      <c r="K58">
        <f>K83</f>
        <v>423.89299999999997</v>
      </c>
      <c r="O58">
        <f>O83</f>
        <v>336.51900000000001</v>
      </c>
      <c r="P58">
        <f>P83</f>
        <v>285.84699999999998</v>
      </c>
      <c r="T58">
        <f>T83</f>
        <v>1691.5820000000003</v>
      </c>
      <c r="U58">
        <f>U83</f>
        <v>1589.7249999999997</v>
      </c>
      <c r="V58">
        <f>V83</f>
        <v>1658.8229999999996</v>
      </c>
    </row>
    <row r="59" spans="2:22" x14ac:dyDescent="0.25">
      <c r="B59" t="s">
        <v>58</v>
      </c>
      <c r="C59">
        <f>C89</f>
        <v>-108.45400000000001</v>
      </c>
      <c r="G59">
        <f>G89</f>
        <v>-199.875</v>
      </c>
      <c r="H59">
        <f>H89</f>
        <v>-74.37299999999999</v>
      </c>
      <c r="I59">
        <f>I89</f>
        <v>-306.03699999999998</v>
      </c>
      <c r="J59">
        <f>V59</f>
        <v>-751.19399999999996</v>
      </c>
      <c r="K59">
        <f>K89</f>
        <v>-117.952</v>
      </c>
      <c r="O59">
        <f>O89</f>
        <v>-82.917000000000002</v>
      </c>
      <c r="P59">
        <f>P89</f>
        <v>-185.23400000000001</v>
      </c>
      <c r="T59">
        <f>T89</f>
        <v>-547.47199999999998</v>
      </c>
      <c r="U59">
        <f>U89</f>
        <v>-659.82</v>
      </c>
      <c r="V59">
        <f>V89</f>
        <v>-751.19399999999996</v>
      </c>
    </row>
    <row r="60" spans="2:22" x14ac:dyDescent="0.25">
      <c r="B60" t="s">
        <v>59</v>
      </c>
      <c r="C60">
        <f>C95</f>
        <v>-480.71300000000002</v>
      </c>
      <c r="G60">
        <f>G95</f>
        <v>-194.18</v>
      </c>
      <c r="H60">
        <f>H95</f>
        <v>-614.05500000000006</v>
      </c>
      <c r="I60">
        <f>I95</f>
        <v>276.36700000000002</v>
      </c>
      <c r="J60">
        <f>V60</f>
        <v>-1233.212</v>
      </c>
      <c r="K60">
        <f>K95</f>
        <v>-158.76599999999999</v>
      </c>
      <c r="O60">
        <f>O95</f>
        <v>-265.08</v>
      </c>
      <c r="P60">
        <f>P95</f>
        <v>-173.75400000000002</v>
      </c>
      <c r="T60">
        <f>T95</f>
        <v>-1420.3620000000001</v>
      </c>
      <c r="U60">
        <f>U95</f>
        <v>-661.82799999999997</v>
      </c>
      <c r="V60">
        <f>V95</f>
        <v>-1233.212</v>
      </c>
    </row>
    <row r="61" spans="2:22" x14ac:dyDescent="0.25">
      <c r="B61" t="s">
        <v>83</v>
      </c>
      <c r="C61">
        <f>+C58+C59+C60</f>
        <v>-200.44200000000001</v>
      </c>
      <c r="G61">
        <f>+G58+G59+G60</f>
        <v>21.312000000000012</v>
      </c>
      <c r="H61">
        <f>+H58+H59+H60</f>
        <v>-287.74200000000008</v>
      </c>
      <c r="I61">
        <f>+I58+I59+I60</f>
        <v>286.71900000000011</v>
      </c>
      <c r="J61">
        <f>V61</f>
        <v>-325.58300000000031</v>
      </c>
      <c r="K61">
        <f>SUM(K58:K60)</f>
        <v>147.17499999999998</v>
      </c>
      <c r="O61">
        <f>SUM(O58:O60)</f>
        <v>-11.47799999999998</v>
      </c>
      <c r="P61">
        <f>SUM(P58:P60)</f>
        <v>-73.141000000000048</v>
      </c>
      <c r="T61">
        <f>+T95+T89+T83</f>
        <v>-276.25199999999973</v>
      </c>
      <c r="U61">
        <f>+U95+U89+U83</f>
        <v>268.07699999999954</v>
      </c>
      <c r="V61">
        <f>+V95+V89+V83</f>
        <v>-325.58300000000031</v>
      </c>
    </row>
    <row r="63" spans="2:22" x14ac:dyDescent="0.25">
      <c r="B63" s="2" t="s">
        <v>60</v>
      </c>
      <c r="C63" s="2">
        <f>+C25/C55</f>
        <v>8.2057982702590848E-2</v>
      </c>
      <c r="D63" s="2"/>
      <c r="E63" s="2"/>
      <c r="F63" s="2"/>
      <c r="G63" s="2">
        <f>+G25/G55</f>
        <v>7.6081162706836444E-2</v>
      </c>
      <c r="H63" s="2">
        <f>+H25/H55</f>
        <v>7.6294188335962479E-2</v>
      </c>
      <c r="I63" s="2">
        <f>+I25/I55</f>
        <v>8.3503994341298543E-2</v>
      </c>
      <c r="K63" s="2"/>
      <c r="L63" s="2"/>
      <c r="M63" s="2"/>
      <c r="N63" s="2"/>
      <c r="O63" s="2">
        <f>+O25/O55</f>
        <v>6.0127631321712352E-2</v>
      </c>
      <c r="P63" s="2">
        <f>+P25/P55</f>
        <v>6.349549275273593E-2</v>
      </c>
      <c r="Q63" s="2"/>
      <c r="R63" s="2"/>
      <c r="S63" s="2"/>
      <c r="T63" s="2">
        <f>+T25/T55</f>
        <v>0.37660998046218969</v>
      </c>
      <c r="U63" s="2">
        <f>+U25/U55</f>
        <v>0.28777604266605561</v>
      </c>
      <c r="V63" s="2">
        <f>+V25/V55</f>
        <v>0.27302414274365416</v>
      </c>
    </row>
    <row r="64" spans="2:22" x14ac:dyDescent="0.25">
      <c r="B64" s="2" t="s">
        <v>61</v>
      </c>
      <c r="C64" s="2">
        <f>+C25/C36</f>
        <v>6.1949816166213034E-2</v>
      </c>
      <c r="D64" s="2"/>
      <c r="E64" s="2"/>
      <c r="F64" s="2"/>
      <c r="G64" s="2">
        <f>+G25/G36</f>
        <v>5.7501097418484408E-2</v>
      </c>
      <c r="H64" s="2">
        <f>+H25/H36</f>
        <v>5.8719821841310541E-2</v>
      </c>
      <c r="I64" s="2">
        <f>+I25/I36</f>
        <v>6.4030018452976983E-2</v>
      </c>
      <c r="K64" s="2"/>
      <c r="L64" s="2"/>
      <c r="M64" s="2"/>
      <c r="N64" s="2"/>
      <c r="O64" s="2">
        <f>+O25/O36</f>
        <v>4.6375225948565135E-2</v>
      </c>
      <c r="P64" s="2">
        <f>+P25/P36</f>
        <v>4.8391524844823439E-2</v>
      </c>
      <c r="Q64" s="2"/>
      <c r="R64" s="2"/>
      <c r="S64" s="2"/>
      <c r="T64" s="2">
        <f>+T25/T36</f>
        <v>0.28432235704055514</v>
      </c>
      <c r="U64" s="2">
        <f>+U25/U36</f>
        <v>0.22228023292243509</v>
      </c>
      <c r="V64" s="2">
        <f>+V25/V36</f>
        <v>0.21103471886469671</v>
      </c>
    </row>
    <row r="65" spans="2:24" x14ac:dyDescent="0.25">
      <c r="B65" s="2" t="s">
        <v>86</v>
      </c>
      <c r="C65" s="2">
        <f>+C25/(C52+C45-C33)</f>
        <v>8.4518610668116334E-2</v>
      </c>
      <c r="D65" s="2"/>
      <c r="E65" s="2"/>
      <c r="F65" s="2"/>
      <c r="G65" s="2">
        <f>+G25/(G52+G45-G33)</f>
        <v>7.8764975094242851E-2</v>
      </c>
      <c r="H65" s="2">
        <f>+H25/(H52+H45-H33)</f>
        <v>7.6198166002235154E-2</v>
      </c>
      <c r="I65" s="2">
        <f>+I25/(I52+I45-I33)</f>
        <v>8.6630242951863098E-2</v>
      </c>
      <c r="K65" s="2"/>
      <c r="L65" s="2"/>
      <c r="M65" s="2"/>
      <c r="N65" s="2"/>
      <c r="O65" s="2">
        <f>SUM(O25/(O55+O45-O33))</f>
        <v>6.0950916633238539E-2</v>
      </c>
      <c r="P65" s="2">
        <f>+P25/(P55+P45-P33)</f>
        <v>6.1660032236399022E-2</v>
      </c>
      <c r="Q65" s="2"/>
      <c r="R65" s="2" t="s">
        <v>91</v>
      </c>
      <c r="S65" s="2" t="s">
        <v>92</v>
      </c>
      <c r="T65" s="2">
        <f>+T25/(T55-T33)</f>
        <v>0.39685080936535905</v>
      </c>
      <c r="U65" s="2">
        <f>+U25/(U55-U33)</f>
        <v>0.32042158863518233</v>
      </c>
      <c r="V65" s="2">
        <f>+V25/(V55-V33)</f>
        <v>0.28019817636352068</v>
      </c>
      <c r="X65" s="2"/>
    </row>
    <row r="66" spans="2:24" x14ac:dyDescent="0.25">
      <c r="S66" t="s">
        <v>93</v>
      </c>
      <c r="T66" s="2">
        <f>+T25/(T55+T45-T33)</f>
        <v>0.38790317850947748</v>
      </c>
      <c r="U66" s="2">
        <f>+U25/(U55+U45-U33)</f>
        <v>0.3154736020107165</v>
      </c>
      <c r="V66" s="2">
        <f>+V25/(V55+V45-V33)</f>
        <v>0.27751509315718642</v>
      </c>
    </row>
    <row r="67" spans="2:24" x14ac:dyDescent="0.25">
      <c r="B67" s="2"/>
    </row>
    <row r="69" spans="2:24" x14ac:dyDescent="0.25">
      <c r="B69" t="s">
        <v>24</v>
      </c>
      <c r="C69">
        <v>299.75099999999998</v>
      </c>
      <c r="G69">
        <v>285.03800000000001</v>
      </c>
      <c r="H69">
        <f>577.4-G69</f>
        <v>292.36199999999997</v>
      </c>
      <c r="I69">
        <f>916.687-H69-G69</f>
        <v>339.28700000000003</v>
      </c>
      <c r="J69">
        <f>V69-I69-H69-G69</f>
        <v>269.38600000000008</v>
      </c>
      <c r="K69">
        <v>292.30399999999997</v>
      </c>
      <c r="O69">
        <v>254.66</v>
      </c>
      <c r="P69">
        <f>523.286-O69</f>
        <v>268.62599999999998</v>
      </c>
      <c r="T69">
        <v>1377.1590000000001</v>
      </c>
      <c r="U69">
        <v>1239.502</v>
      </c>
      <c r="V69">
        <v>1186.0730000000001</v>
      </c>
    </row>
    <row r="70" spans="2:24" x14ac:dyDescent="0.25">
      <c r="B70" t="s">
        <v>62</v>
      </c>
      <c r="C70">
        <v>67.343999999999994</v>
      </c>
      <c r="G70">
        <v>75.950999999999993</v>
      </c>
      <c r="H70">
        <f>135.658-G70</f>
        <v>59.706999999999994</v>
      </c>
      <c r="I70">
        <f>239.797-H70-G70</f>
        <v>104.13900000000001</v>
      </c>
      <c r="J70">
        <f>V70-I70-H70-G70</f>
        <v>104.78099999999998</v>
      </c>
      <c r="K70">
        <v>84.534000000000006</v>
      </c>
      <c r="O70">
        <v>89.135000000000005</v>
      </c>
      <c r="P70">
        <f>179.8-O70</f>
        <v>90.665000000000006</v>
      </c>
      <c r="T70">
        <v>276.06599999999997</v>
      </c>
      <c r="U70">
        <v>324.44900000000001</v>
      </c>
      <c r="V70">
        <v>344.57799999999997</v>
      </c>
    </row>
    <row r="71" spans="2:24" x14ac:dyDescent="0.25">
      <c r="B71" t="s">
        <v>63</v>
      </c>
      <c r="T71">
        <v>16.658000000000001</v>
      </c>
      <c r="U71">
        <v>18.664999999999999</v>
      </c>
      <c r="V71">
        <v>17.186</v>
      </c>
    </row>
    <row r="72" spans="2:24" x14ac:dyDescent="0.25">
      <c r="B72" t="s">
        <v>64</v>
      </c>
      <c r="C72">
        <v>1.2050000000000001</v>
      </c>
      <c r="G72">
        <v>-1.2050000000000001</v>
      </c>
      <c r="H72">
        <f>+-2.061-G72</f>
        <v>-0.85599999999999987</v>
      </c>
      <c r="I72">
        <f>+-7.446-H72-G72</f>
        <v>-5.3849999999999998</v>
      </c>
      <c r="J72">
        <f>V72-I72-H72-G72</f>
        <v>4.0449999999999999</v>
      </c>
      <c r="T72">
        <v>-3.4249999999999998</v>
      </c>
      <c r="U72">
        <v>-22.555</v>
      </c>
      <c r="V72">
        <v>-3.4009999999999998</v>
      </c>
    </row>
    <row r="73" spans="2:24" x14ac:dyDescent="0.25">
      <c r="B73" t="s">
        <v>50</v>
      </c>
      <c r="T73">
        <v>62.008000000000003</v>
      </c>
      <c r="U73">
        <v>53.341000000000001</v>
      </c>
      <c r="V73">
        <v>19.34</v>
      </c>
    </row>
    <row r="74" spans="2:24" x14ac:dyDescent="0.25">
      <c r="B74" t="s">
        <v>65</v>
      </c>
      <c r="T74">
        <v>15.893000000000001</v>
      </c>
      <c r="U74">
        <v>11.08</v>
      </c>
      <c r="V74">
        <v>11.349</v>
      </c>
    </row>
    <row r="75" spans="2:24" x14ac:dyDescent="0.25">
      <c r="B75" s="3" t="s">
        <v>66</v>
      </c>
    </row>
    <row r="76" spans="2:24" x14ac:dyDescent="0.25">
      <c r="B76" t="s">
        <v>67</v>
      </c>
      <c r="T76">
        <v>-13.009</v>
      </c>
      <c r="U76">
        <v>-3.875</v>
      </c>
      <c r="V76">
        <v>74.08</v>
      </c>
    </row>
    <row r="77" spans="2:24" x14ac:dyDescent="0.25">
      <c r="B77" t="s">
        <v>68</v>
      </c>
      <c r="T77">
        <v>-24.713999999999999</v>
      </c>
      <c r="U77">
        <v>-38.189</v>
      </c>
      <c r="V77">
        <v>5.5620000000000003</v>
      </c>
    </row>
    <row r="78" spans="2:24" x14ac:dyDescent="0.25">
      <c r="B78" t="s">
        <v>43</v>
      </c>
      <c r="T78">
        <v>23.756</v>
      </c>
      <c r="U78">
        <v>6.4989999999999997</v>
      </c>
      <c r="V78">
        <v>-20.954999999999998</v>
      </c>
    </row>
    <row r="79" spans="2:24" x14ac:dyDescent="0.25">
      <c r="B79" t="s">
        <v>80</v>
      </c>
      <c r="T79">
        <v>-11.202</v>
      </c>
      <c r="U79">
        <v>-1.4219999999999999</v>
      </c>
      <c r="V79">
        <v>8.3480000000000008</v>
      </c>
    </row>
    <row r="80" spans="2:24" x14ac:dyDescent="0.25">
      <c r="B80" t="s">
        <v>79</v>
      </c>
      <c r="T80">
        <v>5.4640000000000004</v>
      </c>
      <c r="U80">
        <v>-2.2490000000000001</v>
      </c>
      <c r="V80">
        <v>10.441000000000001</v>
      </c>
    </row>
    <row r="81" spans="2:22" x14ac:dyDescent="0.25">
      <c r="B81" t="s">
        <v>69</v>
      </c>
      <c r="T81">
        <v>6.48</v>
      </c>
      <c r="U81">
        <v>-5.8159999999999998</v>
      </c>
      <c r="V81">
        <v>14.57</v>
      </c>
    </row>
    <row r="82" spans="2:22" x14ac:dyDescent="0.25">
      <c r="B82" t="s">
        <v>70</v>
      </c>
      <c r="T82">
        <v>-39.552</v>
      </c>
      <c r="U82">
        <v>10.295</v>
      </c>
      <c r="V82">
        <v>-8.3480000000000008</v>
      </c>
    </row>
    <row r="83" spans="2:22" x14ac:dyDescent="0.25">
      <c r="B83" t="s">
        <v>88</v>
      </c>
      <c r="C83">
        <v>388.72500000000002</v>
      </c>
      <c r="G83">
        <v>415.36700000000002</v>
      </c>
      <c r="H83">
        <f>816.053-G83</f>
        <v>400.68599999999998</v>
      </c>
      <c r="I83">
        <f>1132.442-H83-G83</f>
        <v>316.38900000000007</v>
      </c>
      <c r="J83">
        <f>V83-I83-H83-G83</f>
        <v>526.38099999999963</v>
      </c>
      <c r="K83">
        <v>423.89299999999997</v>
      </c>
      <c r="O83">
        <v>336.51900000000001</v>
      </c>
      <c r="P83">
        <f>622.366-O83</f>
        <v>285.84699999999998</v>
      </c>
      <c r="T83">
        <f>SUM(T69:T82)</f>
        <v>1691.5820000000003</v>
      </c>
      <c r="U83">
        <f>SUM(U69:U82)</f>
        <v>1589.7249999999997</v>
      </c>
      <c r="V83">
        <f>SUM(V69:V82)</f>
        <v>1658.8229999999996</v>
      </c>
    </row>
    <row r="85" spans="2:22" x14ac:dyDescent="0.25">
      <c r="B85" t="s">
        <v>71</v>
      </c>
      <c r="C85">
        <v>-93.712999999999994</v>
      </c>
      <c r="G85">
        <v>-234.73599999999999</v>
      </c>
      <c r="H85">
        <f>-323.063-G85</f>
        <v>-88.326999999999998</v>
      </c>
      <c r="I85">
        <f>+-651.363-H85-G85</f>
        <v>-328.30000000000007</v>
      </c>
      <c r="J85">
        <f>V85-I85-H85-G85</f>
        <v>-119.95499999999993</v>
      </c>
      <c r="K85">
        <v>-119.511</v>
      </c>
      <c r="O85">
        <v>-88.149000000000001</v>
      </c>
      <c r="P85">
        <f>+-275.313-O85</f>
        <v>-187.16399999999999</v>
      </c>
      <c r="T85">
        <v>-775.14800000000002</v>
      </c>
      <c r="U85">
        <v>-757.30899999999997</v>
      </c>
      <c r="V85">
        <v>-771.31799999999998</v>
      </c>
    </row>
    <row r="86" spans="2:22" x14ac:dyDescent="0.25">
      <c r="B86" t="s">
        <v>72</v>
      </c>
      <c r="C86">
        <v>10.455</v>
      </c>
      <c r="G86">
        <v>10.282999999999999</v>
      </c>
      <c r="H86">
        <f>18.928-G86</f>
        <v>8.6450000000000014</v>
      </c>
      <c r="I86">
        <f>22.226-H86-G86</f>
        <v>3.2979999999999983</v>
      </c>
      <c r="J86">
        <f>V86-I86-H86-G86</f>
        <v>-2.1020000000000003</v>
      </c>
      <c r="K86">
        <v>1.5589999999999999</v>
      </c>
      <c r="O86">
        <v>5.2320000000000002</v>
      </c>
      <c r="P86">
        <f>7.062-O86</f>
        <v>1.83</v>
      </c>
      <c r="T86">
        <v>22.096</v>
      </c>
      <c r="U86">
        <v>48.637</v>
      </c>
      <c r="V86">
        <v>20.123999999999999</v>
      </c>
    </row>
    <row r="87" spans="2:22" x14ac:dyDescent="0.25">
      <c r="B87" t="s">
        <v>81</v>
      </c>
      <c r="C87">
        <v>-75.162000000000006</v>
      </c>
      <c r="G87">
        <v>0</v>
      </c>
      <c r="H87">
        <v>-99.997</v>
      </c>
      <c r="I87">
        <v>0</v>
      </c>
      <c r="T87">
        <v>-163.72</v>
      </c>
      <c r="U87">
        <v>0</v>
      </c>
      <c r="V87">
        <v>-30</v>
      </c>
    </row>
    <row r="88" spans="2:22" x14ac:dyDescent="0.25">
      <c r="B88" t="s">
        <v>73</v>
      </c>
      <c r="C88">
        <v>49.966000000000001</v>
      </c>
      <c r="G88">
        <v>24.577999999999999</v>
      </c>
      <c r="H88">
        <f>129.884-G88</f>
        <v>105.30599999999998</v>
      </c>
      <c r="I88">
        <f>48.852-H88-G88</f>
        <v>-81.031999999999982</v>
      </c>
      <c r="J88">
        <f>V88-I88-H88-G88</f>
        <v>-18.852</v>
      </c>
      <c r="T88">
        <v>369.3</v>
      </c>
      <c r="U88">
        <v>48.851999999999997</v>
      </c>
      <c r="V88">
        <v>30</v>
      </c>
    </row>
    <row r="89" spans="2:22" x14ac:dyDescent="0.25">
      <c r="B89" t="s">
        <v>87</v>
      </c>
      <c r="C89">
        <f>SUM(C85:C88)</f>
        <v>-108.45400000000001</v>
      </c>
      <c r="G89">
        <f>SUM(G85:G88)</f>
        <v>-199.875</v>
      </c>
      <c r="H89">
        <f>+-274.248-G89</f>
        <v>-74.37299999999999</v>
      </c>
      <c r="I89">
        <f>+-580.285-H89-G89</f>
        <v>-306.03699999999998</v>
      </c>
      <c r="J89">
        <f>V89-I89-H89-G89</f>
        <v>-170.90899999999999</v>
      </c>
      <c r="K89">
        <f>+K85+K86</f>
        <v>-117.952</v>
      </c>
      <c r="O89">
        <f>+O85+O86</f>
        <v>-82.917000000000002</v>
      </c>
      <c r="P89">
        <f>+-268.151-O89</f>
        <v>-185.23400000000001</v>
      </c>
      <c r="T89">
        <f>SUM(T85:T88)</f>
        <v>-547.47199999999998</v>
      </c>
      <c r="U89">
        <f>SUM(U85:U88)</f>
        <v>-659.82</v>
      </c>
      <c r="V89">
        <f>SUM(V85:V88)</f>
        <v>-751.19399999999996</v>
      </c>
    </row>
    <row r="91" spans="2:22" x14ac:dyDescent="0.25">
      <c r="B91" t="s">
        <v>74</v>
      </c>
      <c r="C91">
        <v>-338.35199999999998</v>
      </c>
      <c r="G91">
        <v>-141.666</v>
      </c>
      <c r="H91">
        <f>+-731.87-G91</f>
        <v>-590.20399999999995</v>
      </c>
      <c r="I91">
        <f>+-368.095-H91-G91</f>
        <v>363.77499999999992</v>
      </c>
      <c r="J91">
        <f>V91-I91-H91-G91</f>
        <v>-599.19900000000007</v>
      </c>
      <c r="K91">
        <v>-85.28</v>
      </c>
      <c r="O91">
        <v>-201.077</v>
      </c>
      <c r="P91">
        <f>+-424.584-O91</f>
        <v>-223.50700000000001</v>
      </c>
      <c r="T91">
        <v>-1277.2190000000001</v>
      </c>
      <c r="U91">
        <v>-453.613</v>
      </c>
      <c r="V91">
        <v>-967.29399999999998</v>
      </c>
    </row>
    <row r="92" spans="2:22" x14ac:dyDescent="0.25">
      <c r="B92" t="s">
        <v>75</v>
      </c>
      <c r="C92">
        <v>-34.195999999999998</v>
      </c>
      <c r="G92">
        <v>-44.052</v>
      </c>
      <c r="H92">
        <f>+-68.035-G92</f>
        <v>-23.982999999999997</v>
      </c>
      <c r="I92">
        <f>-131.492-H92-G92</f>
        <v>-63.456999999999987</v>
      </c>
      <c r="J92">
        <f>V92-I92-H92-G92</f>
        <v>-92.126000000000005</v>
      </c>
      <c r="K92">
        <v>-56.633000000000003</v>
      </c>
      <c r="O92">
        <v>-59.494999999999997</v>
      </c>
      <c r="P92">
        <f>+-118.527-O92</f>
        <v>-59.032000000000004</v>
      </c>
      <c r="T92">
        <v>-134.48400000000001</v>
      </c>
      <c r="U92">
        <v>-175.089</v>
      </c>
      <c r="V92">
        <v>-223.61799999999999</v>
      </c>
    </row>
    <row r="93" spans="2:22" x14ac:dyDescent="0.25">
      <c r="B93" t="s">
        <v>76</v>
      </c>
      <c r="T93">
        <v>0</v>
      </c>
      <c r="U93">
        <v>-20</v>
      </c>
      <c r="V93">
        <v>-20</v>
      </c>
    </row>
    <row r="94" spans="2:22" x14ac:dyDescent="0.25">
      <c r="B94" t="s">
        <v>77</v>
      </c>
      <c r="C94">
        <v>-8.1649999999999991</v>
      </c>
      <c r="G94">
        <v>-8.4619999999999997</v>
      </c>
      <c r="H94">
        <f>+-8.33-G94</f>
        <v>0.13199999999999967</v>
      </c>
      <c r="I94">
        <f>+-12.281-H94-G94</f>
        <v>-3.9510000000000005</v>
      </c>
      <c r="J94">
        <f>V94-I94-H94-G94</f>
        <v>-10.019000000000002</v>
      </c>
      <c r="K94">
        <v>-16.853000000000002</v>
      </c>
      <c r="O94">
        <v>-4.508</v>
      </c>
      <c r="P94">
        <f>+-5.723-O94</f>
        <v>-1.2149999999999999</v>
      </c>
      <c r="T94">
        <v>-8.6590000000000007</v>
      </c>
      <c r="U94">
        <v>-13.125999999999999</v>
      </c>
      <c r="V94">
        <v>-22.3</v>
      </c>
    </row>
    <row r="95" spans="2:22" x14ac:dyDescent="0.25">
      <c r="B95" t="s">
        <v>82</v>
      </c>
      <c r="C95">
        <v>-480.71300000000002</v>
      </c>
      <c r="G95">
        <v>-194.18</v>
      </c>
      <c r="H95">
        <f>+-808.235-G95</f>
        <v>-614.05500000000006</v>
      </c>
      <c r="I95">
        <f>-531.868-H95-G95</f>
        <v>276.36700000000002</v>
      </c>
      <c r="J95">
        <f>V95-I95-H95-G95</f>
        <v>-701.34399999999982</v>
      </c>
      <c r="K95">
        <v>-158.76599999999999</v>
      </c>
      <c r="O95">
        <v>-265.08</v>
      </c>
      <c r="P95">
        <f>+-438.834-O95</f>
        <v>-173.75400000000002</v>
      </c>
      <c r="T95">
        <f>SUM(T91:T94)</f>
        <v>-1420.3620000000001</v>
      </c>
      <c r="U95">
        <f>SUM(U91:U94)</f>
        <v>-661.82799999999997</v>
      </c>
      <c r="V95">
        <f>SUM(V91:V94)</f>
        <v>-1233.212</v>
      </c>
    </row>
    <row r="99" spans="20:21" x14ac:dyDescent="0.25">
      <c r="T99" t="s">
        <v>94</v>
      </c>
    </row>
    <row r="100" spans="20:21" x14ac:dyDescent="0.25">
      <c r="T100" t="s">
        <v>95</v>
      </c>
      <c r="U100" s="2">
        <v>7.0000000000000007E-2</v>
      </c>
    </row>
    <row r="101" spans="20:21" x14ac:dyDescent="0.25">
      <c r="T101" t="s">
        <v>96</v>
      </c>
      <c r="U101" s="4">
        <f>NPV(U100,W16:AG16)</f>
        <v>21906.673821714623</v>
      </c>
    </row>
    <row r="102" spans="20:21" x14ac:dyDescent="0.25">
      <c r="T102" t="s">
        <v>97</v>
      </c>
      <c r="U102">
        <f>+U101/AG26</f>
        <v>99.883439984150982</v>
      </c>
    </row>
  </sheetData>
  <pageMargins left="0.7" right="0.7" top="0.75" bottom="0.75" header="0.3" footer="0.3"/>
  <ignoredErrors>
    <ignoredError sqref="T14:V14 C14:E14 G14:I14 K14:M14 O14:P14" formulaRange="1"/>
    <ignoredError sqref="D21 J14:J15 F14:F15 F21 J58:J60 W10:AG10 V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Flynn</dc:creator>
  <cp:lastModifiedBy>Ethan Flynn</cp:lastModifiedBy>
  <dcterms:created xsi:type="dcterms:W3CDTF">2025-09-27T00:57:12Z</dcterms:created>
  <dcterms:modified xsi:type="dcterms:W3CDTF">2025-09-28T16:55:50Z</dcterms:modified>
</cp:coreProperties>
</file>