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0EDCDAC8-C4DC-4C41-8C10-5A78F4350BF0}" xr6:coauthVersionLast="47" xr6:coauthVersionMax="47" xr10:uidLastSave="{00000000-0000-0000-0000-000000000000}"/>
  <bookViews>
    <workbookView xWindow="-120" yWindow="-120" windowWidth="29040" windowHeight="15840" activeTab="1" xr2:uid="{2065EE57-A505-45FA-8050-3F1BA76CB1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2" l="1"/>
  <c r="N72" i="2" s="1"/>
  <c r="U20" i="2"/>
  <c r="T20" i="2"/>
  <c r="S20" i="2"/>
  <c r="R20" i="2"/>
  <c r="Q20" i="2"/>
  <c r="P20" i="2"/>
  <c r="R21" i="2"/>
  <c r="Q21" i="2"/>
  <c r="P21" i="2"/>
  <c r="U19" i="2"/>
  <c r="T19" i="2"/>
  <c r="S19" i="2"/>
  <c r="R19" i="2"/>
  <c r="Q19" i="2"/>
  <c r="P19" i="2"/>
  <c r="U18" i="2"/>
  <c r="T18" i="2"/>
  <c r="S18" i="2"/>
  <c r="U17" i="2"/>
  <c r="T17" i="2"/>
  <c r="S17" i="2"/>
  <c r="R17" i="2"/>
  <c r="Q17" i="2"/>
  <c r="P17" i="2"/>
  <c r="Q16" i="2"/>
  <c r="R16" i="2" s="1"/>
  <c r="S16" i="2" s="1"/>
  <c r="T16" i="2" s="1"/>
  <c r="U16" i="2" s="1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S13" i="2"/>
  <c r="T13" i="2" s="1"/>
  <c r="U13" i="2" s="1"/>
  <c r="R13" i="2"/>
  <c r="Q13" i="2"/>
  <c r="P13" i="2"/>
  <c r="R12" i="2"/>
  <c r="S12" i="2" s="1"/>
  <c r="T12" i="2" s="1"/>
  <c r="U12" i="2" s="1"/>
  <c r="Q12" i="2"/>
  <c r="P12" i="2"/>
  <c r="R11" i="2"/>
  <c r="S11" i="2" s="1"/>
  <c r="T11" i="2" s="1"/>
  <c r="U11" i="2" s="1"/>
  <c r="Q11" i="2"/>
  <c r="P11" i="2"/>
  <c r="R10" i="2"/>
  <c r="S10" i="2" s="1"/>
  <c r="T10" i="2" s="1"/>
  <c r="U10" i="2" s="1"/>
  <c r="Q10" i="2"/>
  <c r="P10" i="2"/>
  <c r="N63" i="2"/>
  <c r="N67" i="2"/>
  <c r="N61" i="2"/>
  <c r="O63" i="2"/>
  <c r="O67" i="2"/>
  <c r="P7" i="2"/>
  <c r="P9" i="2" s="1"/>
  <c r="N23" i="2"/>
  <c r="O23" i="2"/>
  <c r="F40" i="2"/>
  <c r="F42" i="2" s="1"/>
  <c r="F39" i="2"/>
  <c r="F36" i="2"/>
  <c r="F44" i="2" s="1"/>
  <c r="F29" i="2"/>
  <c r="F28" i="2" s="1"/>
  <c r="F24" i="2"/>
  <c r="F14" i="2"/>
  <c r="F15" i="2" s="1"/>
  <c r="F17" i="2" s="1"/>
  <c r="F19" i="2" s="1"/>
  <c r="F20" i="2" s="1"/>
  <c r="I23" i="2"/>
  <c r="H23" i="2"/>
  <c r="H24" i="2"/>
  <c r="G24" i="2"/>
  <c r="D14" i="2"/>
  <c r="D15" i="2" s="1"/>
  <c r="D17" i="2" s="1"/>
  <c r="D19" i="2" s="1"/>
  <c r="D20" i="2" s="1"/>
  <c r="H14" i="2"/>
  <c r="H15" i="2" s="1"/>
  <c r="H17" i="2" s="1"/>
  <c r="H19" i="2" s="1"/>
  <c r="H20" i="2" s="1"/>
  <c r="I14" i="2"/>
  <c r="G19" i="2"/>
  <c r="G20" i="2" s="1"/>
  <c r="G14" i="2"/>
  <c r="D8" i="2"/>
  <c r="E40" i="2"/>
  <c r="E39" i="2"/>
  <c r="E42" i="2" s="1"/>
  <c r="E44" i="2" s="1"/>
  <c r="E29" i="2"/>
  <c r="E36" i="2" s="1"/>
  <c r="E16" i="2"/>
  <c r="E14" i="2"/>
  <c r="E9" i="2"/>
  <c r="G8" i="2"/>
  <c r="F8" i="2"/>
  <c r="H8" i="2"/>
  <c r="N40" i="2"/>
  <c r="O40" i="2"/>
  <c r="O39" i="2"/>
  <c r="N39" i="2"/>
  <c r="N36" i="2"/>
  <c r="O29" i="2"/>
  <c r="O36" i="2" s="1"/>
  <c r="N29" i="2"/>
  <c r="M14" i="2"/>
  <c r="O14" i="2"/>
  <c r="O15" i="2" s="1"/>
  <c r="O17" i="2" s="1"/>
  <c r="O19" i="2" s="1"/>
  <c r="O20" i="2" s="1"/>
  <c r="N14" i="2"/>
  <c r="M9" i="2"/>
  <c r="M24" i="2" s="1"/>
  <c r="N9" i="2"/>
  <c r="O9" i="2"/>
  <c r="O24" i="2" s="1"/>
  <c r="D24" i="2"/>
  <c r="I24" i="2"/>
  <c r="I40" i="2"/>
  <c r="I39" i="2"/>
  <c r="I29" i="2"/>
  <c r="I36" i="2" s="1"/>
  <c r="I16" i="2"/>
  <c r="I9" i="2"/>
  <c r="E7" i="1"/>
  <c r="E6" i="1"/>
  <c r="E5" i="1"/>
  <c r="E4" i="1"/>
  <c r="O42" i="2" l="1"/>
  <c r="O44" i="2" s="1"/>
  <c r="N15" i="2"/>
  <c r="N17" i="2" s="1"/>
  <c r="N19" i="2" s="1"/>
  <c r="N20" i="2" s="1"/>
  <c r="E15" i="2"/>
  <c r="I42" i="2"/>
  <c r="I44" i="2" s="1"/>
  <c r="Q7" i="2"/>
  <c r="N42" i="2"/>
  <c r="N44" i="2" s="1"/>
  <c r="P23" i="2"/>
  <c r="P8" i="2"/>
  <c r="E17" i="2"/>
  <c r="E19" i="2" s="1"/>
  <c r="E20" i="2" s="1"/>
  <c r="O61" i="2"/>
  <c r="E24" i="2"/>
  <c r="E28" i="2"/>
  <c r="N24" i="2"/>
  <c r="M15" i="2"/>
  <c r="M17" i="2" s="1"/>
  <c r="M19" i="2" s="1"/>
  <c r="M20" i="2" s="1"/>
  <c r="I15" i="2"/>
  <c r="I17" i="2" s="1"/>
  <c r="I20" i="2" s="1"/>
  <c r="I28" i="2"/>
  <c r="R7" i="2" l="1"/>
  <c r="Q9" i="2"/>
  <c r="Q8" i="2"/>
  <c r="Q23" i="2"/>
  <c r="I19" i="2"/>
  <c r="S7" i="2" l="1"/>
  <c r="R23" i="2"/>
  <c r="R9" i="2"/>
  <c r="R8" i="2" s="1"/>
  <c r="T7" i="2" l="1"/>
  <c r="S23" i="2"/>
  <c r="S9" i="2"/>
  <c r="S8" i="2" s="1"/>
  <c r="U7" i="2" l="1"/>
  <c r="T23" i="2"/>
  <c r="T9" i="2"/>
  <c r="T8" i="2" s="1"/>
  <c r="U23" i="2" l="1"/>
  <c r="U9" i="2"/>
  <c r="U8" i="2" s="1"/>
</calcChain>
</file>

<file path=xl/sharedStrings.xml><?xml version="1.0" encoding="utf-8"?>
<sst xmlns="http://schemas.openxmlformats.org/spreadsheetml/2006/main" count="141" uniqueCount="137">
  <si>
    <t>Price</t>
  </si>
  <si>
    <t>S/O</t>
  </si>
  <si>
    <t>MC</t>
  </si>
  <si>
    <t>Cash</t>
  </si>
  <si>
    <t>Debt</t>
  </si>
  <si>
    <t>EV</t>
  </si>
  <si>
    <t>Digital platform for residential real estate transactions</t>
  </si>
  <si>
    <t>Operating Functions</t>
  </si>
  <si>
    <t>Buy homes (charges service fee)</t>
  </si>
  <si>
    <t>Home Listing on MLS with partner agents (charges referal fee if home is sold)</t>
  </si>
  <si>
    <t>Market Place (Listing fee) *only in 3 markets (Dallas-fort worth, Charlotte, and Raleigh-Durham)</t>
  </si>
  <si>
    <t>Buy and Resell Homes ("vast majority of revenue", "core product offering")</t>
  </si>
  <si>
    <t>Biz Model (Products and services)</t>
  </si>
  <si>
    <t>Titles and Escrow services</t>
  </si>
  <si>
    <t>List with Opendoor</t>
  </si>
  <si>
    <t>Opendoor Market Place</t>
  </si>
  <si>
    <t>Market</t>
  </si>
  <si>
    <t>operating in 50 US markets (not all 50 states)</t>
  </si>
  <si>
    <t>Core Offering Process</t>
  </si>
  <si>
    <t>1. Offer</t>
  </si>
  <si>
    <t>2. Home Acquisition and Repairs</t>
  </si>
  <si>
    <t>3. Home Sale</t>
  </si>
  <si>
    <t>Albuquerque</t>
  </si>
  <si>
    <t>Atlanta</t>
  </si>
  <si>
    <t>Austin</t>
  </si>
  <si>
    <t>Birmingham</t>
  </si>
  <si>
    <t>Boston</t>
  </si>
  <si>
    <t>Charleston</t>
  </si>
  <si>
    <t>Charlotte</t>
  </si>
  <si>
    <t>Chattanooga</t>
  </si>
  <si>
    <t>Cincinnati</t>
  </si>
  <si>
    <t>Cleveland</t>
  </si>
  <si>
    <t>Colorado Springs</t>
  </si>
  <si>
    <t>Columbia</t>
  </si>
  <si>
    <t>Columbus</t>
  </si>
  <si>
    <t>Corpus Christi</t>
  </si>
  <si>
    <t>Dallas-Fort Worth</t>
  </si>
  <si>
    <t>Denver</t>
  </si>
  <si>
    <t>Detroit</t>
  </si>
  <si>
    <t>Greensboro-Winston</t>
  </si>
  <si>
    <t>Greenville</t>
  </si>
  <si>
    <t>Houston</t>
  </si>
  <si>
    <t>Indianapolis</t>
  </si>
  <si>
    <t>Jacksonville</t>
  </si>
  <si>
    <t>Kansas City</t>
  </si>
  <si>
    <t>Killeen</t>
  </si>
  <si>
    <t>Knoxville-Morristown</t>
  </si>
  <si>
    <t>Las Vegas</t>
  </si>
  <si>
    <t>Los Angeles</t>
  </si>
  <si>
    <t>Miami</t>
  </si>
  <si>
    <t>Minneapolis-St Paul</t>
  </si>
  <si>
    <t>Nashville</t>
  </si>
  <si>
    <t>New York-New Jersery</t>
  </si>
  <si>
    <t>Northern Colorado</t>
  </si>
  <si>
    <t>Oklahoma City</t>
  </si>
  <si>
    <t>Orlando</t>
  </si>
  <si>
    <t>Phoenix</t>
  </si>
  <si>
    <t>Portland</t>
  </si>
  <si>
    <t>Prescott</t>
  </si>
  <si>
    <t>Raleigh-Durham</t>
  </si>
  <si>
    <t>Richmond</t>
  </si>
  <si>
    <t>Riverside</t>
  </si>
  <si>
    <t>Sacramento</t>
  </si>
  <si>
    <t>St Louis</t>
  </si>
  <si>
    <t>Salt Lake City</t>
  </si>
  <si>
    <t>San Antonio</t>
  </si>
  <si>
    <t>San Diego</t>
  </si>
  <si>
    <t>San Francico-Bay Area</t>
  </si>
  <si>
    <t>Southwest Florida</t>
  </si>
  <si>
    <t>Tampa</t>
  </si>
  <si>
    <t>Tucson</t>
  </si>
  <si>
    <t>Washington DC</t>
  </si>
  <si>
    <t>Homes Purchased</t>
  </si>
  <si>
    <t>Homes Sold</t>
  </si>
  <si>
    <t>Revenue</t>
  </si>
  <si>
    <t>Cost of Revenue</t>
  </si>
  <si>
    <t>Gross Profit</t>
  </si>
  <si>
    <t>Sales and Marketing</t>
  </si>
  <si>
    <t>General and Administrative</t>
  </si>
  <si>
    <t>Tech and Development</t>
  </si>
  <si>
    <t>Restucturing</t>
  </si>
  <si>
    <t>Operating Expenses</t>
  </si>
  <si>
    <t>Interest Expense</t>
  </si>
  <si>
    <t>Pre Tax Income</t>
  </si>
  <si>
    <t>Tax</t>
  </si>
  <si>
    <t>Net Income</t>
  </si>
  <si>
    <t>EPS</t>
  </si>
  <si>
    <t>Shares</t>
  </si>
  <si>
    <t>Revenue y/y</t>
  </si>
  <si>
    <t>Gross Margin</t>
  </si>
  <si>
    <t>Cash and equivalents</t>
  </si>
  <si>
    <t>Net Cash</t>
  </si>
  <si>
    <t>Real Estate</t>
  </si>
  <si>
    <t>PP&amp;E</t>
  </si>
  <si>
    <t>Right of Use Assests</t>
  </si>
  <si>
    <t>Goodwill</t>
  </si>
  <si>
    <t>Total Assests</t>
  </si>
  <si>
    <t>AP</t>
  </si>
  <si>
    <t>Lease</t>
  </si>
  <si>
    <t>Other</t>
  </si>
  <si>
    <t>Total Debt</t>
  </si>
  <si>
    <t>SE+L</t>
  </si>
  <si>
    <t>Depreciation and Amortization</t>
  </si>
  <si>
    <t>Amortizaion of Right of use asset</t>
  </si>
  <si>
    <t>Stock based compensation</t>
  </si>
  <si>
    <t>Inventory valuation</t>
  </si>
  <si>
    <t>Fair Value of Equities</t>
  </si>
  <si>
    <t>Gain on Debt</t>
  </si>
  <si>
    <t>Escrow Receivable</t>
  </si>
  <si>
    <t>Real Estate Inventory</t>
  </si>
  <si>
    <t>Other assests</t>
  </si>
  <si>
    <t>Interest Payable</t>
  </si>
  <si>
    <t>Cash Flow from Operations</t>
  </si>
  <si>
    <t>Investments</t>
  </si>
  <si>
    <t>Cash Flow from Investments</t>
  </si>
  <si>
    <t>Q225</t>
  </si>
  <si>
    <t>Statement of Operations</t>
  </si>
  <si>
    <t>PP&amp;E Net</t>
  </si>
  <si>
    <t>Other Current Assets</t>
  </si>
  <si>
    <t>Total Shareholders Equity</t>
  </si>
  <si>
    <t>Liabilities</t>
  </si>
  <si>
    <t>Balance Sheet</t>
  </si>
  <si>
    <t>Statement of Cashflows</t>
  </si>
  <si>
    <t>Q124</t>
  </si>
  <si>
    <t>Operating Income</t>
  </si>
  <si>
    <t>Other Assets</t>
  </si>
  <si>
    <t>Q224</t>
  </si>
  <si>
    <t>Q324</t>
  </si>
  <si>
    <t>Q424</t>
  </si>
  <si>
    <t>Q125</t>
  </si>
  <si>
    <t>Discount</t>
  </si>
  <si>
    <t>NPV</t>
  </si>
  <si>
    <t>Share price</t>
  </si>
  <si>
    <t>Maturity</t>
  </si>
  <si>
    <t>ROIC</t>
  </si>
  <si>
    <t>?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</si>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</sst>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9" fontId="0" fillId="0" borderId="0" xfId="0" applyNumberFormat="1"/>
    <xf numFmtId="164" fontId="0" fillId="0" borderId="0" xfId="0" applyNumberFormat="1"/>
    <xf numFmtId="39" fontId="1" fillId="0" borderId="0" xfId="0" applyNumberFormat="1" applyFont="1"/>
    <xf numFmtId="0" fontId="1" fillId="0" borderId="0" xfId="0" applyFont="1"/>
    <xf numFmtId="40" fontId="0" fillId="0" borderId="0" xfId="0" applyNumberFormat="1"/>
    <xf numFmtId="10" fontId="0" fillId="0" borderId="0" xfId="0" applyNumberFormat="1"/>
    <xf numFmtId="4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29307</xdr:colOff>
      <xdr:row>2</xdr:row>
      <xdr:rowOff>7327</xdr:rowOff>
    </xdr:from>
    <xdr:to>
      <xdr:col>15</xdr:col>
      <xdr:colOff>36634</xdr:colOff>
      <xdr:row>67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C7BB6C-2E58-3862-2A4C-8AB615DA8B3C}"/>
            </a:ext>
          </a:extLst>
        </xdr:cNvPr>
        <xdr:cNvCxnSpPr/>
      </xdr:nvCxnSpPr>
      <xdr:spPr>
        <a:xfrm>
          <a:off x="10323634" y="388327"/>
          <a:ext cx="7327" cy="12045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21981</xdr:colOff>
      <xdr:row>1</xdr:row>
      <xdr:rowOff>183173</xdr:rowOff>
    </xdr:from>
    <xdr:to>
      <xdr:col>9</xdr:col>
      <xdr:colOff>29308</xdr:colOff>
      <xdr:row>67</xdr:row>
      <xdr:rowOff>36634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937040-6E9B-49B4-9A93-D6249A249D1C}"/>
            </a:ext>
          </a:extLst>
        </xdr:cNvPr>
        <xdr:cNvCxnSpPr/>
      </xdr:nvCxnSpPr>
      <xdr:spPr>
        <a:xfrm>
          <a:off x="6491654" y="373673"/>
          <a:ext cx="7327" cy="12045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D7C4-9445-4685-A9F5-0F2C269A06A5}">
  <dimension ref="B2:M74"/>
  <sheetViews>
    <sheetView zoomScale="115" zoomScaleNormal="115" workbookViewId="0">
      <selection activeCell="C7" sqref="C6:C7"/>
    </sheetView>
  </sheetViews>
  <sheetFormatPr defaultRowHeight="15" x14ac:dyDescent="0.25"/>
  <cols>
    <col min="1" max="1" width="9.140625" style="1"/>
    <col min="2" max="2" width="9.85546875" style="1" bestFit="1" customWidth="1"/>
    <col min="3" max="4" width="9.140625" style="1"/>
    <col min="5" max="5" width="9.28515625" style="1" bestFit="1" customWidth="1"/>
    <col min="6" max="16384" width="9.140625" style="1"/>
  </cols>
  <sheetData>
    <row r="2" spans="2:13" x14ac:dyDescent="0.25">
      <c r="B2" s="2">
        <v>45914</v>
      </c>
      <c r="D2" s="1" t="s">
        <v>0</v>
      </c>
      <c r="E2" s="1">
        <v>9.42</v>
      </c>
    </row>
    <row r="3" spans="2:13" x14ac:dyDescent="0.25">
      <c r="D3" s="1" t="s">
        <v>1</v>
      </c>
      <c r="E3" s="1">
        <v>735.95418600000005</v>
      </c>
    </row>
    <row r="4" spans="2:13" x14ac:dyDescent="0.25">
      <c r="D4" s="1" t="s">
        <v>2</v>
      </c>
      <c r="E4" s="1">
        <f>+E2*E3</f>
        <v>6932.6884321200005</v>
      </c>
    </row>
    <row r="5" spans="2:13" x14ac:dyDescent="0.25">
      <c r="D5" s="1" t="s">
        <v>3</v>
      </c>
      <c r="E5" s="1">
        <f>789+396+10</f>
        <v>1195</v>
      </c>
    </row>
    <row r="6" spans="2:13" x14ac:dyDescent="0.25">
      <c r="D6" s="1" t="s">
        <v>4</v>
      </c>
      <c r="E6" s="1">
        <f>550+1189+437+378</f>
        <v>2554</v>
      </c>
    </row>
    <row r="7" spans="2:13" x14ac:dyDescent="0.25">
      <c r="D7" s="1" t="s">
        <v>5</v>
      </c>
      <c r="E7" s="1">
        <f>+E4-E5+E6</f>
        <v>8291.6884321200014</v>
      </c>
    </row>
    <row r="10" spans="2:13" x14ac:dyDescent="0.25">
      <c r="C10" s="1" t="s">
        <v>6</v>
      </c>
    </row>
    <row r="12" spans="2:13" x14ac:dyDescent="0.25">
      <c r="C12" s="3" t="s">
        <v>7</v>
      </c>
      <c r="M12" s="3" t="s">
        <v>18</v>
      </c>
    </row>
    <row r="13" spans="2:13" x14ac:dyDescent="0.25">
      <c r="C13" s="1" t="s">
        <v>8</v>
      </c>
      <c r="M13" s="1" t="s">
        <v>19</v>
      </c>
    </row>
    <row r="14" spans="2:13" x14ac:dyDescent="0.25">
      <c r="C14" s="1" t="s">
        <v>9</v>
      </c>
      <c r="M14" s="1" t="s">
        <v>20</v>
      </c>
    </row>
    <row r="15" spans="2:13" x14ac:dyDescent="0.25">
      <c r="C15" s="1" t="s">
        <v>10</v>
      </c>
      <c r="M15" s="1" t="s">
        <v>21</v>
      </c>
    </row>
    <row r="17" spans="3:3" x14ac:dyDescent="0.25">
      <c r="C17" s="3" t="s">
        <v>12</v>
      </c>
    </row>
    <row r="18" spans="3:3" x14ac:dyDescent="0.25">
      <c r="C18" s="1" t="s">
        <v>11</v>
      </c>
    </row>
    <row r="19" spans="3:3" x14ac:dyDescent="0.25">
      <c r="C19" s="1" t="s">
        <v>13</v>
      </c>
    </row>
    <row r="20" spans="3:3" x14ac:dyDescent="0.25">
      <c r="C20" s="1" t="s">
        <v>14</v>
      </c>
    </row>
    <row r="21" spans="3:3" x14ac:dyDescent="0.25">
      <c r="C21" s="1" t="s">
        <v>15</v>
      </c>
    </row>
    <row r="23" spans="3:3" x14ac:dyDescent="0.25">
      <c r="C23" s="3" t="s">
        <v>16</v>
      </c>
    </row>
    <row r="24" spans="3:3" x14ac:dyDescent="0.25">
      <c r="C24" s="1" t="s">
        <v>17</v>
      </c>
    </row>
    <row r="25" spans="3:3" x14ac:dyDescent="0.25">
      <c r="C25" s="1" t="s">
        <v>22</v>
      </c>
    </row>
    <row r="26" spans="3:3" x14ac:dyDescent="0.25">
      <c r="C26" s="1" t="s">
        <v>23</v>
      </c>
    </row>
    <row r="27" spans="3:3" x14ac:dyDescent="0.25">
      <c r="C27" s="1" t="s">
        <v>24</v>
      </c>
    </row>
    <row r="28" spans="3:3" x14ac:dyDescent="0.25">
      <c r="C28" s="1" t="s">
        <v>25</v>
      </c>
    </row>
    <row r="29" spans="3:3" x14ac:dyDescent="0.25">
      <c r="C29" s="1" t="s">
        <v>26</v>
      </c>
    </row>
    <row r="30" spans="3:3" x14ac:dyDescent="0.25">
      <c r="C30" s="1" t="s">
        <v>27</v>
      </c>
    </row>
    <row r="31" spans="3:3" x14ac:dyDescent="0.25">
      <c r="C31" s="1" t="s">
        <v>28</v>
      </c>
    </row>
    <row r="32" spans="3:3" x14ac:dyDescent="0.25">
      <c r="C32" s="1" t="s">
        <v>29</v>
      </c>
    </row>
    <row r="33" spans="3:3" x14ac:dyDescent="0.25">
      <c r="C33" s="1" t="s">
        <v>30</v>
      </c>
    </row>
    <row r="34" spans="3:3" x14ac:dyDescent="0.25">
      <c r="C34" s="1" t="s">
        <v>31</v>
      </c>
    </row>
    <row r="35" spans="3:3" x14ac:dyDescent="0.25">
      <c r="C35" s="1" t="s">
        <v>32</v>
      </c>
    </row>
    <row r="36" spans="3:3" x14ac:dyDescent="0.25">
      <c r="C36" s="1" t="s">
        <v>33</v>
      </c>
    </row>
    <row r="37" spans="3:3" x14ac:dyDescent="0.25">
      <c r="C37" s="1" t="s">
        <v>34</v>
      </c>
    </row>
    <row r="38" spans="3:3" x14ac:dyDescent="0.25">
      <c r="C38" s="1" t="s">
        <v>35</v>
      </c>
    </row>
    <row r="39" spans="3:3" x14ac:dyDescent="0.25">
      <c r="C39" s="1" t="s">
        <v>36</v>
      </c>
    </row>
    <row r="40" spans="3:3" x14ac:dyDescent="0.25">
      <c r="C40" s="1" t="s">
        <v>37</v>
      </c>
    </row>
    <row r="41" spans="3:3" x14ac:dyDescent="0.25">
      <c r="C41" s="1" t="s">
        <v>38</v>
      </c>
    </row>
    <row r="42" spans="3:3" x14ac:dyDescent="0.25">
      <c r="C42" s="1" t="s">
        <v>39</v>
      </c>
    </row>
    <row r="43" spans="3:3" x14ac:dyDescent="0.25">
      <c r="C43" s="1" t="s">
        <v>40</v>
      </c>
    </row>
    <row r="44" spans="3:3" x14ac:dyDescent="0.25">
      <c r="C44" s="1" t="s">
        <v>41</v>
      </c>
    </row>
    <row r="45" spans="3:3" x14ac:dyDescent="0.25">
      <c r="C45" s="1" t="s">
        <v>42</v>
      </c>
    </row>
    <row r="46" spans="3:3" x14ac:dyDescent="0.25">
      <c r="C46" s="1" t="s">
        <v>43</v>
      </c>
    </row>
    <row r="47" spans="3:3" x14ac:dyDescent="0.25">
      <c r="C47" s="1" t="s">
        <v>44</v>
      </c>
    </row>
    <row r="48" spans="3:3" x14ac:dyDescent="0.25">
      <c r="C48" s="1" t="s">
        <v>45</v>
      </c>
    </row>
    <row r="49" spans="3:3" x14ac:dyDescent="0.25">
      <c r="C49" s="1" t="s">
        <v>46</v>
      </c>
    </row>
    <row r="50" spans="3:3" x14ac:dyDescent="0.25">
      <c r="C50" s="1" t="s">
        <v>47</v>
      </c>
    </row>
    <row r="51" spans="3:3" x14ac:dyDescent="0.25">
      <c r="C51" s="1" t="s">
        <v>48</v>
      </c>
    </row>
    <row r="52" spans="3:3" x14ac:dyDescent="0.25">
      <c r="C52" s="1" t="s">
        <v>49</v>
      </c>
    </row>
    <row r="53" spans="3:3" x14ac:dyDescent="0.25">
      <c r="C53" s="1" t="s">
        <v>50</v>
      </c>
    </row>
    <row r="54" spans="3:3" x14ac:dyDescent="0.25">
      <c r="C54" s="1" t="s">
        <v>51</v>
      </c>
    </row>
    <row r="55" spans="3:3" x14ac:dyDescent="0.25">
      <c r="C55" s="1" t="s">
        <v>52</v>
      </c>
    </row>
    <row r="56" spans="3:3" x14ac:dyDescent="0.25">
      <c r="C56" s="1" t="s">
        <v>53</v>
      </c>
    </row>
    <row r="57" spans="3:3" x14ac:dyDescent="0.25">
      <c r="C57" s="1" t="s">
        <v>54</v>
      </c>
    </row>
    <row r="58" spans="3:3" x14ac:dyDescent="0.25">
      <c r="C58" s="1" t="s">
        <v>55</v>
      </c>
    </row>
    <row r="59" spans="3:3" x14ac:dyDescent="0.25">
      <c r="C59" s="1" t="s">
        <v>56</v>
      </c>
    </row>
    <row r="60" spans="3:3" x14ac:dyDescent="0.25">
      <c r="C60" s="1" t="s">
        <v>57</v>
      </c>
    </row>
    <row r="61" spans="3:3" x14ac:dyDescent="0.25">
      <c r="C61" s="1" t="s">
        <v>58</v>
      </c>
    </row>
    <row r="62" spans="3:3" x14ac:dyDescent="0.25">
      <c r="C62" s="1" t="s">
        <v>59</v>
      </c>
    </row>
    <row r="63" spans="3:3" x14ac:dyDescent="0.25">
      <c r="C63" s="1" t="s">
        <v>60</v>
      </c>
    </row>
    <row r="64" spans="3:3" x14ac:dyDescent="0.25">
      <c r="C64" s="1" t="s">
        <v>61</v>
      </c>
    </row>
    <row r="65" spans="3:3" x14ac:dyDescent="0.25">
      <c r="C65" s="1" t="s">
        <v>62</v>
      </c>
    </row>
    <row r="66" spans="3:3" x14ac:dyDescent="0.25">
      <c r="C66" s="1" t="s">
        <v>63</v>
      </c>
    </row>
    <row r="67" spans="3:3" x14ac:dyDescent="0.25">
      <c r="C67" s="1" t="s">
        <v>64</v>
      </c>
    </row>
    <row r="68" spans="3:3" x14ac:dyDescent="0.25">
      <c r="C68" s="1" t="s">
        <v>65</v>
      </c>
    </row>
    <row r="69" spans="3:3" x14ac:dyDescent="0.25">
      <c r="C69" s="1" t="s">
        <v>66</v>
      </c>
    </row>
    <row r="70" spans="3:3" x14ac:dyDescent="0.25">
      <c r="C70" s="1" t="s">
        <v>67</v>
      </c>
    </row>
    <row r="71" spans="3:3" x14ac:dyDescent="0.25">
      <c r="C71" s="1" t="s">
        <v>68</v>
      </c>
    </row>
    <row r="72" spans="3:3" x14ac:dyDescent="0.25">
      <c r="C72" s="1" t="s">
        <v>69</v>
      </c>
    </row>
    <row r="73" spans="3:3" x14ac:dyDescent="0.25">
      <c r="C73" s="1" t="s">
        <v>70</v>
      </c>
    </row>
    <row r="74" spans="3:3" x14ac:dyDescent="0.25">
      <c r="C74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A85F-731D-4B68-9D96-89F16B883B6C}">
  <dimension ref="A1:U74"/>
  <sheetViews>
    <sheetView tabSelected="1" topLeftCell="A2" zoomScale="85" zoomScaleNormal="85" workbookViewId="0">
      <pane xSplit="2" ySplit="1" topLeftCell="C3" activePane="bottomRight" state="frozen"/>
      <selection activeCell="A2" sqref="A2"/>
      <selection pane="topRight" activeCell="C2" sqref="C2"/>
      <selection pane="bottomLeft" activeCell="A3" sqref="A3"/>
      <selection pane="bottomRight" activeCell="N75" sqref="N75"/>
    </sheetView>
  </sheetViews>
  <sheetFormatPr defaultRowHeight="15" x14ac:dyDescent="0.25"/>
  <cols>
    <col min="1" max="1" width="4.85546875" customWidth="1"/>
    <col min="2" max="2" width="25.28515625" bestFit="1" customWidth="1"/>
    <col min="3" max="3" width="9.140625" style="5"/>
    <col min="4" max="4" width="10.42578125" style="5" customWidth="1"/>
    <col min="5" max="6" width="10" style="5" bestFit="1" customWidth="1"/>
    <col min="7" max="12" width="9.140625" style="5"/>
    <col min="13" max="14" width="10.42578125" style="5" bestFit="1" customWidth="1"/>
    <col min="15" max="15" width="10" style="5" bestFit="1" customWidth="1"/>
    <col min="16" max="17" width="9.140625" style="5"/>
    <col min="18" max="21" width="10.42578125" style="5" bestFit="1" customWidth="1"/>
    <col min="22" max="16384" width="9.140625" style="5"/>
  </cols>
  <sheetData>
    <row r="1" spans="2:21" customFormat="1" x14ac:dyDescent="0.25"/>
    <row r="2" spans="2:21" customFormat="1" x14ac:dyDescent="0.25">
      <c r="D2" t="s">
        <v>123</v>
      </c>
      <c r="E2" t="s">
        <v>126</v>
      </c>
      <c r="F2" t="s">
        <v>127</v>
      </c>
      <c r="G2" t="s">
        <v>128</v>
      </c>
      <c r="H2" t="s">
        <v>129</v>
      </c>
      <c r="I2" t="s">
        <v>115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</row>
    <row r="3" spans="2:21" customFormat="1" x14ac:dyDescent="0.25">
      <c r="B3" t="s">
        <v>72</v>
      </c>
    </row>
    <row r="4" spans="2:21" customFormat="1" x14ac:dyDescent="0.25">
      <c r="B4" t="s">
        <v>73</v>
      </c>
    </row>
    <row r="5" spans="2:21" customFormat="1" x14ac:dyDescent="0.25"/>
    <row r="6" spans="2:21" customFormat="1" x14ac:dyDescent="0.25">
      <c r="B6" s="4" t="s">
        <v>116</v>
      </c>
    </row>
    <row r="7" spans="2:21" x14ac:dyDescent="0.25">
      <c r="B7" t="s">
        <v>74</v>
      </c>
      <c r="D7" s="5">
        <v>1181</v>
      </c>
      <c r="E7" s="5">
        <v>1511</v>
      </c>
      <c r="F7" s="5">
        <v>1377</v>
      </c>
      <c r="G7" s="5">
        <v>1084</v>
      </c>
      <c r="H7" s="5">
        <v>1153</v>
      </c>
      <c r="I7" s="5">
        <v>1567</v>
      </c>
      <c r="M7" s="5">
        <v>15567</v>
      </c>
      <c r="N7" s="5">
        <v>6946</v>
      </c>
      <c r="O7" s="5">
        <v>5153</v>
      </c>
      <c r="P7" s="5">
        <f>+O7*1.3</f>
        <v>6698.9000000000005</v>
      </c>
      <c r="Q7" s="5">
        <f t="shared" ref="Q7:U7" si="0">+P7*1.3</f>
        <v>8708.5700000000015</v>
      </c>
      <c r="R7" s="5">
        <f t="shared" si="0"/>
        <v>11321.141000000003</v>
      </c>
      <c r="S7" s="5">
        <f t="shared" si="0"/>
        <v>14717.483300000005</v>
      </c>
      <c r="T7" s="5">
        <f t="shared" si="0"/>
        <v>19132.728290000006</v>
      </c>
      <c r="U7" s="5">
        <f t="shared" si="0"/>
        <v>24872.54677700001</v>
      </c>
    </row>
    <row r="8" spans="2:21" x14ac:dyDescent="0.25">
      <c r="B8" t="s">
        <v>75</v>
      </c>
      <c r="D8" s="5">
        <f>+D7-D9</f>
        <v>1067</v>
      </c>
      <c r="E8" s="5">
        <v>1382</v>
      </c>
      <c r="F8" s="5">
        <f t="shared" ref="F8:G8" si="1">+F7-F9</f>
        <v>1272</v>
      </c>
      <c r="G8" s="5">
        <f t="shared" si="1"/>
        <v>999</v>
      </c>
      <c r="H8" s="5">
        <f>+H7-H9</f>
        <v>1054</v>
      </c>
      <c r="I8" s="5">
        <v>1439</v>
      </c>
      <c r="M8" s="5">
        <v>14900</v>
      </c>
      <c r="N8" s="5">
        <v>6459</v>
      </c>
      <c r="O8" s="5">
        <v>4720</v>
      </c>
      <c r="P8" s="5">
        <f>+P7-P9</f>
        <v>6162.9880000000003</v>
      </c>
      <c r="Q8" s="5">
        <f t="shared" ref="Q8:U8" si="2">+Q7-Q9</f>
        <v>8011.8844000000017</v>
      </c>
      <c r="R8" s="5">
        <f t="shared" si="2"/>
        <v>10415.449720000002</v>
      </c>
      <c r="S8" s="5">
        <f t="shared" si="2"/>
        <v>13540.084636000005</v>
      </c>
      <c r="T8" s="5">
        <f t="shared" si="2"/>
        <v>17602.110026800005</v>
      </c>
      <c r="U8" s="5">
        <f t="shared" si="2"/>
        <v>22882.743034840008</v>
      </c>
    </row>
    <row r="9" spans="2:21" x14ac:dyDescent="0.25">
      <c r="B9" t="s">
        <v>76</v>
      </c>
      <c r="D9" s="5">
        <v>114</v>
      </c>
      <c r="E9" s="5">
        <f>+E7-E8</f>
        <v>129</v>
      </c>
      <c r="F9" s="5">
        <v>105</v>
      </c>
      <c r="G9" s="5">
        <v>85</v>
      </c>
      <c r="H9" s="5">
        <v>99</v>
      </c>
      <c r="I9" s="5">
        <f>+I7-I8</f>
        <v>128</v>
      </c>
      <c r="M9" s="5">
        <f>+M7-M8</f>
        <v>667</v>
      </c>
      <c r="N9" s="5">
        <f>+N7-N8</f>
        <v>487</v>
      </c>
      <c r="O9" s="5">
        <f>+O7-O8</f>
        <v>433</v>
      </c>
      <c r="P9" s="5">
        <f>+P7*0.08</f>
        <v>535.91200000000003</v>
      </c>
      <c r="Q9" s="5">
        <f t="shared" ref="Q9:U9" si="3">+Q7*0.08</f>
        <v>696.68560000000014</v>
      </c>
      <c r="R9" s="5">
        <f t="shared" si="3"/>
        <v>905.69128000000023</v>
      </c>
      <c r="S9" s="5">
        <f t="shared" si="3"/>
        <v>1177.3986640000005</v>
      </c>
      <c r="T9" s="5">
        <f t="shared" si="3"/>
        <v>1530.6182632000005</v>
      </c>
      <c r="U9" s="5">
        <f t="shared" si="3"/>
        <v>1989.8037421600009</v>
      </c>
    </row>
    <row r="10" spans="2:21" x14ac:dyDescent="0.25">
      <c r="B10" t="s">
        <v>77</v>
      </c>
      <c r="D10" s="5">
        <v>113</v>
      </c>
      <c r="E10" s="5">
        <v>116</v>
      </c>
      <c r="F10" s="5">
        <v>96</v>
      </c>
      <c r="G10" s="5">
        <v>88</v>
      </c>
      <c r="H10" s="5">
        <v>98</v>
      </c>
      <c r="I10" s="5">
        <v>86</v>
      </c>
      <c r="M10" s="5">
        <v>1006</v>
      </c>
      <c r="N10" s="5">
        <v>486</v>
      </c>
      <c r="O10" s="5">
        <v>413</v>
      </c>
      <c r="P10" s="5">
        <f>+O10*1.05</f>
        <v>433.65000000000003</v>
      </c>
      <c r="Q10" s="5">
        <f t="shared" ref="Q10:U10" si="4">+P10*1.05</f>
        <v>455.33250000000004</v>
      </c>
      <c r="R10" s="5">
        <f t="shared" si="4"/>
        <v>478.09912500000007</v>
      </c>
      <c r="S10" s="5">
        <f t="shared" si="4"/>
        <v>502.00408125000007</v>
      </c>
      <c r="T10" s="5">
        <f t="shared" si="4"/>
        <v>527.10428531250011</v>
      </c>
      <c r="U10" s="5">
        <f t="shared" si="4"/>
        <v>553.45949957812513</v>
      </c>
    </row>
    <row r="11" spans="2:21" x14ac:dyDescent="0.25">
      <c r="B11" t="s">
        <v>78</v>
      </c>
      <c r="D11" s="5">
        <v>47</v>
      </c>
      <c r="E11" s="5">
        <v>48</v>
      </c>
      <c r="F11" s="5">
        <v>46</v>
      </c>
      <c r="G11" s="5">
        <v>41</v>
      </c>
      <c r="H11" s="5">
        <v>33</v>
      </c>
      <c r="I11" s="5">
        <v>28</v>
      </c>
      <c r="M11" s="5">
        <v>346</v>
      </c>
      <c r="N11" s="5">
        <v>206</v>
      </c>
      <c r="O11" s="5">
        <v>182</v>
      </c>
      <c r="P11" s="5">
        <f>+O11*1.05</f>
        <v>191.1</v>
      </c>
      <c r="Q11" s="5">
        <f t="shared" ref="Q11:U11" si="5">+P11*1.05</f>
        <v>200.655</v>
      </c>
      <c r="R11" s="5">
        <f t="shared" si="5"/>
        <v>210.68775000000002</v>
      </c>
      <c r="S11" s="5">
        <f t="shared" si="5"/>
        <v>221.22213750000003</v>
      </c>
      <c r="T11" s="5">
        <f t="shared" si="5"/>
        <v>232.28324437500004</v>
      </c>
      <c r="U11" s="5">
        <f t="shared" si="5"/>
        <v>243.89740659375005</v>
      </c>
    </row>
    <row r="12" spans="2:21" x14ac:dyDescent="0.25">
      <c r="B12" t="s">
        <v>79</v>
      </c>
      <c r="D12" s="5">
        <v>41</v>
      </c>
      <c r="E12" s="5">
        <v>37</v>
      </c>
      <c r="F12" s="5">
        <v>30</v>
      </c>
      <c r="G12" s="5">
        <v>33</v>
      </c>
      <c r="H12" s="5">
        <v>21</v>
      </c>
      <c r="I12" s="5">
        <v>21</v>
      </c>
      <c r="M12" s="5">
        <v>169</v>
      </c>
      <c r="N12" s="5">
        <v>167</v>
      </c>
      <c r="O12" s="5">
        <v>141</v>
      </c>
      <c r="P12" s="5">
        <f>+O12*1.05</f>
        <v>148.05000000000001</v>
      </c>
      <c r="Q12" s="5">
        <f t="shared" ref="Q12:U12" si="6">+P12*1.05</f>
        <v>155.45250000000001</v>
      </c>
      <c r="R12" s="5">
        <f t="shared" si="6"/>
        <v>163.22512500000002</v>
      </c>
      <c r="S12" s="5">
        <f t="shared" si="6"/>
        <v>171.38638125000003</v>
      </c>
      <c r="T12" s="5">
        <f t="shared" si="6"/>
        <v>179.95570031250003</v>
      </c>
      <c r="U12" s="5">
        <f t="shared" si="6"/>
        <v>188.95348532812503</v>
      </c>
    </row>
    <row r="13" spans="2:21" x14ac:dyDescent="0.25">
      <c r="B13" t="s">
        <v>80</v>
      </c>
      <c r="D13" s="5">
        <v>0</v>
      </c>
      <c r="E13" s="5">
        <v>0</v>
      </c>
      <c r="F13" s="5">
        <v>0</v>
      </c>
      <c r="G13" s="5">
        <v>17</v>
      </c>
      <c r="H13" s="5">
        <v>3</v>
      </c>
      <c r="I13" s="5">
        <v>6</v>
      </c>
      <c r="M13" s="5">
        <v>17</v>
      </c>
      <c r="N13" s="5">
        <v>14</v>
      </c>
      <c r="O13" s="5">
        <v>17</v>
      </c>
      <c r="P13" s="5">
        <f>+O13*1.05</f>
        <v>17.850000000000001</v>
      </c>
      <c r="Q13" s="5">
        <f t="shared" ref="Q13:U14" si="7">+P13*1.05</f>
        <v>18.742500000000003</v>
      </c>
      <c r="R13" s="5">
        <f t="shared" si="7"/>
        <v>19.679625000000005</v>
      </c>
      <c r="S13" s="5">
        <f t="shared" si="7"/>
        <v>20.663606250000004</v>
      </c>
      <c r="T13" s="5">
        <f t="shared" si="7"/>
        <v>21.696786562500005</v>
      </c>
      <c r="U13" s="5">
        <f t="shared" si="7"/>
        <v>22.781625890625005</v>
      </c>
    </row>
    <row r="14" spans="2:21" x14ac:dyDescent="0.25">
      <c r="B14" t="s">
        <v>81</v>
      </c>
      <c r="D14" s="5">
        <f>SUM(D10:D13)</f>
        <v>201</v>
      </c>
      <c r="E14" s="5">
        <f>SUM(E10:E13)</f>
        <v>201</v>
      </c>
      <c r="F14" s="5">
        <f>SUM(F10:F13)</f>
        <v>172</v>
      </c>
      <c r="G14" s="5">
        <f>+H10+G11+G12+G13</f>
        <v>189</v>
      </c>
      <c r="H14" s="5">
        <f>SUM(H10:H13)</f>
        <v>155</v>
      </c>
      <c r="I14" s="5">
        <f>SUM(I10:I13)</f>
        <v>141</v>
      </c>
      <c r="M14" s="5">
        <f>SUM(M10:M13)+60</f>
        <v>1598</v>
      </c>
      <c r="N14" s="5">
        <f>SUM(N10:N13)</f>
        <v>873</v>
      </c>
      <c r="O14" s="5">
        <f>SUM(O10:O13)</f>
        <v>753</v>
      </c>
      <c r="P14" s="5">
        <f>+P10+P11+P12+P13</f>
        <v>790.65</v>
      </c>
      <c r="Q14" s="5">
        <f t="shared" ref="Q14:U14" si="8">+Q10+Q11+Q12+Q13</f>
        <v>830.1825</v>
      </c>
      <c r="R14" s="5">
        <f t="shared" si="8"/>
        <v>871.69162500000016</v>
      </c>
      <c r="S14" s="5">
        <f t="shared" si="8"/>
        <v>915.27620625000009</v>
      </c>
      <c r="T14" s="5">
        <f t="shared" si="8"/>
        <v>961.04001656250023</v>
      </c>
      <c r="U14" s="5">
        <f t="shared" si="8"/>
        <v>1009.0920173906252</v>
      </c>
    </row>
    <row r="15" spans="2:21" x14ac:dyDescent="0.25">
      <c r="B15" t="s">
        <v>124</v>
      </c>
      <c r="D15" s="5">
        <f>+D9-D14</f>
        <v>-87</v>
      </c>
      <c r="E15" s="5">
        <f>+E9-E14</f>
        <v>-72</v>
      </c>
      <c r="F15" s="5">
        <f>+F9-F14</f>
        <v>-67</v>
      </c>
      <c r="G15" s="5">
        <v>-94</v>
      </c>
      <c r="H15" s="5">
        <f>+H9-H14</f>
        <v>-56</v>
      </c>
      <c r="I15" s="5">
        <f>+I9-I14</f>
        <v>-13</v>
      </c>
      <c r="M15" s="5">
        <f>+M9-M14</f>
        <v>-931</v>
      </c>
      <c r="N15" s="5">
        <f>+N9-N14</f>
        <v>-386</v>
      </c>
      <c r="O15" s="5">
        <f>+O9-O14</f>
        <v>-320</v>
      </c>
      <c r="P15" s="5">
        <f>+P9-P14</f>
        <v>-254.73799999999994</v>
      </c>
      <c r="Q15" s="5">
        <f t="shared" ref="Q15:U15" si="9">+Q9-Q14</f>
        <v>-133.49689999999987</v>
      </c>
      <c r="R15" s="5">
        <f t="shared" si="9"/>
        <v>33.999655000000075</v>
      </c>
      <c r="S15" s="5">
        <f t="shared" si="9"/>
        <v>262.12245775000042</v>
      </c>
      <c r="T15" s="5">
        <f t="shared" si="9"/>
        <v>569.57824663750023</v>
      </c>
      <c r="U15" s="5">
        <f t="shared" si="9"/>
        <v>980.71172476937568</v>
      </c>
    </row>
    <row r="16" spans="2:21" x14ac:dyDescent="0.25">
      <c r="B16" t="s">
        <v>82</v>
      </c>
      <c r="D16" s="5">
        <v>-37</v>
      </c>
      <c r="E16" s="5">
        <f>-30+12</f>
        <v>-18</v>
      </c>
      <c r="F16" s="5">
        <v>-34</v>
      </c>
      <c r="G16" s="5">
        <v>-32</v>
      </c>
      <c r="H16" s="5">
        <v>-32</v>
      </c>
      <c r="I16" s="5">
        <f>+-36+10</f>
        <v>-26</v>
      </c>
      <c r="M16" s="5">
        <v>-385</v>
      </c>
      <c r="N16" s="5">
        <v>-211</v>
      </c>
      <c r="O16" s="5">
        <v>-133</v>
      </c>
      <c r="P16" s="5">
        <f>+O16*1.01</f>
        <v>-134.33000000000001</v>
      </c>
      <c r="Q16" s="5">
        <f t="shared" ref="Q16:U16" si="10">+P16*1.01</f>
        <v>-135.67330000000001</v>
      </c>
      <c r="R16" s="5">
        <f t="shared" si="10"/>
        <v>-137.030033</v>
      </c>
      <c r="S16" s="5">
        <f t="shared" si="10"/>
        <v>-138.40033333</v>
      </c>
      <c r="T16" s="5">
        <f t="shared" si="10"/>
        <v>-139.7843366633</v>
      </c>
      <c r="U16" s="5">
        <f t="shared" si="10"/>
        <v>-141.18218002993299</v>
      </c>
    </row>
    <row r="17" spans="1:21" x14ac:dyDescent="0.25">
      <c r="B17" t="s">
        <v>83</v>
      </c>
      <c r="D17" s="5">
        <f>+D15+D16+15</f>
        <v>-109</v>
      </c>
      <c r="E17" s="5">
        <f>+E15+E16</f>
        <v>-90</v>
      </c>
      <c r="F17" s="5">
        <f>+F15+F16+23</f>
        <v>-78</v>
      </c>
      <c r="G17" s="5">
        <v>-113</v>
      </c>
      <c r="H17" s="5">
        <f>+H15+H16+4</f>
        <v>-84</v>
      </c>
      <c r="I17" s="5">
        <f>+I15+I16</f>
        <v>-39</v>
      </c>
      <c r="M17" s="5">
        <f>+M15+M16-10</f>
        <v>-1326</v>
      </c>
      <c r="N17" s="5">
        <f>+N15+N16+216+107</f>
        <v>-274</v>
      </c>
      <c r="O17" s="5">
        <f>+O15+O16+64</f>
        <v>-389</v>
      </c>
      <c r="P17" s="5">
        <f>+P15+P16</f>
        <v>-389.06799999999998</v>
      </c>
      <c r="Q17" s="5">
        <f t="shared" ref="Q17:U17" si="11">+Q15+Q16</f>
        <v>-269.17019999999991</v>
      </c>
      <c r="R17" s="5">
        <f t="shared" si="11"/>
        <v>-103.03037799999993</v>
      </c>
      <c r="S17" s="5">
        <f t="shared" si="11"/>
        <v>123.72212442000043</v>
      </c>
      <c r="T17" s="5">
        <f t="shared" si="11"/>
        <v>429.79390997420023</v>
      </c>
      <c r="U17" s="5">
        <f t="shared" si="11"/>
        <v>839.52954473944271</v>
      </c>
    </row>
    <row r="18" spans="1:21" x14ac:dyDescent="0.25">
      <c r="B18" t="s">
        <v>84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M18" s="5">
        <v>-1</v>
      </c>
      <c r="N18" s="5">
        <v>-1</v>
      </c>
      <c r="O18" s="5">
        <v>-1</v>
      </c>
      <c r="P18" s="5">
        <v>0</v>
      </c>
      <c r="Q18" s="5">
        <v>0</v>
      </c>
      <c r="R18" s="5">
        <v>0</v>
      </c>
      <c r="S18" s="5">
        <f>+S17*0.35</f>
        <v>43.302743547000148</v>
      </c>
      <c r="T18" s="5">
        <f>+T17*0.35</f>
        <v>150.42786849097007</v>
      </c>
      <c r="U18" s="5">
        <f>+U17*0.35</f>
        <v>293.83534065880491</v>
      </c>
    </row>
    <row r="19" spans="1:21" x14ac:dyDescent="0.25">
      <c r="B19" t="s">
        <v>85</v>
      </c>
      <c r="D19" s="5">
        <f t="shared" ref="D19:I19" si="12">+D17+D18</f>
        <v>-109</v>
      </c>
      <c r="E19" s="5">
        <f t="shared" si="12"/>
        <v>-90</v>
      </c>
      <c r="F19" s="5">
        <f t="shared" si="12"/>
        <v>-78</v>
      </c>
      <c r="G19" s="5">
        <f t="shared" si="12"/>
        <v>-113</v>
      </c>
      <c r="H19" s="5">
        <f t="shared" si="12"/>
        <v>-84</v>
      </c>
      <c r="I19" s="5">
        <f t="shared" si="12"/>
        <v>-39</v>
      </c>
      <c r="M19" s="5">
        <f>+M17+M18-25-10</f>
        <v>-1362</v>
      </c>
      <c r="N19" s="5">
        <f>+N17+N18</f>
        <v>-275</v>
      </c>
      <c r="O19" s="5">
        <f>+O17+O18</f>
        <v>-390</v>
      </c>
      <c r="P19" s="5">
        <f>+P17-P18</f>
        <v>-389.06799999999998</v>
      </c>
      <c r="Q19" s="5">
        <f t="shared" ref="Q19:U19" si="13">+Q17-Q18</f>
        <v>-269.17019999999991</v>
      </c>
      <c r="R19" s="5">
        <f t="shared" si="13"/>
        <v>-103.03037799999993</v>
      </c>
      <c r="S19" s="5">
        <f t="shared" si="13"/>
        <v>80.419380873000279</v>
      </c>
      <c r="T19" s="5">
        <f t="shared" si="13"/>
        <v>279.36604148323016</v>
      </c>
      <c r="U19" s="5">
        <f t="shared" si="13"/>
        <v>545.69420408063775</v>
      </c>
    </row>
    <row r="20" spans="1:21" x14ac:dyDescent="0.25">
      <c r="B20" t="s">
        <v>86</v>
      </c>
      <c r="D20" s="5">
        <f>+D19/D21</f>
        <v>-0.15971702246441902</v>
      </c>
      <c r="E20" s="5">
        <f>+E19/E21</f>
        <v>-0.12978678914694028</v>
      </c>
      <c r="F20" s="5">
        <f>+F19/F21</f>
        <v>-0.11058198732843842</v>
      </c>
      <c r="G20" s="5">
        <f>+G19/G21</f>
        <v>-0.15775138660676769</v>
      </c>
      <c r="H20" s="5">
        <f>+H19/H21</f>
        <v>-0.11609554110196782</v>
      </c>
      <c r="I20" s="5">
        <f>+I17/I21</f>
        <v>-5.3462447428593358E-2</v>
      </c>
      <c r="M20" s="5">
        <f>+M19/M21</f>
        <v>-2.1718850910134666</v>
      </c>
      <c r="N20" s="5">
        <f>+N19/N21</f>
        <v>-0.41849854895139482</v>
      </c>
      <c r="O20" s="5">
        <f>+O19/O21</f>
        <v>-0.55757537632763698</v>
      </c>
      <c r="P20" s="5">
        <f>+P19/P21</f>
        <v>-0.53804492881024346</v>
      </c>
      <c r="Q20" s="5">
        <f t="shared" ref="Q20:U20" si="14">+Q19/Q21</f>
        <v>-0.37049605444087014</v>
      </c>
      <c r="R20" s="5">
        <f t="shared" si="14"/>
        <v>-0.14123733762495122</v>
      </c>
      <c r="S20" s="5">
        <f t="shared" si="14"/>
        <v>0.11016353544246614</v>
      </c>
      <c r="T20" s="5">
        <f t="shared" si="14"/>
        <v>0.38269320751127417</v>
      </c>
      <c r="U20" s="5">
        <f t="shared" si="14"/>
        <v>0.74752630695977773</v>
      </c>
    </row>
    <row r="21" spans="1:21" x14ac:dyDescent="0.25">
      <c r="B21" t="s">
        <v>87</v>
      </c>
      <c r="D21" s="5">
        <v>682.45699999999999</v>
      </c>
      <c r="E21" s="5">
        <v>693.44500000000005</v>
      </c>
      <c r="F21" s="5">
        <v>705.35900000000004</v>
      </c>
      <c r="G21" s="5">
        <v>716.31700000000001</v>
      </c>
      <c r="H21" s="5">
        <v>723.54200000000003</v>
      </c>
      <c r="I21" s="5">
        <v>729.48400000000004</v>
      </c>
      <c r="M21" s="5">
        <v>627.10500000000002</v>
      </c>
      <c r="N21" s="5">
        <v>657.11099999999999</v>
      </c>
      <c r="O21" s="5">
        <v>699.45699999999999</v>
      </c>
      <c r="P21" s="7">
        <f>AVERAGE(G21:I21)</f>
        <v>723.11433333333332</v>
      </c>
      <c r="Q21" s="7">
        <f>AVERAGE(H21:J21)</f>
        <v>726.51300000000003</v>
      </c>
      <c r="R21" s="7">
        <f>AVERAGE(I21:K21)</f>
        <v>729.48400000000004</v>
      </c>
      <c r="S21" s="7">
        <v>730</v>
      </c>
      <c r="T21" s="7">
        <v>730</v>
      </c>
      <c r="U21" s="7">
        <v>730</v>
      </c>
    </row>
    <row r="23" spans="1:21" x14ac:dyDescent="0.25">
      <c r="B23" t="s">
        <v>88</v>
      </c>
      <c r="C23" s="6"/>
      <c r="D23" s="6"/>
      <c r="E23" s="6"/>
      <c r="F23" s="6"/>
      <c r="G23" s="6"/>
      <c r="H23" s="6">
        <f>SUM(H7-D7)/D7</f>
        <v>-2.3708721422523286E-2</v>
      </c>
      <c r="I23" s="6">
        <f>SUM(I7-E7)/E7</f>
        <v>3.7061548643282594E-2</v>
      </c>
      <c r="J23" s="6"/>
      <c r="K23" s="6"/>
      <c r="L23" s="6"/>
      <c r="M23" s="6"/>
      <c r="N23" s="6">
        <f>+(N7-M7)/M7</f>
        <v>-0.55379970450311555</v>
      </c>
      <c r="O23" s="6">
        <f>+(O7-N7)/N7</f>
        <v>-0.25813417794414051</v>
      </c>
      <c r="P23" s="6">
        <f>+(P7-O7)/O7</f>
        <v>0.3000000000000001</v>
      </c>
      <c r="Q23" s="6">
        <f t="shared" ref="Q23:U23" si="15">+(Q7-P7)/P7</f>
        <v>0.3000000000000001</v>
      </c>
      <c r="R23" s="6">
        <f t="shared" si="15"/>
        <v>0.30000000000000016</v>
      </c>
      <c r="S23" s="6">
        <f t="shared" si="15"/>
        <v>0.3000000000000001</v>
      </c>
      <c r="T23" s="6">
        <f t="shared" si="15"/>
        <v>0.3</v>
      </c>
      <c r="U23" s="6">
        <f t="shared" si="15"/>
        <v>0.3000000000000001</v>
      </c>
    </row>
    <row r="24" spans="1:21" s="6" customFormat="1" x14ac:dyDescent="0.25">
      <c r="A24"/>
      <c r="B24" t="s">
        <v>89</v>
      </c>
      <c r="D24" s="6">
        <f t="shared" ref="D24:I24" si="16">+D9/D7</f>
        <v>9.6528365791701945E-2</v>
      </c>
      <c r="E24" s="6">
        <f t="shared" si="16"/>
        <v>8.5373924553275971E-2</v>
      </c>
      <c r="F24" s="6">
        <f t="shared" si="16"/>
        <v>7.6252723311546838E-2</v>
      </c>
      <c r="G24" s="6">
        <f t="shared" si="16"/>
        <v>7.8413284132841335E-2</v>
      </c>
      <c r="H24" s="6">
        <f t="shared" si="16"/>
        <v>8.5862966175195149E-2</v>
      </c>
      <c r="I24" s="6">
        <f t="shared" si="16"/>
        <v>8.1684747925973203E-2</v>
      </c>
      <c r="M24" s="6">
        <f>+M9/M7</f>
        <v>4.2847048243078306E-2</v>
      </c>
      <c r="N24" s="6">
        <f>+N9/N7</f>
        <v>7.0112294845954506E-2</v>
      </c>
      <c r="O24" s="6">
        <f>+O9/O7</f>
        <v>8.4028721133320397E-2</v>
      </c>
      <c r="P24" s="6">
        <v>0.08</v>
      </c>
      <c r="Q24" s="6">
        <v>0.08</v>
      </c>
      <c r="R24" s="6">
        <v>0.08</v>
      </c>
      <c r="S24" s="6">
        <v>0.08</v>
      </c>
      <c r="T24" s="6">
        <v>0.08</v>
      </c>
      <c r="U24" s="6">
        <v>0.08</v>
      </c>
    </row>
    <row r="27" spans="1:21" x14ac:dyDescent="0.25">
      <c r="B27" s="4" t="s">
        <v>121</v>
      </c>
    </row>
    <row r="28" spans="1:21" x14ac:dyDescent="0.25">
      <c r="B28" t="s">
        <v>91</v>
      </c>
      <c r="E28" s="5">
        <f>+E29-E39</f>
        <v>-1528</v>
      </c>
      <c r="F28" s="5">
        <f>+F29-F39</f>
        <v>-1449</v>
      </c>
      <c r="I28" s="5">
        <f>+I29-I39</f>
        <v>-986</v>
      </c>
    </row>
    <row r="29" spans="1:21" x14ac:dyDescent="0.25">
      <c r="B29" t="s">
        <v>90</v>
      </c>
      <c r="E29" s="5">
        <f>671+92+8+6</f>
        <v>777</v>
      </c>
      <c r="F29" s="5">
        <f>829+225+8</f>
        <v>1062</v>
      </c>
      <c r="I29" s="5">
        <f>789+396+10</f>
        <v>1195</v>
      </c>
      <c r="N29" s="5">
        <f>999+541+69+9</f>
        <v>1618</v>
      </c>
      <c r="O29" s="5">
        <f>671+92+8+6</f>
        <v>777</v>
      </c>
    </row>
    <row r="30" spans="1:21" x14ac:dyDescent="0.25">
      <c r="B30" t="s">
        <v>92</v>
      </c>
      <c r="E30" s="5">
        <v>2159</v>
      </c>
      <c r="F30" s="5">
        <v>2145</v>
      </c>
      <c r="I30" s="5">
        <v>1530</v>
      </c>
      <c r="N30" s="5">
        <v>1775</v>
      </c>
      <c r="O30" s="5">
        <v>2159</v>
      </c>
    </row>
    <row r="31" spans="1:21" x14ac:dyDescent="0.25">
      <c r="B31" t="s">
        <v>118</v>
      </c>
      <c r="E31" s="5">
        <v>61</v>
      </c>
      <c r="F31" s="5">
        <v>41</v>
      </c>
      <c r="I31" s="5">
        <v>72</v>
      </c>
      <c r="N31" s="5">
        <v>52</v>
      </c>
      <c r="O31" s="5">
        <v>61</v>
      </c>
    </row>
    <row r="32" spans="1:21" x14ac:dyDescent="0.25">
      <c r="B32" t="s">
        <v>117</v>
      </c>
      <c r="E32" s="5">
        <v>48</v>
      </c>
      <c r="F32" s="5">
        <v>59</v>
      </c>
      <c r="I32" s="5">
        <v>37</v>
      </c>
      <c r="N32" s="5">
        <v>66</v>
      </c>
      <c r="O32" s="5">
        <v>48</v>
      </c>
    </row>
    <row r="33" spans="2:15" x14ac:dyDescent="0.25">
      <c r="B33" t="s">
        <v>94</v>
      </c>
      <c r="E33" s="5">
        <v>18</v>
      </c>
      <c r="F33" s="5">
        <v>25</v>
      </c>
      <c r="I33" s="5">
        <v>9</v>
      </c>
      <c r="N33" s="5">
        <v>25</v>
      </c>
      <c r="O33" s="5">
        <v>18</v>
      </c>
    </row>
    <row r="34" spans="2:15" x14ac:dyDescent="0.25">
      <c r="B34" t="s">
        <v>95</v>
      </c>
      <c r="E34" s="5">
        <v>3</v>
      </c>
      <c r="F34" s="5">
        <v>3</v>
      </c>
      <c r="I34" s="5">
        <v>3</v>
      </c>
      <c r="N34" s="5">
        <v>4</v>
      </c>
      <c r="O34" s="5">
        <v>3</v>
      </c>
    </row>
    <row r="35" spans="2:15" x14ac:dyDescent="0.25">
      <c r="B35" t="s">
        <v>125</v>
      </c>
      <c r="E35" s="5">
        <v>60</v>
      </c>
      <c r="F35" s="5">
        <v>61</v>
      </c>
      <c r="I35" s="5">
        <v>61</v>
      </c>
      <c r="N35" s="5">
        <v>22</v>
      </c>
      <c r="O35" s="5">
        <v>60</v>
      </c>
    </row>
    <row r="36" spans="2:15" x14ac:dyDescent="0.25">
      <c r="B36" t="s">
        <v>96</v>
      </c>
      <c r="E36" s="5">
        <f>SUM(E29:E35)</f>
        <v>3126</v>
      </c>
      <c r="F36" s="5">
        <f>SUM(F29:F35)</f>
        <v>3396</v>
      </c>
      <c r="I36" s="5">
        <f>SUM(I29:I35)</f>
        <v>2907</v>
      </c>
      <c r="N36" s="5">
        <f>SUM(N29:N35)</f>
        <v>3562</v>
      </c>
      <c r="O36" s="5">
        <f>SUM(O29:O35)</f>
        <v>3126</v>
      </c>
    </row>
    <row r="38" spans="2:15" x14ac:dyDescent="0.25">
      <c r="B38" t="s">
        <v>97</v>
      </c>
      <c r="E38" s="5">
        <v>92</v>
      </c>
      <c r="F38" s="5">
        <v>71</v>
      </c>
      <c r="I38" s="5">
        <v>86</v>
      </c>
      <c r="N38" s="5">
        <v>64</v>
      </c>
      <c r="O38" s="5">
        <v>92</v>
      </c>
    </row>
    <row r="39" spans="2:15" x14ac:dyDescent="0.25">
      <c r="B39" t="s">
        <v>100</v>
      </c>
      <c r="E39" s="5">
        <f>432+3+1492+378</f>
        <v>2305</v>
      </c>
      <c r="F39" s="5">
        <f>643+1491+377</f>
        <v>2511</v>
      </c>
      <c r="I39" s="5">
        <f>550+5+1189+437</f>
        <v>2181</v>
      </c>
      <c r="N39" s="5">
        <f>2134+376+1</f>
        <v>2511</v>
      </c>
      <c r="O39" s="5">
        <f>432+3+1492+378</f>
        <v>2305</v>
      </c>
    </row>
    <row r="40" spans="2:15" x14ac:dyDescent="0.25">
      <c r="B40" t="s">
        <v>98</v>
      </c>
      <c r="E40" s="5">
        <f>2+13</f>
        <v>15</v>
      </c>
      <c r="F40" s="5">
        <f>4+19</f>
        <v>23</v>
      </c>
      <c r="I40" s="5">
        <f>2+6</f>
        <v>8</v>
      </c>
      <c r="N40" s="5">
        <f>5+19</f>
        <v>24</v>
      </c>
      <c r="O40" s="5">
        <f>2+13</f>
        <v>15</v>
      </c>
    </row>
    <row r="41" spans="2:15" x14ac:dyDescent="0.25">
      <c r="B41" t="s">
        <v>99</v>
      </c>
      <c r="E41" s="5">
        <v>1</v>
      </c>
      <c r="F41" s="5">
        <v>2</v>
      </c>
      <c r="I41" s="5">
        <v>1</v>
      </c>
      <c r="N41" s="5">
        <v>1</v>
      </c>
      <c r="O41" s="5">
        <v>1</v>
      </c>
    </row>
    <row r="42" spans="2:15" x14ac:dyDescent="0.25">
      <c r="B42" t="s">
        <v>120</v>
      </c>
      <c r="E42" s="5">
        <f>SUM(E38:E41)</f>
        <v>2413</v>
      </c>
      <c r="F42" s="5">
        <f>SUM(F38:F41)</f>
        <v>2607</v>
      </c>
      <c r="I42" s="5">
        <f>SUM(I38:I41)</f>
        <v>2276</v>
      </c>
      <c r="N42" s="5">
        <f>SUM(N38:N41)</f>
        <v>2600</v>
      </c>
      <c r="O42" s="5">
        <f>SUM(O38:O41)</f>
        <v>2413</v>
      </c>
    </row>
    <row r="43" spans="2:15" x14ac:dyDescent="0.25">
      <c r="B43" t="s">
        <v>119</v>
      </c>
      <c r="E43" s="5">
        <v>713</v>
      </c>
      <c r="F43" s="5">
        <v>801</v>
      </c>
      <c r="I43" s="5">
        <v>631</v>
      </c>
      <c r="N43" s="5">
        <v>967</v>
      </c>
      <c r="O43" s="5">
        <v>713</v>
      </c>
    </row>
    <row r="44" spans="2:15" x14ac:dyDescent="0.25">
      <c r="B44" t="s">
        <v>101</v>
      </c>
      <c r="E44" s="5">
        <f>+E42+E43</f>
        <v>3126</v>
      </c>
      <c r="F44" s="5">
        <f>+F36+F43</f>
        <v>4197</v>
      </c>
      <c r="I44" s="5">
        <f>+I42+I43</f>
        <v>2907</v>
      </c>
      <c r="N44" s="5">
        <f>+N42+N43</f>
        <v>3567</v>
      </c>
      <c r="O44" s="5">
        <f>+O42+O43</f>
        <v>3126</v>
      </c>
    </row>
    <row r="47" spans="2:15" x14ac:dyDescent="0.25">
      <c r="B47" s="4" t="s">
        <v>122</v>
      </c>
    </row>
    <row r="48" spans="2:15" x14ac:dyDescent="0.25">
      <c r="B48" t="s">
        <v>102</v>
      </c>
      <c r="N48" s="5">
        <v>65</v>
      </c>
      <c r="O48" s="5">
        <v>48</v>
      </c>
    </row>
    <row r="49" spans="2:15" x14ac:dyDescent="0.25">
      <c r="B49" t="s">
        <v>103</v>
      </c>
      <c r="N49" s="5">
        <v>7</v>
      </c>
      <c r="O49" s="5">
        <v>5</v>
      </c>
    </row>
    <row r="50" spans="2:15" x14ac:dyDescent="0.25">
      <c r="B50" t="s">
        <v>104</v>
      </c>
      <c r="N50" s="5">
        <v>126</v>
      </c>
      <c r="O50" s="5">
        <v>114</v>
      </c>
    </row>
    <row r="51" spans="2:15" x14ac:dyDescent="0.25">
      <c r="B51" t="s">
        <v>105</v>
      </c>
      <c r="N51" s="5">
        <v>65</v>
      </c>
      <c r="O51" s="5">
        <v>57</v>
      </c>
    </row>
    <row r="52" spans="2:15" x14ac:dyDescent="0.25">
      <c r="B52" t="s">
        <v>106</v>
      </c>
      <c r="N52" s="5">
        <v>1</v>
      </c>
      <c r="O52" s="5">
        <v>7</v>
      </c>
    </row>
    <row r="53" spans="2:15" x14ac:dyDescent="0.25">
      <c r="B53" t="s">
        <v>99</v>
      </c>
      <c r="N53" s="5">
        <v>13</v>
      </c>
      <c r="O53" s="5">
        <v>7</v>
      </c>
    </row>
    <row r="54" spans="2:15" x14ac:dyDescent="0.25">
      <c r="B54" t="s">
        <v>107</v>
      </c>
      <c r="N54" s="5">
        <v>-216</v>
      </c>
      <c r="O54" s="5">
        <v>2</v>
      </c>
    </row>
    <row r="55" spans="2:15" x14ac:dyDescent="0.25">
      <c r="B55" t="s">
        <v>108</v>
      </c>
      <c r="N55" s="5">
        <v>21</v>
      </c>
      <c r="O55" s="5">
        <v>3</v>
      </c>
    </row>
    <row r="56" spans="2:15" x14ac:dyDescent="0.25">
      <c r="B56" t="s">
        <v>109</v>
      </c>
      <c r="N56" s="5">
        <v>2613</v>
      </c>
      <c r="O56" s="5">
        <v>-449</v>
      </c>
    </row>
    <row r="57" spans="2:15" x14ac:dyDescent="0.25">
      <c r="B57" t="s">
        <v>110</v>
      </c>
      <c r="N57" s="5">
        <v>-19</v>
      </c>
      <c r="O57" s="5">
        <v>-10</v>
      </c>
    </row>
    <row r="58" spans="2:15" x14ac:dyDescent="0.25">
      <c r="B58" t="s">
        <v>97</v>
      </c>
      <c r="N58" s="5">
        <v>-38</v>
      </c>
      <c r="O58" s="5">
        <v>31</v>
      </c>
    </row>
    <row r="59" spans="2:15" x14ac:dyDescent="0.25">
      <c r="B59" t="s">
        <v>111</v>
      </c>
      <c r="N59" s="5">
        <v>-10</v>
      </c>
      <c r="O59" s="5">
        <v>2</v>
      </c>
    </row>
    <row r="60" spans="2:15" x14ac:dyDescent="0.25">
      <c r="B60" t="s">
        <v>98</v>
      </c>
      <c r="N60" s="5">
        <v>-10</v>
      </c>
      <c r="O60" s="5">
        <v>-6</v>
      </c>
    </row>
    <row r="61" spans="2:15" x14ac:dyDescent="0.25">
      <c r="B61" t="s">
        <v>112</v>
      </c>
      <c r="N61" s="5">
        <f>SUM(N48:N60)+N19</f>
        <v>2343</v>
      </c>
      <c r="O61" s="5">
        <f>SUM(O48:O60)+O19</f>
        <v>-579</v>
      </c>
    </row>
    <row r="63" spans="2:15" x14ac:dyDescent="0.25">
      <c r="B63" t="s">
        <v>136</v>
      </c>
      <c r="N63" s="5">
        <f>+N61+N65</f>
        <v>2306</v>
      </c>
      <c r="O63" s="5">
        <f>+O61+O65</f>
        <v>-604</v>
      </c>
    </row>
    <row r="65" spans="2:15" x14ac:dyDescent="0.25">
      <c r="B65" t="s">
        <v>93</v>
      </c>
      <c r="N65" s="5">
        <v>-37</v>
      </c>
      <c r="O65" s="5">
        <v>-25</v>
      </c>
    </row>
    <row r="66" spans="2:15" x14ac:dyDescent="0.25">
      <c r="B66" t="s">
        <v>113</v>
      </c>
      <c r="N66" s="5">
        <v>80</v>
      </c>
      <c r="O66" s="5">
        <v>55</v>
      </c>
    </row>
    <row r="67" spans="2:15" x14ac:dyDescent="0.25">
      <c r="B67" t="s">
        <v>114</v>
      </c>
      <c r="N67" s="5">
        <f>+N65+N66</f>
        <v>43</v>
      </c>
      <c r="O67" s="5">
        <f>+O65+O66</f>
        <v>30</v>
      </c>
    </row>
    <row r="70" spans="2:15" x14ac:dyDescent="0.25">
      <c r="M70" s="5" t="s">
        <v>130</v>
      </c>
      <c r="N70" s="6">
        <v>0.1</v>
      </c>
    </row>
    <row r="71" spans="2:15" x14ac:dyDescent="0.25">
      <c r="M71" s="5" t="s">
        <v>131</v>
      </c>
      <c r="N71" s="5">
        <f>NPV(N70,S15:U15)</f>
        <v>1445.8422013133929</v>
      </c>
    </row>
    <row r="72" spans="2:15" x14ac:dyDescent="0.25">
      <c r="M72" s="5" t="s">
        <v>132</v>
      </c>
      <c r="N72" s="5">
        <f>+N71/730</f>
        <v>1.9806057552238259</v>
      </c>
    </row>
    <row r="73" spans="2:15" x14ac:dyDescent="0.25">
      <c r="M73" s="5" t="s">
        <v>133</v>
      </c>
      <c r="N73" s="5" t="s">
        <v>135</v>
      </c>
    </row>
    <row r="74" spans="2:15" x14ac:dyDescent="0.25">
      <c r="M74" s="5" t="s">
        <v>134</v>
      </c>
      <c r="N74" s="5" t="s">
        <v>135</v>
      </c>
    </row>
  </sheetData>
  <pageMargins left="0.7" right="0.7" top="0.75" bottom="0.75" header="0.3" footer="0.3"/>
  <ignoredErrors>
    <ignoredError sqref="H14 D14 F14 P21 Q21:R21" formulaRange="1"/>
    <ignoredError sqref="G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2025-09-15T00:25:36Z</dcterms:created>
  <dcterms:modified xsi:type="dcterms:W3CDTF">2025-09-20T22:15:23Z</dcterms:modified>
</cp:coreProperties>
</file>