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mac/excel_practice/"/>
    </mc:Choice>
  </mc:AlternateContent>
  <xr:revisionPtr revIDLastSave="0" documentId="13_ncr:1_{5B3C732C-59AD-BF49-BEB7-F0793FEC8B32}" xr6:coauthVersionLast="47" xr6:coauthVersionMax="47" xr10:uidLastSave="{00000000-0000-0000-0000-000000000000}"/>
  <bookViews>
    <workbookView xWindow="30240" yWindow="500" windowWidth="38400" windowHeight="21100" activeTab="6" xr2:uid="{AC97C36F-6B9A-9745-8512-96A10D504AB3}"/>
  </bookViews>
  <sheets>
    <sheet name="Intro" sheetId="1" r:id="rId1"/>
    <sheet name="payroll" sheetId="2" r:id="rId2"/>
    <sheet name="gradebook" sheetId="3" r:id="rId3"/>
    <sheet name="decisionMaker" sheetId="4" r:id="rId4"/>
    <sheet name="sales" sheetId="5" r:id="rId5"/>
    <sheet name="carInventory" sheetId="7" r:id="rId6"/>
    <sheet name="interestRates" sheetId="8" r:id="rId7"/>
  </sheets>
  <definedNames>
    <definedName name="_xlnm._FilterDatabase" localSheetId="4" hidden="1">sales!$A$1:$K$172</definedName>
    <definedName name="_xlnm.Print_Area" localSheetId="1">payroll!$A$1:$H$25</definedName>
  </definedNames>
  <calcPr calcId="181029"/>
  <pivotCaches>
    <pivotCache cacheId="3" r:id="rId8"/>
    <pivotCache cacheId="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F5" i="8" s="1"/>
  <c r="G5" i="8" s="1"/>
  <c r="H5" i="8" s="1"/>
  <c r="D4" i="8"/>
  <c r="F4" i="8" s="1"/>
  <c r="G4" i="8" s="1"/>
  <c r="H4" i="8" s="1"/>
  <c r="D3" i="8"/>
  <c r="F3" i="8" s="1"/>
  <c r="G3" i="8" s="1"/>
  <c r="H3" i="8" s="1"/>
  <c r="D2" i="8"/>
  <c r="F2" i="8" s="1"/>
  <c r="G2" i="8" s="1"/>
  <c r="H2" i="8" s="1"/>
  <c r="L27" i="7"/>
  <c r="L21" i="7"/>
  <c r="L32" i="7"/>
  <c r="L34" i="7"/>
  <c r="L24" i="7"/>
  <c r="L20" i="7"/>
  <c r="L33" i="7"/>
  <c r="L25" i="7"/>
  <c r="L26" i="7"/>
  <c r="L49" i="7"/>
  <c r="L39" i="7"/>
  <c r="L52" i="7"/>
  <c r="L42" i="7"/>
  <c r="L47" i="7"/>
  <c r="L50" i="7"/>
  <c r="L37" i="7"/>
  <c r="L12" i="7"/>
  <c r="L7" i="7"/>
  <c r="L2" i="7"/>
  <c r="L4" i="7"/>
  <c r="L5" i="7"/>
  <c r="L15" i="7"/>
  <c r="L11" i="7"/>
  <c r="L19" i="7"/>
  <c r="L6" i="7"/>
  <c r="L46" i="7"/>
  <c r="L29" i="7"/>
  <c r="L44" i="7"/>
  <c r="L8" i="7"/>
  <c r="L16" i="7"/>
  <c r="L48" i="7"/>
  <c r="L30" i="7"/>
  <c r="L31" i="7"/>
  <c r="L40" i="7"/>
  <c r="L51" i="7"/>
  <c r="L13" i="7"/>
  <c r="L17" i="7"/>
  <c r="L22" i="7"/>
  <c r="L18" i="7"/>
  <c r="L53" i="7"/>
  <c r="L9" i="7"/>
  <c r="L28" i="7"/>
  <c r="L38" i="7"/>
  <c r="L14" i="7"/>
  <c r="L10" i="7"/>
  <c r="L3" i="7"/>
  <c r="L23" i="7"/>
  <c r="L36" i="7"/>
  <c r="L43" i="7"/>
  <c r="L45" i="7"/>
  <c r="L41" i="7"/>
  <c r="L35" i="7"/>
  <c r="E27" i="7"/>
  <c r="F27" i="7" s="1"/>
  <c r="E21" i="7"/>
  <c r="F21" i="7" s="1"/>
  <c r="H21" i="7" s="1"/>
  <c r="E32" i="7"/>
  <c r="F32" i="7" s="1"/>
  <c r="E34" i="7"/>
  <c r="F34" i="7" s="1"/>
  <c r="E24" i="7"/>
  <c r="F24" i="7" s="1"/>
  <c r="E20" i="7"/>
  <c r="F20" i="7" s="1"/>
  <c r="E33" i="7"/>
  <c r="F33" i="7" s="1"/>
  <c r="H33" i="7" s="1"/>
  <c r="E25" i="7"/>
  <c r="F25" i="7" s="1"/>
  <c r="E26" i="7"/>
  <c r="F26" i="7" s="1"/>
  <c r="E49" i="7"/>
  <c r="F49" i="7" s="1"/>
  <c r="H49" i="7" s="1"/>
  <c r="E39" i="7"/>
  <c r="F39" i="7" s="1"/>
  <c r="E52" i="7"/>
  <c r="F52" i="7" s="1"/>
  <c r="E42" i="7"/>
  <c r="F42" i="7" s="1"/>
  <c r="E47" i="7"/>
  <c r="F47" i="7" s="1"/>
  <c r="H47" i="7" s="1"/>
  <c r="E50" i="7"/>
  <c r="F50" i="7" s="1"/>
  <c r="H50" i="7" s="1"/>
  <c r="E37" i="7"/>
  <c r="F37" i="7" s="1"/>
  <c r="E12" i="7"/>
  <c r="F12" i="7" s="1"/>
  <c r="E7" i="7"/>
  <c r="F7" i="7" s="1"/>
  <c r="H7" i="7" s="1"/>
  <c r="E2" i="7"/>
  <c r="F2" i="7" s="1"/>
  <c r="E4" i="7"/>
  <c r="F4" i="7" s="1"/>
  <c r="E5" i="7"/>
  <c r="F5" i="7" s="1"/>
  <c r="E15" i="7"/>
  <c r="F15" i="7" s="1"/>
  <c r="H15" i="7" s="1"/>
  <c r="E11" i="7"/>
  <c r="F11" i="7" s="1"/>
  <c r="E19" i="7"/>
  <c r="F19" i="7" s="1"/>
  <c r="H19" i="7" s="1"/>
  <c r="E6" i="7"/>
  <c r="F6" i="7" s="1"/>
  <c r="E46" i="7"/>
  <c r="F46" i="7" s="1"/>
  <c r="H46" i="7" s="1"/>
  <c r="E29" i="7"/>
  <c r="F29" i="7" s="1"/>
  <c r="E44" i="7"/>
  <c r="F44" i="7" s="1"/>
  <c r="H44" i="7" s="1"/>
  <c r="E8" i="7"/>
  <c r="F8" i="7" s="1"/>
  <c r="E16" i="7"/>
  <c r="F16" i="7" s="1"/>
  <c r="H16" i="7" s="1"/>
  <c r="E48" i="7"/>
  <c r="F48" i="7" s="1"/>
  <c r="E30" i="7"/>
  <c r="F30" i="7" s="1"/>
  <c r="E31" i="7"/>
  <c r="F31" i="7" s="1"/>
  <c r="H31" i="7" s="1"/>
  <c r="E40" i="7"/>
  <c r="F40" i="7" s="1"/>
  <c r="H40" i="7" s="1"/>
  <c r="E51" i="7"/>
  <c r="F51" i="7" s="1"/>
  <c r="H51" i="7" s="1"/>
  <c r="E13" i="7"/>
  <c r="F13" i="7" s="1"/>
  <c r="E17" i="7"/>
  <c r="F17" i="7" s="1"/>
  <c r="H17" i="7" s="1"/>
  <c r="E22" i="7"/>
  <c r="F22" i="7" s="1"/>
  <c r="H22" i="7" s="1"/>
  <c r="E18" i="7"/>
  <c r="F18" i="7" s="1"/>
  <c r="E53" i="7"/>
  <c r="F53" i="7" s="1"/>
  <c r="H53" i="7" s="1"/>
  <c r="E9" i="7"/>
  <c r="F9" i="7" s="1"/>
  <c r="H9" i="7" s="1"/>
  <c r="E28" i="7"/>
  <c r="F28" i="7" s="1"/>
  <c r="H28" i="7" s="1"/>
  <c r="E38" i="7"/>
  <c r="F38" i="7" s="1"/>
  <c r="E14" i="7"/>
  <c r="F14" i="7" s="1"/>
  <c r="E10" i="7"/>
  <c r="F10" i="7" s="1"/>
  <c r="E3" i="7"/>
  <c r="F3" i="7" s="1"/>
  <c r="E23" i="7"/>
  <c r="F23" i="7" s="1"/>
  <c r="H23" i="7" s="1"/>
  <c r="E36" i="7"/>
  <c r="F36" i="7" s="1"/>
  <c r="H36" i="7" s="1"/>
  <c r="E43" i="7"/>
  <c r="F43" i="7" s="1"/>
  <c r="H43" i="7" s="1"/>
  <c r="E45" i="7"/>
  <c r="F45" i="7" s="1"/>
  <c r="H45" i="7" s="1"/>
  <c r="E41" i="7"/>
  <c r="F41" i="7" s="1"/>
  <c r="H41" i="7" s="1"/>
  <c r="E35" i="7"/>
  <c r="F35" i="7" s="1"/>
  <c r="H35" i="7" s="1"/>
  <c r="D27" i="7"/>
  <c r="D21" i="7"/>
  <c r="D32" i="7"/>
  <c r="D34" i="7"/>
  <c r="D24" i="7"/>
  <c r="D20" i="7"/>
  <c r="D33" i="7"/>
  <c r="M33" i="7" s="1"/>
  <c r="D25" i="7"/>
  <c r="M25" i="7" s="1"/>
  <c r="D26" i="7"/>
  <c r="D49" i="7"/>
  <c r="D39" i="7"/>
  <c r="D52" i="7"/>
  <c r="D42" i="7"/>
  <c r="D47" i="7"/>
  <c r="D50" i="7"/>
  <c r="M50" i="7" s="1"/>
  <c r="D37" i="7"/>
  <c r="M37" i="7" s="1"/>
  <c r="D12" i="7"/>
  <c r="D7" i="7"/>
  <c r="D2" i="7"/>
  <c r="D4" i="7"/>
  <c r="D5" i="7"/>
  <c r="D15" i="7"/>
  <c r="D11" i="7"/>
  <c r="M11" i="7" s="1"/>
  <c r="D19" i="7"/>
  <c r="M19" i="7" s="1"/>
  <c r="D6" i="7"/>
  <c r="D46" i="7"/>
  <c r="D29" i="7"/>
  <c r="D44" i="7"/>
  <c r="D8" i="7"/>
  <c r="D16" i="7"/>
  <c r="D48" i="7"/>
  <c r="M48" i="7" s="1"/>
  <c r="D30" i="7"/>
  <c r="M30" i="7" s="1"/>
  <c r="D31" i="7"/>
  <c r="D40" i="7"/>
  <c r="D51" i="7"/>
  <c r="D13" i="7"/>
  <c r="D17" i="7"/>
  <c r="D22" i="7"/>
  <c r="D18" i="7"/>
  <c r="M18" i="7" s="1"/>
  <c r="D53" i="7"/>
  <c r="M53" i="7" s="1"/>
  <c r="D9" i="7"/>
  <c r="D28" i="7"/>
  <c r="D38" i="7"/>
  <c r="D14" i="7"/>
  <c r="D10" i="7"/>
  <c r="D3" i="7"/>
  <c r="D23" i="7"/>
  <c r="M23" i="7" s="1"/>
  <c r="D36" i="7"/>
  <c r="M36" i="7" s="1"/>
  <c r="D43" i="7"/>
  <c r="D45" i="7"/>
  <c r="D41" i="7"/>
  <c r="D35" i="7"/>
  <c r="C52" i="7"/>
  <c r="C44" i="7"/>
  <c r="B27" i="7"/>
  <c r="C27" i="7" s="1"/>
  <c r="B21" i="7"/>
  <c r="C21" i="7" s="1"/>
  <c r="B32" i="7"/>
  <c r="M32" i="7" s="1"/>
  <c r="B34" i="7"/>
  <c r="M34" i="7" s="1"/>
  <c r="B24" i="7"/>
  <c r="C24" i="7" s="1"/>
  <c r="B20" i="7"/>
  <c r="C20" i="7" s="1"/>
  <c r="B33" i="7"/>
  <c r="C33" i="7" s="1"/>
  <c r="B25" i="7"/>
  <c r="C25" i="7" s="1"/>
  <c r="B26" i="7"/>
  <c r="C26" i="7" s="1"/>
  <c r="B49" i="7"/>
  <c r="C49" i="7" s="1"/>
  <c r="B39" i="7"/>
  <c r="M39" i="7" s="1"/>
  <c r="B52" i="7"/>
  <c r="M52" i="7" s="1"/>
  <c r="B42" i="7"/>
  <c r="C42" i="7" s="1"/>
  <c r="B47" i="7"/>
  <c r="C47" i="7" s="1"/>
  <c r="B50" i="7"/>
  <c r="C50" i="7" s="1"/>
  <c r="B37" i="7"/>
  <c r="C37" i="7" s="1"/>
  <c r="B12" i="7"/>
  <c r="C12" i="7" s="1"/>
  <c r="B7" i="7"/>
  <c r="C7" i="7" s="1"/>
  <c r="B2" i="7"/>
  <c r="M2" i="7" s="1"/>
  <c r="B4" i="7"/>
  <c r="C4" i="7" s="1"/>
  <c r="B5" i="7"/>
  <c r="B15" i="7"/>
  <c r="B11" i="7"/>
  <c r="C11" i="7" s="1"/>
  <c r="B19" i="7"/>
  <c r="C19" i="7" s="1"/>
  <c r="B6" i="7"/>
  <c r="C6" i="7" s="1"/>
  <c r="B46" i="7"/>
  <c r="C46" i="7" s="1"/>
  <c r="B29" i="7"/>
  <c r="M29" i="7" s="1"/>
  <c r="B44" i="7"/>
  <c r="M44" i="7" s="1"/>
  <c r="B8" i="7"/>
  <c r="B16" i="7"/>
  <c r="C16" i="7" s="1"/>
  <c r="B48" i="7"/>
  <c r="C48" i="7" s="1"/>
  <c r="B30" i="7"/>
  <c r="C30" i="7" s="1"/>
  <c r="B31" i="7"/>
  <c r="C31" i="7" s="1"/>
  <c r="B40" i="7"/>
  <c r="C40" i="7" s="1"/>
  <c r="B51" i="7"/>
  <c r="M51" i="7" s="1"/>
  <c r="B13" i="7"/>
  <c r="C13" i="7" s="1"/>
  <c r="B17" i="7"/>
  <c r="C17" i="7" s="1"/>
  <c r="B22" i="7"/>
  <c r="C22" i="7" s="1"/>
  <c r="B18" i="7"/>
  <c r="C18" i="7" s="1"/>
  <c r="B53" i="7"/>
  <c r="C53" i="7" s="1"/>
  <c r="B9" i="7"/>
  <c r="C9" i="7" s="1"/>
  <c r="B28" i="7"/>
  <c r="C28" i="7" s="1"/>
  <c r="B38" i="7"/>
  <c r="M38" i="7" s="1"/>
  <c r="B14" i="7"/>
  <c r="C14" i="7" s="1"/>
  <c r="B10" i="7"/>
  <c r="B3" i="7"/>
  <c r="C3" i="7" s="1"/>
  <c r="B23" i="7"/>
  <c r="C23" i="7" s="1"/>
  <c r="B36" i="7"/>
  <c r="C36" i="7" s="1"/>
  <c r="B43" i="7"/>
  <c r="C43" i="7" s="1"/>
  <c r="B45" i="7"/>
  <c r="C45" i="7" s="1"/>
  <c r="B41" i="7"/>
  <c r="C41" i="7" s="1"/>
  <c r="B35" i="7"/>
  <c r="C35" i="7" s="1"/>
  <c r="F177" i="5"/>
  <c r="F176" i="5"/>
  <c r="F175" i="5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2" i="5"/>
  <c r="H2" i="5" s="1"/>
  <c r="L6" i="4"/>
  <c r="L7" i="4"/>
  <c r="L8" i="4"/>
  <c r="L9" i="4"/>
  <c r="L5" i="4"/>
  <c r="K9" i="4"/>
  <c r="K8" i="4"/>
  <c r="K7" i="4"/>
  <c r="K6" i="4"/>
  <c r="K5" i="4"/>
  <c r="I6" i="4"/>
  <c r="I7" i="4"/>
  <c r="I8" i="4"/>
  <c r="I9" i="4"/>
  <c r="I5" i="4"/>
  <c r="G6" i="4"/>
  <c r="G7" i="4"/>
  <c r="G8" i="4"/>
  <c r="G9" i="4"/>
  <c r="G5" i="4"/>
  <c r="E6" i="4"/>
  <c r="E7" i="4"/>
  <c r="E8" i="4"/>
  <c r="E9" i="4"/>
  <c r="E5" i="4"/>
  <c r="C6" i="4"/>
  <c r="C7" i="4"/>
  <c r="C8" i="4"/>
  <c r="C9" i="4"/>
  <c r="C5" i="4"/>
  <c r="K25" i="3"/>
  <c r="J25" i="3"/>
  <c r="I25" i="3"/>
  <c r="H25" i="3"/>
  <c r="K24" i="3"/>
  <c r="J24" i="3"/>
  <c r="I24" i="3"/>
  <c r="H24" i="3"/>
  <c r="K23" i="3"/>
  <c r="J23" i="3"/>
  <c r="I23" i="3"/>
  <c r="H23" i="3"/>
  <c r="D23" i="3"/>
  <c r="E23" i="3"/>
  <c r="F23" i="3"/>
  <c r="D24" i="3"/>
  <c r="E24" i="3"/>
  <c r="F24" i="3"/>
  <c r="D25" i="3"/>
  <c r="E25" i="3"/>
  <c r="F25" i="3"/>
  <c r="C25" i="3"/>
  <c r="C24" i="3"/>
  <c r="C23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6" i="3"/>
  <c r="H6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G6" i="2"/>
  <c r="G12" i="2"/>
  <c r="G15" i="2"/>
  <c r="G4" i="2"/>
  <c r="E10" i="2"/>
  <c r="G10" i="2" s="1"/>
  <c r="E11" i="2"/>
  <c r="G11" i="2" s="1"/>
  <c r="E12" i="2"/>
  <c r="E13" i="2"/>
  <c r="G13" i="2" s="1"/>
  <c r="E14" i="2"/>
  <c r="G14" i="2" s="1"/>
  <c r="E15" i="2"/>
  <c r="E16" i="2"/>
  <c r="G16" i="2" s="1"/>
  <c r="E17" i="2"/>
  <c r="G17" i="2" s="1"/>
  <c r="E18" i="2"/>
  <c r="G18" i="2" s="1"/>
  <c r="E19" i="2"/>
  <c r="G19" i="2" s="1"/>
  <c r="E7" i="2"/>
  <c r="G7" i="2" s="1"/>
  <c r="E8" i="2"/>
  <c r="G8" i="2" s="1"/>
  <c r="E9" i="2"/>
  <c r="G9" i="2" s="1"/>
  <c r="E4" i="2"/>
  <c r="E5" i="2"/>
  <c r="G5" i="2" s="1"/>
  <c r="E6" i="2"/>
  <c r="M15" i="7" l="1"/>
  <c r="M10" i="7"/>
  <c r="M8" i="7"/>
  <c r="M5" i="7"/>
  <c r="H6" i="7"/>
  <c r="H12" i="7"/>
  <c r="H26" i="7"/>
  <c r="H27" i="7"/>
  <c r="H37" i="7"/>
  <c r="H25" i="7"/>
  <c r="H30" i="7"/>
  <c r="H18" i="7"/>
  <c r="H11" i="7"/>
  <c r="H48" i="7"/>
  <c r="H20" i="7"/>
  <c r="H3" i="7"/>
  <c r="H10" i="7"/>
  <c r="H8" i="7"/>
  <c r="H5" i="7"/>
  <c r="H42" i="7"/>
  <c r="H24" i="7"/>
  <c r="H14" i="7"/>
  <c r="H13" i="7"/>
  <c r="H4" i="7"/>
  <c r="H52" i="7"/>
  <c r="H34" i="7"/>
  <c r="H38" i="7"/>
  <c r="H29" i="7"/>
  <c r="H2" i="7"/>
  <c r="H39" i="7"/>
  <c r="H32" i="7"/>
  <c r="C32" i="7"/>
  <c r="C51" i="7"/>
  <c r="C8" i="7"/>
  <c r="C29" i="7"/>
  <c r="C2" i="7"/>
  <c r="C39" i="7"/>
  <c r="C10" i="7"/>
  <c r="C38" i="7"/>
  <c r="C15" i="7"/>
  <c r="C34" i="7"/>
  <c r="M3" i="7"/>
  <c r="M22" i="7"/>
  <c r="M16" i="7"/>
  <c r="M47" i="7"/>
  <c r="M20" i="7"/>
  <c r="C5" i="7"/>
  <c r="M17" i="7"/>
  <c r="M42" i="7"/>
  <c r="M24" i="7"/>
  <c r="M35" i="7"/>
  <c r="M14" i="7"/>
  <c r="M13" i="7"/>
  <c r="M4" i="7"/>
  <c r="M41" i="7"/>
  <c r="M45" i="7"/>
  <c r="M28" i="7"/>
  <c r="M40" i="7"/>
  <c r="M46" i="7"/>
  <c r="M7" i="7"/>
  <c r="M49" i="7"/>
  <c r="M21" i="7"/>
  <c r="M43" i="7"/>
  <c r="M9" i="7"/>
  <c r="M31" i="7"/>
  <c r="M6" i="7"/>
  <c r="M12" i="7"/>
  <c r="M26" i="7"/>
  <c r="M27" i="7"/>
  <c r="G25" i="2"/>
  <c r="G22" i="2"/>
  <c r="G23" i="2"/>
  <c r="G24" i="2"/>
  <c r="C25" i="2"/>
  <c r="C24" i="2"/>
  <c r="C23" i="2"/>
  <c r="C22" i="2"/>
  <c r="D25" i="2"/>
  <c r="D24" i="2"/>
  <c r="D23" i="2"/>
  <c r="D22" i="2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4" i="2"/>
  <c r="F22" i="2" l="1"/>
  <c r="H4" i="2"/>
  <c r="F25" i="2"/>
  <c r="F23" i="2"/>
  <c r="F24" i="2"/>
  <c r="H25" i="2" l="1"/>
  <c r="H24" i="2"/>
  <c r="H23" i="2"/>
  <c r="H22" i="2"/>
</calcChain>
</file>

<file path=xl/sharedStrings.xml><?xml version="1.0" encoding="utf-8"?>
<sst xmlns="http://schemas.openxmlformats.org/spreadsheetml/2006/main" count="1197" uniqueCount="228">
  <si>
    <t>This workbook follows the tutorial found at: https://www.youtube.com/watch?v=Vl0H-qTclOg&amp;list=WL&amp;index=14&amp;t=5s</t>
  </si>
  <si>
    <t>Employee Payroll</t>
  </si>
  <si>
    <t>Last Name</t>
  </si>
  <si>
    <t>First Name</t>
  </si>
  <si>
    <t>Hourly Wage</t>
  </si>
  <si>
    <t>Kern</t>
  </si>
  <si>
    <t>Howard</t>
  </si>
  <si>
    <t>O' Donnald</t>
  </si>
  <si>
    <t>Hernandez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</si>
  <si>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</si>
  <si>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</si>
  <si>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</si>
  <si>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</si>
  <si>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</si>
  <si>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</si>
  <si>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</si>
  <si>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</si>
  <si>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</si>
  <si>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</si>
  <si>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</si>
  <si>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</si>
  <si>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</si>
  <si>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</si>
  <si>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</si>
  <si>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</si>
  <si>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</si>
  <si>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</si>
  <si>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</si>
  <si>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</si>
  <si>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</si>
  <si>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</si>
  <si>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</si>
  <si>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</si>
  <si>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</si>
  <si>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</si>
  <si>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</si>
  <si>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</si>
  <si>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Hours Worked</t>
  </si>
  <si>
    <t>Pay</t>
  </si>
  <si>
    <t>Max</t>
  </si>
  <si>
    <t>Min</t>
  </si>
  <si>
    <t>Average</t>
  </si>
  <si>
    <t>Total</t>
  </si>
  <si>
    <t>Overtime Hours</t>
  </si>
  <si>
    <t>Overtime Bonus</t>
  </si>
  <si>
    <t>Total Pay</t>
  </si>
  <si>
    <t>Employee Gradebook</t>
  </si>
  <si>
    <t>Safety Test</t>
  </si>
  <si>
    <t>Company Philosophy Test</t>
  </si>
  <si>
    <t>Financial Skills Test</t>
  </si>
  <si>
    <t>Drug Test</t>
  </si>
  <si>
    <t>Points Possible</t>
  </si>
  <si>
    <t>Safety Test %</t>
  </si>
  <si>
    <t>Company Philosophy Test %</t>
  </si>
  <si>
    <t>Financial Skills Test %</t>
  </si>
  <si>
    <t>Drug Test %</t>
  </si>
  <si>
    <t>Fire Employee?</t>
  </si>
  <si>
    <t>Career Decision</t>
  </si>
  <si>
    <t>Job</t>
  </si>
  <si>
    <t>McDonald's Manager</t>
  </si>
  <si>
    <t>Doctor</t>
  </si>
  <si>
    <t>Engineer</t>
  </si>
  <si>
    <t>Truck Driver</t>
  </si>
  <si>
    <t>Importance Factor</t>
  </si>
  <si>
    <t>Job Market</t>
  </si>
  <si>
    <t>Enjoyment</t>
  </si>
  <si>
    <t>My Talent</t>
  </si>
  <si>
    <t>Schooling</t>
  </si>
  <si>
    <t>MLB</t>
  </si>
  <si>
    <t>Sum (weighted by importance)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</si>
  <si>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</si>
  <si>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</si>
  <si>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</si>
  <si>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</si>
  <si>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</si>
  <si>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</si>
  <si>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</si>
  <si>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</si>
  <si>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</si>
  <si>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</si>
  <si>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</si>
  <si>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</si>
  <si>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</si>
  <si>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</si>
  <si>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</si>
  <si>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</si>
  <si>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</si>
  <si>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</si>
  <si>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</si>
  <si>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</si>
  <si>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</si>
  <si>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</si>
  <si>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</si>
  <si>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</si>
  <si>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</si>
  <si>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</si>
  <si>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</si>
  <si>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</si>
  <si>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</si>
  <si>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</si>
  <si>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</si>
  <si>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</si>
  <si>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</si>
  <si>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</si>
  <si>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</si>
  <si>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</si>
  <si>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</si>
  <si>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</si>
  <si>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</si>
  <si>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</si>
  <si>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Doug</t>
  </si>
  <si>
    <t>Hellen</t>
  </si>
  <si>
    <t>Johnson</t>
  </si>
  <si>
    <t>Sum of all items</t>
  </si>
  <si>
    <t>Sum of items valued at more than $50</t>
  </si>
  <si>
    <t>Sum of items valued at $50 or less</t>
  </si>
  <si>
    <t>Sum of Sale Price</t>
  </si>
  <si>
    <t>Row Labels</t>
  </si>
  <si>
    <t>Grand Total</t>
  </si>
  <si>
    <t>Car ID</t>
  </si>
  <si>
    <t>Make</t>
  </si>
  <si>
    <t>Make (Full Name)</t>
  </si>
  <si>
    <t>Model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</si>
  <si>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</si>
  <si>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</si>
  <si>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</si>
  <si>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</si>
  <si>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</si>
  <si>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</si>
  <si>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</si>
  <si>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</si>
  <si>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</si>
  <si>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</si>
  <si>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</si>
  <si>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</si>
  <si>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</si>
  <si>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</si>
  <si>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</si>
  <si>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</si>
  <si>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</si>
  <si>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</si>
  <si>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</si>
  <si>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</si>
  <si>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</si>
  <si>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</si>
  <si>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</si>
  <si>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</si>
  <si>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</si>
  <si>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</si>
  <si>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</si>
  <si>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</si>
  <si>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</si>
  <si>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</si>
  <si>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</si>
  <si>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</si>
  <si>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</si>
  <si>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</si>
  <si>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</si>
  <si>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</si>
  <si>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</si>
  <si>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</si>
  <si>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</si>
  <si>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</si>
  <si>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</si>
  <si>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</si>
  <si>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</si>
  <si>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</si>
  <si>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</si>
  <si>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</si>
  <si>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</si>
  <si>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</si>
  <si>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</si>
  <si>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</si>
  <si>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</si>
  <si>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</si>
  <si>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</si>
  <si>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</si>
  <si>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</si>
  <si>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</si>
  <si>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</si>
  <si>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</si>
  <si>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</si>
  <si>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</si>
  <si>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</si>
  <si>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</si>
  <si>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</si>
  <si>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</si>
  <si>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</si>
  <si>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</si>
  <si>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</si>
  <si>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</si>
  <si>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</si>
  <si>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</si>
  <si>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</si>
  <si>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</si>
  <si>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</si>
  <si>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</si>
  <si>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</si>
  <si>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</si>
  <si>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</si>
  <si>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</si>
  <si>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</si>
  <si>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</si>
  <si>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</si>
  <si>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</si>
  <si>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</si>
  <si>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</si>
  <si>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</si>
  <si>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</si>
  <si>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</si>
  <si>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</si>
  <si>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</si>
  <si>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HO01ODY040</t>
  </si>
  <si>
    <t>FD06FCS006</t>
  </si>
  <si>
    <t>GM09CMR014</t>
  </si>
  <si>
    <t>HO05ODY037</t>
  </si>
  <si>
    <t>Sum of Miles</t>
  </si>
  <si>
    <t>Interest Rate</t>
  </si>
  <si>
    <t>Months</t>
  </si>
  <si>
    <t>Interest Paid</t>
  </si>
  <si>
    <t>Monthly Payment</t>
  </si>
  <si>
    <t>Loan</t>
  </si>
  <si>
    <t>A</t>
  </si>
  <si>
    <t>B</t>
  </si>
  <si>
    <t>C</t>
  </si>
  <si>
    <t>D</t>
  </si>
  <si>
    <t>Total Paid</t>
  </si>
  <si>
    <t>Monthly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</si>
</sst>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_(* #,##0_);_(* \(#,##0\);_(* &quot;-&quot;??_);_(@_)"/>
    <numFmt numFmtId="175" formatCode="0.000%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Calibri"/>
      <family val="2"/>
      <charset val="129"/>
    </font>
    <font>
      <b/>
      <sz val="12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6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44" fontId="0" fillId="0" borderId="0" xfId="2" applyFont="1"/>
    <xf numFmtId="44" fontId="0" fillId="0" borderId="0" xfId="0" applyNumberFormat="1"/>
    <xf numFmtId="2" fontId="0" fillId="0" borderId="0" xfId="0" applyNumberFormat="1"/>
    <xf numFmtId="0" fontId="0" fillId="2" borderId="0" xfId="0" applyFill="1"/>
    <xf numFmtId="44" fontId="0" fillId="3" borderId="0" xfId="2" applyFont="1" applyFill="1"/>
    <xf numFmtId="0" fontId="0" fillId="4" borderId="0" xfId="0" applyFill="1"/>
    <xf numFmtId="0" fontId="0" fillId="5" borderId="0" xfId="0" applyFill="1"/>
    <xf numFmtId="44" fontId="0" fillId="6" borderId="0" xfId="0" applyNumberFormat="1" applyFill="1"/>
    <xf numFmtId="44" fontId="0" fillId="7" borderId="0" xfId="0" applyNumberFormat="1" applyFill="1"/>
    <xf numFmtId="44" fontId="0" fillId="8" borderId="0" xfId="0" applyNumberFormat="1" applyFill="1"/>
    <xf numFmtId="0" fontId="2" fillId="0" borderId="0" xfId="0" applyFont="1" applyFill="1"/>
    <xf numFmtId="0" fontId="0" fillId="0" borderId="0" xfId="0" applyAlignment="1">
      <alignment textRotation="90"/>
    </xf>
    <xf numFmtId="9" fontId="0" fillId="0" borderId="0" xfId="3" applyFont="1"/>
    <xf numFmtId="0" fontId="0" fillId="9" borderId="0" xfId="0" applyFill="1"/>
    <xf numFmtId="0" fontId="0" fillId="10" borderId="0" xfId="0" applyFill="1"/>
    <xf numFmtId="0" fontId="0" fillId="3" borderId="0" xfId="0" applyFill="1"/>
    <xf numFmtId="0" fontId="0" fillId="11" borderId="0" xfId="0" applyFill="1"/>
    <xf numFmtId="0" fontId="3" fillId="0" borderId="0" xfId="0" applyFont="1"/>
    <xf numFmtId="14" fontId="3" fillId="0" borderId="0" xfId="0" applyNumberFormat="1" applyFont="1"/>
    <xf numFmtId="173" fontId="3" fillId="0" borderId="0" xfId="0" applyNumberFormat="1" applyFont="1"/>
    <xf numFmtId="0" fontId="3" fillId="0" borderId="0" xfId="0" applyFont="1" applyAlignment="1">
      <alignment wrapText="1"/>
    </xf>
    <xf numFmtId="44" fontId="3" fillId="0" borderId="0" xfId="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43" fontId="0" fillId="0" borderId="0" xfId="1" applyFont="1"/>
    <xf numFmtId="0" fontId="4" fillId="0" borderId="0" xfId="0" applyFont="1"/>
    <xf numFmtId="8" fontId="0" fillId="0" borderId="0" xfId="0" applyNumberFormat="1"/>
    <xf numFmtId="10" fontId="0" fillId="0" borderId="0" xfId="3" applyNumberFormat="1" applyFont="1"/>
    <xf numFmtId="175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D6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gradebook!$A$6:$A$21</c:f>
              <c:strCache>
                <c:ptCount val="16"/>
                <c:pt idx="0">
                  <c:v>Kern</c:v>
                </c:pt>
                <c:pt idx="1">
                  <c:v>Howard</c:v>
                </c:pt>
                <c:pt idx="2">
                  <c:v>O' 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Underhill</c:v>
                </c:pt>
              </c:strCache>
            </c:strRef>
          </c:cat>
          <c:val>
            <c:numRef>
              <c:f>gradebook!$C$6:$C$21</c:f>
              <c:numCache>
                <c:formatCode>General</c:formatCode>
                <c:ptCount val="1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0F4A-AF50-411422E96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675135"/>
        <c:axId val="294704959"/>
      </c:barChart>
      <c:catAx>
        <c:axId val="2156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04959"/>
        <c:crosses val="autoZero"/>
        <c:auto val="1"/>
        <c:lblAlgn val="ctr"/>
        <c:lblOffset val="100"/>
        <c:noMultiLvlLbl val="0"/>
      </c:catAx>
      <c:valAx>
        <c:axId val="2947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gradebook!$A$6:$A$21</c:f>
              <c:strCache>
                <c:ptCount val="16"/>
                <c:pt idx="0">
                  <c:v>Kern</c:v>
                </c:pt>
                <c:pt idx="1">
                  <c:v>Howard</c:v>
                </c:pt>
                <c:pt idx="2">
                  <c:v>O' 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Underhill</c:v>
                </c:pt>
              </c:strCache>
            </c:strRef>
          </c:cat>
          <c:val>
            <c:numRef>
              <c:f>gradebook!$D$6:$D$21</c:f>
              <c:numCache>
                <c:formatCode>General</c:formatCode>
                <c:ptCount val="16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9-524D-9216-D21BD529B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556383"/>
        <c:axId val="1295553712"/>
      </c:barChart>
      <c:catAx>
        <c:axId val="7945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53712"/>
        <c:crosses val="autoZero"/>
        <c:auto val="1"/>
        <c:lblAlgn val="ctr"/>
        <c:lblOffset val="100"/>
        <c:noMultiLvlLbl val="0"/>
      </c:catAx>
      <c:valAx>
        <c:axId val="12955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5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gradebook!$A$6:$A$21</c:f>
              <c:strCache>
                <c:ptCount val="16"/>
                <c:pt idx="0">
                  <c:v>Kern</c:v>
                </c:pt>
                <c:pt idx="1">
                  <c:v>Howard</c:v>
                </c:pt>
                <c:pt idx="2">
                  <c:v>O' 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Underhill</c:v>
                </c:pt>
              </c:strCache>
            </c:strRef>
          </c:cat>
          <c:val>
            <c:numRef>
              <c:f>gradebook!$E$6:$E$21</c:f>
              <c:numCache>
                <c:formatCode>General</c:formatCode>
                <c:ptCount val="16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6-5A41-BADD-EB7E32A2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015920"/>
        <c:axId val="268017632"/>
      </c:barChart>
      <c:catAx>
        <c:axId val="2680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17632"/>
        <c:crosses val="autoZero"/>
        <c:auto val="1"/>
        <c:lblAlgn val="ctr"/>
        <c:lblOffset val="100"/>
        <c:noMultiLvlLbl val="0"/>
      </c:catAx>
      <c:valAx>
        <c:axId val="2680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[basic_tutorial.xlsx]sales!PivotTable1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sales!$N$2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sales!$M$3:$M$7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sales!$N$3:$N$7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B-AE45-ACA7-E4894C25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[basic_tutorial.xlsx]carInventory!PivotTable2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carInventory!$P$2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carInventory!$O$3:$O$20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carInventory!$P$3:$P$20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7-8641-873A-5114F2471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975535"/>
        <c:axId val="191586431"/>
      </c:barChart>
      <c:catAx>
        <c:axId val="28597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6431"/>
        <c:crosses val="autoZero"/>
        <c:auto val="1"/>
        <c:lblAlgn val="ctr"/>
        <c:lblOffset val="100"/>
        <c:noMultiLvlLbl val="0"/>
      </c:catAx>
      <c:valAx>
        <c:axId val="1915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7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 Driven vs. Car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carInventory!$F$2:$F$53</c:f>
              <c:numCache>
                <c:formatCode>General</c:formatCode>
                <c:ptCount val="52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20</c:v>
                </c:pt>
                <c:pt idx="8">
                  <c:v>24</c:v>
                </c:pt>
                <c:pt idx="9">
                  <c:v>15</c:v>
                </c:pt>
                <c:pt idx="10">
                  <c:v>26</c:v>
                </c:pt>
                <c:pt idx="11">
                  <c:v>19</c:v>
                </c:pt>
                <c:pt idx="12">
                  <c:v>25</c:v>
                </c:pt>
                <c:pt idx="13">
                  <c:v>22</c:v>
                </c:pt>
                <c:pt idx="14">
                  <c:v>23</c:v>
                </c:pt>
                <c:pt idx="15">
                  <c:v>17</c:v>
                </c:pt>
                <c:pt idx="16">
                  <c:v>23</c:v>
                </c:pt>
                <c:pt idx="17">
                  <c:v>22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18</c:v>
                </c:pt>
                <c:pt idx="23">
                  <c:v>11</c:v>
                </c:pt>
                <c:pt idx="24">
                  <c:v>11</c:v>
                </c:pt>
                <c:pt idx="25">
                  <c:v>18</c:v>
                </c:pt>
                <c:pt idx="26">
                  <c:v>17</c:v>
                </c:pt>
                <c:pt idx="27">
                  <c:v>12</c:v>
                </c:pt>
                <c:pt idx="28">
                  <c:v>14</c:v>
                </c:pt>
                <c:pt idx="29">
                  <c:v>13</c:v>
                </c:pt>
                <c:pt idx="30">
                  <c:v>16</c:v>
                </c:pt>
                <c:pt idx="31">
                  <c:v>15</c:v>
                </c:pt>
                <c:pt idx="32">
                  <c:v>16</c:v>
                </c:pt>
                <c:pt idx="33">
                  <c:v>18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11</c:v>
                </c:pt>
                <c:pt idx="38">
                  <c:v>12</c:v>
                </c:pt>
                <c:pt idx="39">
                  <c:v>11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12</c:v>
                </c:pt>
                <c:pt idx="46">
                  <c:v>14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</c:numCache>
            </c:numRef>
          </c:xVal>
          <c:yVal>
            <c:numRef>
              <c:f>carInventory!$G$2:$G$53</c:f>
              <c:numCache>
                <c:formatCode>_(* #,##0.00_);_(* \(#,##0.00\);_(* "-"??_);_(@_)</c:formatCode>
                <c:ptCount val="52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64542</c:v>
                </c:pt>
                <c:pt idx="8">
                  <c:v>77243.100000000006</c:v>
                </c:pt>
                <c:pt idx="9">
                  <c:v>48114.2</c:v>
                </c:pt>
                <c:pt idx="10">
                  <c:v>83162.7</c:v>
                </c:pt>
                <c:pt idx="11">
                  <c:v>60389.5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50854.1</c:v>
                </c:pt>
                <c:pt idx="16">
                  <c:v>68658.899999999994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44974.8</c:v>
                </c:pt>
                <c:pt idx="26">
                  <c:v>42074.2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37558.800000000003</c:v>
                </c:pt>
                <c:pt idx="31">
                  <c:v>35137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22573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B-5B48-86EE-901C8BB7B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78240"/>
        <c:axId val="268379952"/>
      </c:scatterChart>
      <c:valAx>
        <c:axId val="2683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</a:t>
                </a:r>
                <a:r>
                  <a:rPr lang="en-US" baseline="0"/>
                  <a:t> Age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79952"/>
        <c:crosses val="autoZero"/>
        <c:crossBetween val="midCat"/>
      </c:valAx>
      <c:valAx>
        <c:axId val="2683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by Loan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interestRates!$F$1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interestRates!$A$2:$A$5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interestRates!$F$2:$F$5</c:f>
              <c:numCache>
                <c:formatCode>"$"#,##0.00_);[Red]\("$"#,##0.00\)</c:formatCode>
                <c:ptCount val="4"/>
                <c:pt idx="0">
                  <c:v>-872.88693495433267</c:v>
                </c:pt>
                <c:pt idx="1">
                  <c:v>-868.59406485046622</c:v>
                </c:pt>
                <c:pt idx="2">
                  <c:v>-866.43839348181143</c:v>
                </c:pt>
                <c:pt idx="3">
                  <c:v>-877.15544717941179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C-5A47-A7E6-5E2C9A88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469743"/>
        <c:axId val="762471455"/>
      </c:barChart>
      <c:catAx>
        <c:axId val="76246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71455"/>
        <c:crosses val="autoZero"/>
        <c:auto val="1"/>
        <c:lblAlgn val="ctr"/>
        <c:lblOffset val="100"/>
        <c:noMultiLvlLbl val="0"/>
      </c:catAx>
      <c:valAx>
        <c:axId val="7624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 Amount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6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306917</xdr:colOff>
      <xdr:row>2</xdr:row>
      <xdr:rowOff>1253067</xdr:rowOff>
    </xdr:from>
    <xdr:to>
      <xdr:col>18</xdr:col>
      <xdr:colOff>751417</xdr:colOff>
      <xdr:row>13</xdr:row>
      <xdr:rowOff>186267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9F1C2-0DB0-751B-4D95-E6062BE35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269875</xdr:colOff>
      <xdr:row>14</xdr:row>
      <xdr:rowOff>110067</xdr:rowOff>
    </xdr:from>
    <xdr:to>
      <xdr:col>18</xdr:col>
      <xdr:colOff>714375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3DBBB-3C4A-4305-2CA7-6B928EDE4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68792</xdr:colOff>
      <xdr:row>2</xdr:row>
      <xdr:rowOff>1305984</xdr:rowOff>
    </xdr:from>
    <xdr:to>
      <xdr:col>24</xdr:col>
      <xdr:colOff>513292</xdr:colOff>
      <xdr:row>14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287C59-1066-56D7-9BB4-540F0179F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8</xdr:row>
      <xdr:rowOff>139700</xdr:rowOff>
    </xdr:from>
    <xdr:to>
      <xdr:col>18</xdr:col>
      <xdr:colOff>520700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6EB64-139A-6017-4AD6-C60C37414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203200</xdr:colOff>
      <xdr:row>21</xdr:row>
      <xdr:rowOff>177800</xdr:rowOff>
    </xdr:from>
    <xdr:to>
      <xdr:col>18</xdr:col>
      <xdr:colOff>419100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45B29-4E16-5697-27D7-D96AC1EF6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36</xdr:row>
      <xdr:rowOff>105834</xdr:rowOff>
    </xdr:from>
    <xdr:to>
      <xdr:col>18</xdr:col>
      <xdr:colOff>292100</xdr:colOff>
      <xdr:row>50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89C05-8736-56CD-3325-D55B227FC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</xdr:row>
      <xdr:rowOff>101600</xdr:rowOff>
    </xdr:from>
    <xdr:to>
      <xdr:col>8</xdr:col>
      <xdr:colOff>50800</xdr:colOff>
      <xdr:row>27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72852A-D2BD-B47E-4622-DF70D7540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72.735798148147" createdVersion="8" refreshedVersion="8" minRefreshableVersion="3" recordCount="171" xr:uid="{BCF0B8C7-397A-2E48-B8AA-7878440469EA}">
  <cacheSource type="worksheet">
    <worksheetSource ref="A1:K172" sheet="sales"/>
  </cacheSource>
  <cacheFields count="11">
    <cacheField name="Month" numFmtId="14">
      <sharedItems/>
    </cacheField>
    <cacheField name="Transaction Number" numFmtId="173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76.766725231479" createdVersion="8" refreshedVersion="8" minRefreshableVersion="3" recordCount="52" xr:uid="{6DC7DC13-E9EE-9741-AEFB-70FE89777A12}">
  <cacheSource type="worksheet">
    <worksheetSource ref="A1:M53" sheet="carInventory"/>
  </cacheSource>
  <cacheFields count="13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70.81" maxValue="4095.0214285714287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06"/>
    <n v="18"/>
    <n v="40326.800000000003"/>
    <n v="2240.3777777777777"/>
    <s v="Black"/>
    <x v="0"/>
    <n v="50000"/>
    <s v="Y"/>
    <s v="FD06MTGBLA001"/>
  </r>
  <r>
    <s v="FD06MTG002"/>
    <s v="FD"/>
    <s v="Ford"/>
    <s v="MTG"/>
    <s v="06"/>
    <n v="18"/>
    <n v="44974.8"/>
    <n v="2498.6000000000004"/>
    <s v="White"/>
    <x v="1"/>
    <n v="50000"/>
    <s v="Y"/>
    <s v="FD06MTGWHI002"/>
  </r>
  <r>
    <s v="FD08MTG003"/>
    <s v="FD"/>
    <s v="Ford"/>
    <s v="MTG"/>
    <s v="08"/>
    <n v="16"/>
    <n v="44946.5"/>
    <n v="2809.15625"/>
    <s v="Green"/>
    <x v="2"/>
    <n v="50000"/>
    <s v="Y"/>
    <s v="FD08MTGGRE003"/>
  </r>
  <r>
    <s v="FD08MTG004"/>
    <s v="FD"/>
    <s v="Ford"/>
    <s v="MTG"/>
    <s v="08"/>
    <n v="16"/>
    <n v="37558.800000000003"/>
    <n v="2347.4250000000002"/>
    <s v="Black"/>
    <x v="3"/>
    <n v="50000"/>
    <s v="Y"/>
    <s v="FD08MTGBLA004"/>
  </r>
  <r>
    <s v="FD08MTG005"/>
    <s v="FD"/>
    <s v="Ford"/>
    <s v="MTG"/>
    <s v="08"/>
    <n v="16"/>
    <n v="36438.5"/>
    <n v="2277.40625"/>
    <s v="White"/>
    <x v="0"/>
    <n v="50000"/>
    <s v="Y"/>
    <s v="FD08MTGWHI005"/>
  </r>
  <r>
    <s v="FD06FCS006"/>
    <s v="FD"/>
    <s v="Ford"/>
    <s v="FCS"/>
    <s v="06"/>
    <n v="18"/>
    <n v="46311.4"/>
    <n v="2572.8555555555558"/>
    <s v="Green"/>
    <x v="4"/>
    <n v="75000"/>
    <s v="Y"/>
    <s v="FD06FCSGRE006"/>
  </r>
  <r>
    <s v="FD06FCS007"/>
    <s v="FD"/>
    <s v="Ford"/>
    <s v="FCS"/>
    <s v="06"/>
    <n v="18"/>
    <n v="52229.5"/>
    <n v="2901.6388888888887"/>
    <s v="Green"/>
    <x v="2"/>
    <n v="75000"/>
    <s v="Y"/>
    <s v="FD06FCSGRE007"/>
  </r>
  <r>
    <s v="FD09FCS008"/>
    <s v="FD"/>
    <s v="Ford"/>
    <s v="FCS"/>
    <s v="09"/>
    <n v="15"/>
    <n v="35137"/>
    <n v="2342.4666666666667"/>
    <s v="Black"/>
    <x v="5"/>
    <n v="75000"/>
    <s v="Y"/>
    <s v="FD09FCSBLA008"/>
  </r>
  <r>
    <s v="FD13FCS009"/>
    <s v="FD"/>
    <s v="Ford"/>
    <s v="FCS"/>
    <s v="13"/>
    <n v="11"/>
    <n v="27637.1"/>
    <n v="2512.4636363636364"/>
    <s v="Black"/>
    <x v="0"/>
    <n v="75000"/>
    <s v="Y"/>
    <s v="FD13FCSBLA009"/>
  </r>
  <r>
    <s v="FD13FCS010"/>
    <s v="FD"/>
    <s v="Ford"/>
    <s v="FCS"/>
    <s v="13"/>
    <n v="11"/>
    <n v="27534.799999999999"/>
    <n v="2503.1636363636362"/>
    <s v="White"/>
    <x v="6"/>
    <n v="75000"/>
    <s v="Y"/>
    <s v="FD13FCSWHI010"/>
  </r>
  <r>
    <s v="FD12FCS011"/>
    <s v="FD"/>
    <s v="Ford"/>
    <s v="FCS"/>
    <s v="12"/>
    <n v="12"/>
    <n v="19341.7"/>
    <n v="1611.8083333333334"/>
    <s v="White"/>
    <x v="7"/>
    <n v="75000"/>
    <s v="Y"/>
    <s v="FD12FCSWHI011"/>
  </r>
  <r>
    <s v="FD13FCS012"/>
    <s v="FD"/>
    <s v="Ford"/>
    <s v="FCS"/>
    <s v="13"/>
    <n v="11"/>
    <n v="22521.599999999999"/>
    <n v="2047.4181818181817"/>
    <s v="Black"/>
    <x v="8"/>
    <n v="75000"/>
    <s v="Y"/>
    <s v="FD13FCSBLA012"/>
  </r>
  <r>
    <s v="FD13FCS013"/>
    <s v="FD"/>
    <s v="Ford"/>
    <s v="FCS"/>
    <s v="13"/>
    <n v="11"/>
    <n v="13682.9"/>
    <n v="1243.8999999999999"/>
    <s v="Black"/>
    <x v="9"/>
    <n v="75000"/>
    <s v="Y"/>
    <s v="FD13FCSBLA013"/>
  </r>
  <r>
    <s v="GM09CMR014"/>
    <s v="GM"/>
    <s v="General Motors"/>
    <s v="CMR"/>
    <s v="09"/>
    <n v="15"/>
    <n v="28464.799999999999"/>
    <n v="1897.6533333333332"/>
    <s v="White"/>
    <x v="10"/>
    <n v="100000"/>
    <s v="Y"/>
    <s v="GM09CMRWHI014"/>
  </r>
  <r>
    <s v="GM12CMR015"/>
    <s v="GM"/>
    <s v="General Motors"/>
    <s v="CMR"/>
    <s v="12"/>
    <n v="12"/>
    <n v="19421.099999999999"/>
    <n v="1618.425"/>
    <s v="Black"/>
    <x v="11"/>
    <n v="100000"/>
    <s v="Y"/>
    <s v="GM12CMRBLA015"/>
  </r>
  <r>
    <s v="GM14CMR016"/>
    <s v="GM"/>
    <s v="General Motors"/>
    <s v="CMR"/>
    <s v="14"/>
    <n v="10"/>
    <n v="14289.6"/>
    <n v="1428.96"/>
    <s v="White"/>
    <x v="12"/>
    <n v="100000"/>
    <s v="Y"/>
    <s v="GM14CMRWHI016"/>
  </r>
  <r>
    <s v="GM10SLV017"/>
    <s v="GM"/>
    <s v="General Motors"/>
    <s v="SLV"/>
    <s v="10"/>
    <n v="14"/>
    <n v="31144.400000000001"/>
    <n v="2224.6"/>
    <s v="Black"/>
    <x v="13"/>
    <n v="100000"/>
    <s v="Y"/>
    <s v="GM10SLVBLA017"/>
  </r>
  <r>
    <s v="GM98SLV018"/>
    <s v="GM"/>
    <s v="General Motors"/>
    <s v="SLV"/>
    <s v="98"/>
    <n v="26"/>
    <n v="83162.7"/>
    <n v="3198.5653846153846"/>
    <s v="Black"/>
    <x v="10"/>
    <n v="100000"/>
    <s v="Y"/>
    <s v="GM98SLVBLA018"/>
  </r>
  <r>
    <s v="GM00SLV019"/>
    <s v="GM"/>
    <s v="General Motors"/>
    <s v="SLV"/>
    <s v="00"/>
    <n v="24"/>
    <n v="80685.8"/>
    <n v="3361.9083333333333"/>
    <s v="Blue"/>
    <x v="8"/>
    <n v="100000"/>
    <s v="Y"/>
    <s v="GM00SLVBLU019"/>
  </r>
  <r>
    <s v="TY96CAM020"/>
    <s v="TY"/>
    <s v="Toyota"/>
    <s v="CAM"/>
    <s v="96"/>
    <n v="28"/>
    <n v="114660.6"/>
    <n v="4095.0214285714287"/>
    <s v="Green"/>
    <x v="14"/>
    <n v="100000"/>
    <s v="Not covered"/>
    <s v="TY96CAMGRE020"/>
  </r>
  <r>
    <s v="TY98CAM021"/>
    <s v="TY"/>
    <s v="Toyota"/>
    <s v="CAM"/>
    <s v="98"/>
    <n v="26"/>
    <n v="93382.6"/>
    <n v="3591.6384615384618"/>
    <s v="Black"/>
    <x v="15"/>
    <n v="100000"/>
    <s v="Y"/>
    <s v="TY98CAMBLA021"/>
  </r>
  <r>
    <s v="TY00CAM022"/>
    <s v="TY"/>
    <s v="Toyota"/>
    <s v="CAM"/>
    <s v="00"/>
    <n v="24"/>
    <n v="85928"/>
    <n v="3580.3333333333335"/>
    <s v="Green"/>
    <x v="4"/>
    <n v="100000"/>
    <s v="Y"/>
    <s v="TY00CAMGRE022"/>
  </r>
  <r>
    <s v="TY02CAM023"/>
    <s v="TY"/>
    <s v="Toyota"/>
    <s v="CAM"/>
    <s v="02"/>
    <n v="22"/>
    <n v="67829.100000000006"/>
    <n v="3083.1409090909092"/>
    <s v="Black"/>
    <x v="0"/>
    <n v="100000"/>
    <s v="Y"/>
    <s v="TY02CAMBLA023"/>
  </r>
  <r>
    <s v="TY09CAM024"/>
    <s v="TY"/>
    <s v="Toyota"/>
    <s v="CAM"/>
    <s v="09"/>
    <n v="15"/>
    <n v="48114.2"/>
    <n v="3207.6133333333332"/>
    <s v="White"/>
    <x v="5"/>
    <n v="100000"/>
    <s v="Y"/>
    <s v="TY09CAMWHI024"/>
  </r>
  <r>
    <s v="TY02COR025"/>
    <s v="TY"/>
    <s v="Toyota"/>
    <s v="COR"/>
    <s v="02"/>
    <n v="22"/>
    <n v="64467.4"/>
    <n v="2930.3363636363638"/>
    <s v="Red"/>
    <x v="16"/>
    <n v="100000"/>
    <s v="Y"/>
    <s v="TY02CORRED025"/>
  </r>
  <r>
    <s v="TY03COR026"/>
    <s v="TY"/>
    <s v="Toyota"/>
    <s v="COR"/>
    <s v="03"/>
    <n v="21"/>
    <n v="73444.399999999994"/>
    <n v="3497.3523809523808"/>
    <s v="Black"/>
    <x v="16"/>
    <n v="100000"/>
    <s v="Y"/>
    <s v="TY03CORBLA026"/>
  </r>
  <r>
    <s v="TY14COR027"/>
    <s v="TY"/>
    <s v="Toyota"/>
    <s v="COR"/>
    <s v="14"/>
    <n v="10"/>
    <n v="17556.3"/>
    <n v="1755.6299999999999"/>
    <s v="Blue"/>
    <x v="6"/>
    <n v="100000"/>
    <s v="Y"/>
    <s v="TY14CORBLU027"/>
  </r>
  <r>
    <s v="TY12COR028"/>
    <s v="TY"/>
    <s v="Toyota"/>
    <s v="COR"/>
    <s v="12"/>
    <n v="12"/>
    <n v="29601.9"/>
    <n v="2466.8250000000003"/>
    <s v="Black"/>
    <x v="10"/>
    <n v="100000"/>
    <s v="Y"/>
    <s v="TY12CORBLA028"/>
  </r>
  <r>
    <s v="TY12CAM029"/>
    <s v="TY"/>
    <s v="Toyota"/>
    <s v="CAM"/>
    <s v="12"/>
    <n v="12"/>
    <n v="22128.2"/>
    <n v="1844.0166666666667"/>
    <s v="Blue"/>
    <x v="14"/>
    <n v="100000"/>
    <s v="Y"/>
    <s v="TY12CAMBLU029"/>
  </r>
  <r>
    <s v="HO99CIV030"/>
    <s v="HO"/>
    <s v="Honda"/>
    <s v="CIV"/>
    <s v="99"/>
    <n v="25"/>
    <n v="82374"/>
    <n v="3294.96"/>
    <s v="White"/>
    <x v="9"/>
    <n v="75000"/>
    <s v="Not covered"/>
    <s v="HO99CIVWHI030"/>
  </r>
  <r>
    <s v="HO01CIV031"/>
    <s v="HO"/>
    <s v="Honda"/>
    <s v="CIV"/>
    <s v="01"/>
    <n v="23"/>
    <n v="69891.899999999994"/>
    <n v="3038.7782608695647"/>
    <s v="Blue"/>
    <x v="3"/>
    <n v="75000"/>
    <s v="Y"/>
    <s v="HO01CIVBLU031"/>
  </r>
  <r>
    <s v="HO10CIV032"/>
    <s v="HO"/>
    <s v="Honda"/>
    <s v="CIV"/>
    <s v="10"/>
    <n v="14"/>
    <n v="22573"/>
    <n v="1612.3571428571429"/>
    <s v="Blue"/>
    <x v="12"/>
    <n v="75000"/>
    <s v="Y"/>
    <s v="HO10CIVBLU032"/>
  </r>
  <r>
    <s v="HO10CIV033"/>
    <s v="HO"/>
    <s v="Honda"/>
    <s v="CIV"/>
    <s v="10"/>
    <n v="14"/>
    <n v="33477.199999999997"/>
    <n v="2391.2285714285713"/>
    <s v="Black"/>
    <x v="15"/>
    <n v="75000"/>
    <s v="Y"/>
    <s v="HO10CIVBLA033"/>
  </r>
  <r>
    <s v="HO11CIV034"/>
    <s v="HO"/>
    <s v="Honda"/>
    <s v="CIV"/>
    <s v="11"/>
    <n v="13"/>
    <n v="30555.3"/>
    <n v="2350.4076923076923"/>
    <s v="Black"/>
    <x v="2"/>
    <n v="75000"/>
    <s v="Y"/>
    <s v="HO11CIVBLA034"/>
  </r>
  <r>
    <s v="HO12CIV035"/>
    <s v="HO"/>
    <s v="Honda"/>
    <s v="CIV"/>
    <s v="12"/>
    <n v="12"/>
    <n v="24513.200000000001"/>
    <n v="2042.7666666666667"/>
    <s v="Black"/>
    <x v="13"/>
    <n v="75000"/>
    <s v="Y"/>
    <s v="HO12CIVBLA035"/>
  </r>
  <r>
    <s v="HO13CIV036"/>
    <s v="HO"/>
    <s v="Honda"/>
    <s v="CIV"/>
    <s v="13"/>
    <n v="11"/>
    <n v="13867.6"/>
    <n v="1260.6909090909091"/>
    <s v="Black"/>
    <x v="14"/>
    <n v="75000"/>
    <s v="Y"/>
    <s v="HO13CIVBLA036"/>
  </r>
  <r>
    <s v="HO05ODY037"/>
    <s v="HO"/>
    <s v="Honda"/>
    <s v="ODY"/>
    <s v="05"/>
    <n v="19"/>
    <n v="60389.5"/>
    <n v="3178.3947368421054"/>
    <s v="White"/>
    <x v="5"/>
    <n v="100000"/>
    <s v="Y"/>
    <s v="HO05ODYWHI037"/>
  </r>
  <r>
    <s v="HO07ODY038"/>
    <s v="HO"/>
    <s v="Honda"/>
    <s v="ODY"/>
    <s v="07"/>
    <n v="17"/>
    <n v="50854.1"/>
    <n v="2991.4176470588236"/>
    <s v="Black"/>
    <x v="15"/>
    <n v="100000"/>
    <s v="Y"/>
    <s v="HO07ODYBLA038"/>
  </r>
  <r>
    <s v="HO08ODY039"/>
    <s v="HO"/>
    <s v="Honda"/>
    <s v="ODY"/>
    <s v="08"/>
    <n v="16"/>
    <n v="42504.6"/>
    <n v="2656.5374999999999"/>
    <s v="White"/>
    <x v="9"/>
    <n v="100000"/>
    <s v="Y"/>
    <s v="HO08ODYWHI039"/>
  </r>
  <r>
    <s v="HO01ODY040"/>
    <s v="HO"/>
    <s v="Honda"/>
    <s v="ODY"/>
    <s v="01"/>
    <n v="23"/>
    <n v="68658.899999999994"/>
    <n v="2985.1695652173912"/>
    <s v="Black"/>
    <x v="0"/>
    <n v="100000"/>
    <s v="Y"/>
    <s v="HO01ODYBLA040"/>
  </r>
  <r>
    <s v="HO14ODY041"/>
    <s v="HO"/>
    <s v="Honda"/>
    <s v="ODY"/>
    <s v="14"/>
    <n v="10"/>
    <n v="3708.1"/>
    <n v="370.81"/>
    <s v="Black"/>
    <x v="1"/>
    <n v="100000"/>
    <s v="Y"/>
    <s v="HO14ODYBLA041"/>
  </r>
  <r>
    <s v="CR04PTC042"/>
    <s v="CR"/>
    <s v="Chrysler"/>
    <s v="PTC"/>
    <s v="04"/>
    <n v="20"/>
    <n v="64542"/>
    <n v="3227.1"/>
    <s v="Blue"/>
    <x v="0"/>
    <n v="75000"/>
    <s v="Y"/>
    <s v="CR04PTCBLU042"/>
  </r>
  <r>
    <s v="CR07PTC043"/>
    <s v="CR"/>
    <s v="Chrysler"/>
    <s v="PTC"/>
    <s v="07"/>
    <n v="17"/>
    <n v="42074.2"/>
    <n v="2474.9529411764706"/>
    <s v="Green"/>
    <x v="16"/>
    <n v="75000"/>
    <s v="Y"/>
    <s v="CR07PTCGRE043"/>
  </r>
  <r>
    <s v="CR11PTC044"/>
    <s v="CR"/>
    <s v="Chrysler"/>
    <s v="PTC"/>
    <s v="11"/>
    <n v="13"/>
    <n v="27394.2"/>
    <n v="2107.2461538461539"/>
    <s v="Black"/>
    <x v="8"/>
    <n v="75000"/>
    <s v="Y"/>
    <s v="CR11PTCBLA044"/>
  </r>
  <r>
    <s v="CR99CAR045"/>
    <s v="CR"/>
    <s v="Chrysler"/>
    <s v="CAR"/>
    <s v="99"/>
    <n v="25"/>
    <n v="79420.600000000006"/>
    <n v="3176.8240000000001"/>
    <s v="Green"/>
    <x v="13"/>
    <n v="75000"/>
    <s v="Not covered"/>
    <s v="CR99CARGRE045"/>
  </r>
  <r>
    <s v="CR00CAR046"/>
    <s v="CR"/>
    <s v="Chrysler"/>
    <s v="CAR"/>
    <s v="00"/>
    <n v="24"/>
    <n v="77243.100000000006"/>
    <n v="3218.4625000000001"/>
    <s v="Black"/>
    <x v="3"/>
    <n v="75000"/>
    <s v="Not covered"/>
    <s v="CR00CARBLA046"/>
  </r>
  <r>
    <s v="CR04CAR047"/>
    <s v="CR"/>
    <s v="Chrysler"/>
    <s v="CAR"/>
    <s v="04"/>
    <n v="20"/>
    <n v="72527.199999999997"/>
    <n v="3626.3599999999997"/>
    <s v="White"/>
    <x v="11"/>
    <n v="75000"/>
    <s v="Y"/>
    <s v="CR04CARWHI047"/>
  </r>
  <r>
    <s v="CR04CAR048"/>
    <s v="CR"/>
    <s v="Chrysler"/>
    <s v="CAR"/>
    <s v="04"/>
    <n v="20"/>
    <n v="52699.4"/>
    <n v="2634.9700000000003"/>
    <s v="Red"/>
    <x v="11"/>
    <n v="75000"/>
    <s v="Y"/>
    <s v="CR04CARRED048"/>
  </r>
  <r>
    <s v="HY11ELA049"/>
    <s v="HY"/>
    <s v="Hundai"/>
    <s v="ELA"/>
    <s v="11"/>
    <n v="13"/>
    <n v="29102.3"/>
    <n v="2238.6384615384613"/>
    <s v="Black"/>
    <x v="12"/>
    <n v="100000"/>
    <s v="Y"/>
    <s v="HY11ELABLA049"/>
  </r>
  <r>
    <s v="HY12ELA050"/>
    <s v="HY"/>
    <s v="Hundai"/>
    <s v="ELA"/>
    <s v="12"/>
    <n v="12"/>
    <n v="22282"/>
    <n v="1856.8333333333333"/>
    <s v="Blue"/>
    <x v="1"/>
    <n v="100000"/>
    <s v="Y"/>
    <s v="HY12ELABLU050"/>
  </r>
  <r>
    <s v="HY13ELA051"/>
    <s v="HY"/>
    <s v="Hundai"/>
    <s v="ELA"/>
    <s v="13"/>
    <n v="11"/>
    <n v="20223.900000000001"/>
    <n v="1838.5363636363638"/>
    <s v="Black"/>
    <x v="6"/>
    <n v="100000"/>
    <s v="Y"/>
    <s v="HY13ELABLA051"/>
  </r>
  <r>
    <s v="HY13ELA052"/>
    <s v="HY"/>
    <s v="Hundai"/>
    <s v="ELA"/>
    <s v="13"/>
    <n v="11"/>
    <n v="22188.5"/>
    <n v="2017.136363636363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520F2-EFB5-F34B-ACF9-B7B2D018A95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2:N7" firstHeaderRow="1" firstDataRow="1" firstDataCol="1"/>
  <pivotFields count="11">
    <pivotField showAll="0"/>
    <pivotField numFmtId="173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E75F5-6AA2-444F-9F2E-378450CAF5F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2:P2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853D-6CB5-CC4A-A5C8-5617390DF115}">
  <dimension ref="A1"/>
  <sheetViews>
    <sheetView zoomScale="120" zoomScaleNormal="120" workbookViewId="0">
      <selection activeCell="A11" sqref="A11"/>
    </sheetView>
  </sheetViews>
  <sheetFormatPr baseColWidth="10" defaultRowHeight="16" x14ac:dyDescent="0.2"/>
  <cols>
    <col min="1" max="1" width="97.6640625" bestFit="1" customWidth="1"/>
  </cols>
  <sheetData>
    <row r="1" spans="1:1" x14ac:dyDescent="0.2">
      <c r="A1" t="s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5408-18DC-ED4E-AF24-7B072C4426F3}">
  <dimension ref="A1:H25"/>
  <sheetViews>
    <sheetView zoomScale="120" zoomScaleNormal="120" workbookViewId="0">
      <selection activeCell="K23" sqref="K23"/>
    </sheetView>
  </sheetViews>
  <sheetFormatPr baseColWidth="10" defaultRowHeight="16" x14ac:dyDescent="0.2"/>
  <cols>
    <col min="1" max="1" width="14.83203125" bestFit="1" customWidth="1"/>
    <col min="2" max="2" width="10" bestFit="1" customWidth="1"/>
    <col min="3" max="3" width="11.5" bestFit="1" customWidth="1"/>
    <col min="4" max="4" width="12.6640625" bestFit="1" customWidth="1"/>
    <col min="5" max="5" width="14" bestFit="1" customWidth="1"/>
    <col min="6" max="6" width="12.33203125" bestFit="1" customWidth="1"/>
    <col min="7" max="7" width="14.1640625" bestFit="1" customWidth="1"/>
    <col min="8" max="8" width="12.33203125" bestFit="1" customWidth="1"/>
  </cols>
  <sheetData>
    <row r="1" spans="1:8" x14ac:dyDescent="0.2">
      <c r="A1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37</v>
      </c>
      <c r="E3" t="s">
        <v>43</v>
      </c>
      <c r="F3" t="s">
        <v>38</v>
      </c>
      <c r="G3" t="s">
        <v>44</v>
      </c>
      <c r="H3" t="s">
        <v>45</v>
      </c>
    </row>
    <row r="4" spans="1:8" x14ac:dyDescent="0.2">
      <c r="A4" s="4" t="s">
        <v>5</v>
      </c>
      <c r="B4" s="4" t="s">
        <v>21</v>
      </c>
      <c r="C4" s="5">
        <v>15.9</v>
      </c>
      <c r="D4" s="6">
        <v>40</v>
      </c>
      <c r="E4" s="7">
        <f>IF(D4&gt;=40,D4-40,0)</f>
        <v>0</v>
      </c>
      <c r="F4" s="8">
        <f>C4*D4</f>
        <v>636</v>
      </c>
      <c r="G4" s="9">
        <f>0.5*C4*E4</f>
        <v>0</v>
      </c>
      <c r="H4" s="10">
        <f>F4+G4</f>
        <v>636</v>
      </c>
    </row>
    <row r="5" spans="1:8" x14ac:dyDescent="0.2">
      <c r="A5" s="4" t="s">
        <v>6</v>
      </c>
      <c r="B5" s="4" t="s">
        <v>22</v>
      </c>
      <c r="C5" s="5">
        <v>10</v>
      </c>
      <c r="D5" s="6">
        <v>42</v>
      </c>
      <c r="E5" s="7">
        <f>IF(D5&gt;=40,D5-40,0)</f>
        <v>2</v>
      </c>
      <c r="F5" s="8">
        <f t="shared" ref="F5:F19" si="0">C5*D5</f>
        <v>420</v>
      </c>
      <c r="G5" s="9">
        <f t="shared" ref="G5:G19" si="1">0.5*C5*E5</f>
        <v>10</v>
      </c>
      <c r="H5" s="10">
        <f t="shared" ref="H5:H19" si="2">F5+G5</f>
        <v>430</v>
      </c>
    </row>
    <row r="6" spans="1:8" x14ac:dyDescent="0.2">
      <c r="A6" s="4" t="s">
        <v>7</v>
      </c>
      <c r="B6" s="4" t="s">
        <v>23</v>
      </c>
      <c r="C6" s="5">
        <v>22.1</v>
      </c>
      <c r="D6" s="6">
        <v>49</v>
      </c>
      <c r="E6" s="7">
        <f>IF(D6&gt;=40,D6-40,0)</f>
        <v>9</v>
      </c>
      <c r="F6" s="8">
        <f t="shared" si="0"/>
        <v>1082.9000000000001</v>
      </c>
      <c r="G6" s="9">
        <f>0.5*C6*E6</f>
        <v>99.45</v>
      </c>
      <c r="H6" s="10">
        <f t="shared" si="2"/>
        <v>1182.3500000000001</v>
      </c>
    </row>
    <row r="7" spans="1:8" x14ac:dyDescent="0.2">
      <c r="A7" s="4" t="s">
        <v>8</v>
      </c>
      <c r="B7" s="4" t="s">
        <v>24</v>
      </c>
      <c r="C7" s="5">
        <v>19.100000000000001</v>
      </c>
      <c r="D7" s="6">
        <v>41</v>
      </c>
      <c r="E7" s="7">
        <f t="shared" ref="E7:E19" si="3">IF(D7&gt;=40,D7-40,0)</f>
        <v>1</v>
      </c>
      <c r="F7" s="8">
        <f t="shared" si="0"/>
        <v>783.1</v>
      </c>
      <c r="G7" s="9">
        <f t="shared" si="1"/>
        <v>9.5500000000000007</v>
      </c>
      <c r="H7" s="10">
        <f t="shared" si="2"/>
        <v>792.65</v>
      </c>
    </row>
    <row r="8" spans="1:8" x14ac:dyDescent="0.2">
      <c r="A8" s="4" t="s">
        <v>9</v>
      </c>
      <c r="B8" s="4" t="s">
        <v>25</v>
      </c>
      <c r="C8" s="5">
        <v>6.9</v>
      </c>
      <c r="D8" s="6">
        <v>39</v>
      </c>
      <c r="E8" s="7">
        <f t="shared" si="3"/>
        <v>0</v>
      </c>
      <c r="F8" s="8">
        <f t="shared" si="0"/>
        <v>269.10000000000002</v>
      </c>
      <c r="G8" s="9">
        <f t="shared" si="1"/>
        <v>0</v>
      </c>
      <c r="H8" s="10">
        <f t="shared" si="2"/>
        <v>269.10000000000002</v>
      </c>
    </row>
    <row r="9" spans="1:8" x14ac:dyDescent="0.2">
      <c r="A9" s="4" t="s">
        <v>10</v>
      </c>
      <c r="B9" s="4" t="s">
        <v>26</v>
      </c>
      <c r="C9" s="5">
        <v>14.2</v>
      </c>
      <c r="D9" s="6">
        <v>44</v>
      </c>
      <c r="E9" s="7">
        <f t="shared" si="3"/>
        <v>4</v>
      </c>
      <c r="F9" s="8">
        <f t="shared" si="0"/>
        <v>624.79999999999995</v>
      </c>
      <c r="G9" s="9">
        <f t="shared" si="1"/>
        <v>28.4</v>
      </c>
      <c r="H9" s="10">
        <f t="shared" si="2"/>
        <v>653.19999999999993</v>
      </c>
    </row>
    <row r="10" spans="1:8" x14ac:dyDescent="0.2">
      <c r="A10" s="4" t="s">
        <v>11</v>
      </c>
      <c r="B10" s="4" t="s">
        <v>27</v>
      </c>
      <c r="C10" s="5">
        <v>18</v>
      </c>
      <c r="D10" s="6">
        <v>55</v>
      </c>
      <c r="E10" s="7">
        <f t="shared" si="3"/>
        <v>15</v>
      </c>
      <c r="F10" s="8">
        <f t="shared" si="0"/>
        <v>990</v>
      </c>
      <c r="G10" s="9">
        <f t="shared" si="1"/>
        <v>135</v>
      </c>
      <c r="H10" s="10">
        <f t="shared" si="2"/>
        <v>1125</v>
      </c>
    </row>
    <row r="11" spans="1:8" x14ac:dyDescent="0.2">
      <c r="A11" s="4" t="s">
        <v>12</v>
      </c>
      <c r="B11" s="4" t="s">
        <v>28</v>
      </c>
      <c r="C11" s="5">
        <v>17.5</v>
      </c>
      <c r="D11" s="6">
        <v>33</v>
      </c>
      <c r="E11" s="7">
        <f t="shared" si="3"/>
        <v>0</v>
      </c>
      <c r="F11" s="8">
        <f t="shared" si="0"/>
        <v>577.5</v>
      </c>
      <c r="G11" s="9">
        <f t="shared" si="1"/>
        <v>0</v>
      </c>
      <c r="H11" s="10">
        <f t="shared" si="2"/>
        <v>577.5</v>
      </c>
    </row>
    <row r="12" spans="1:8" x14ac:dyDescent="0.2">
      <c r="A12" s="4" t="s">
        <v>13</v>
      </c>
      <c r="B12" s="4" t="s">
        <v>29</v>
      </c>
      <c r="C12" s="5">
        <v>14.7</v>
      </c>
      <c r="D12" s="6">
        <v>29</v>
      </c>
      <c r="E12" s="7">
        <f t="shared" si="3"/>
        <v>0</v>
      </c>
      <c r="F12" s="8">
        <f t="shared" si="0"/>
        <v>426.29999999999995</v>
      </c>
      <c r="G12" s="9">
        <f t="shared" si="1"/>
        <v>0</v>
      </c>
      <c r="H12" s="10">
        <f t="shared" si="2"/>
        <v>426.29999999999995</v>
      </c>
    </row>
    <row r="13" spans="1:8" x14ac:dyDescent="0.2">
      <c r="A13" s="4" t="s">
        <v>14</v>
      </c>
      <c r="B13" s="4" t="s">
        <v>30</v>
      </c>
      <c r="C13" s="5">
        <v>13.9</v>
      </c>
      <c r="D13" s="6">
        <v>40</v>
      </c>
      <c r="E13" s="7">
        <f t="shared" si="3"/>
        <v>0</v>
      </c>
      <c r="F13" s="8">
        <f t="shared" si="0"/>
        <v>556</v>
      </c>
      <c r="G13" s="9">
        <f t="shared" si="1"/>
        <v>0</v>
      </c>
      <c r="H13" s="10">
        <f t="shared" si="2"/>
        <v>556</v>
      </c>
    </row>
    <row r="14" spans="1:8" x14ac:dyDescent="0.2">
      <c r="A14" s="4" t="s">
        <v>15</v>
      </c>
      <c r="B14" s="4" t="s">
        <v>31</v>
      </c>
      <c r="C14" s="5">
        <v>11.2</v>
      </c>
      <c r="D14" s="6">
        <v>40</v>
      </c>
      <c r="E14" s="7">
        <f t="shared" si="3"/>
        <v>0</v>
      </c>
      <c r="F14" s="8">
        <f t="shared" si="0"/>
        <v>448</v>
      </c>
      <c r="G14" s="9">
        <f t="shared" si="1"/>
        <v>0</v>
      </c>
      <c r="H14" s="10">
        <f t="shared" si="2"/>
        <v>448</v>
      </c>
    </row>
    <row r="15" spans="1:8" x14ac:dyDescent="0.2">
      <c r="A15" s="4" t="s">
        <v>16</v>
      </c>
      <c r="B15" s="4" t="s">
        <v>32</v>
      </c>
      <c r="C15" s="5">
        <v>10.1</v>
      </c>
      <c r="D15" s="6">
        <v>40</v>
      </c>
      <c r="E15" s="7">
        <f t="shared" si="3"/>
        <v>0</v>
      </c>
      <c r="F15" s="8">
        <f t="shared" si="0"/>
        <v>404</v>
      </c>
      <c r="G15" s="9">
        <f t="shared" si="1"/>
        <v>0</v>
      </c>
      <c r="H15" s="10">
        <f t="shared" si="2"/>
        <v>404</v>
      </c>
    </row>
    <row r="16" spans="1:8" x14ac:dyDescent="0.2">
      <c r="A16" s="4" t="s">
        <v>17</v>
      </c>
      <c r="B16" s="4" t="s">
        <v>33</v>
      </c>
      <c r="C16" s="5">
        <v>9</v>
      </c>
      <c r="D16" s="6">
        <v>42</v>
      </c>
      <c r="E16" s="7">
        <f t="shared" si="3"/>
        <v>2</v>
      </c>
      <c r="F16" s="8">
        <f t="shared" si="0"/>
        <v>378</v>
      </c>
      <c r="G16" s="9">
        <f t="shared" si="1"/>
        <v>9</v>
      </c>
      <c r="H16" s="10">
        <f t="shared" si="2"/>
        <v>387</v>
      </c>
    </row>
    <row r="17" spans="1:8" x14ac:dyDescent="0.2">
      <c r="A17" s="4" t="s">
        <v>18</v>
      </c>
      <c r="B17" s="4" t="s">
        <v>34</v>
      </c>
      <c r="C17" s="5">
        <v>8.44</v>
      </c>
      <c r="D17" s="6">
        <v>40</v>
      </c>
      <c r="E17" s="7">
        <f t="shared" si="3"/>
        <v>0</v>
      </c>
      <c r="F17" s="8">
        <f t="shared" si="0"/>
        <v>337.59999999999997</v>
      </c>
      <c r="G17" s="9">
        <f t="shared" si="1"/>
        <v>0</v>
      </c>
      <c r="H17" s="10">
        <f t="shared" si="2"/>
        <v>337.59999999999997</v>
      </c>
    </row>
    <row r="18" spans="1:8" x14ac:dyDescent="0.2">
      <c r="A18" s="4" t="s">
        <v>19</v>
      </c>
      <c r="B18" s="4" t="s">
        <v>35</v>
      </c>
      <c r="C18" s="5">
        <v>14.2</v>
      </c>
      <c r="D18" s="6">
        <v>41</v>
      </c>
      <c r="E18" s="7">
        <f t="shared" si="3"/>
        <v>1</v>
      </c>
      <c r="F18" s="8">
        <f t="shared" si="0"/>
        <v>582.19999999999993</v>
      </c>
      <c r="G18" s="9">
        <f t="shared" si="1"/>
        <v>7.1</v>
      </c>
      <c r="H18" s="10">
        <f t="shared" si="2"/>
        <v>589.29999999999995</v>
      </c>
    </row>
    <row r="19" spans="1:8" x14ac:dyDescent="0.2">
      <c r="A19" s="4" t="s">
        <v>20</v>
      </c>
      <c r="B19" s="4" t="s">
        <v>36</v>
      </c>
      <c r="C19" s="5">
        <v>45</v>
      </c>
      <c r="D19" s="6">
        <v>39</v>
      </c>
      <c r="E19" s="7">
        <f t="shared" si="3"/>
        <v>0</v>
      </c>
      <c r="F19" s="8">
        <f t="shared" si="0"/>
        <v>1755</v>
      </c>
      <c r="G19" s="9">
        <f t="shared" si="1"/>
        <v>0</v>
      </c>
      <c r="H19" s="10">
        <f t="shared" si="2"/>
        <v>1755</v>
      </c>
    </row>
    <row r="22" spans="1:8" x14ac:dyDescent="0.2">
      <c r="A22" t="s">
        <v>39</v>
      </c>
      <c r="C22" s="2">
        <f>MAX(C4:C19)</f>
        <v>45</v>
      </c>
      <c r="D22" s="3">
        <f>MAX(D4:D19)</f>
        <v>55</v>
      </c>
      <c r="E22" s="3"/>
      <c r="F22" s="2">
        <f>MAX(F4:F19)</f>
        <v>1755</v>
      </c>
      <c r="G22" s="2">
        <f t="shared" ref="G22:H22" si="4">MAX(G4:G19)</f>
        <v>135</v>
      </c>
      <c r="H22" s="2">
        <f t="shared" si="4"/>
        <v>1755</v>
      </c>
    </row>
    <row r="23" spans="1:8" x14ac:dyDescent="0.2">
      <c r="A23" t="s">
        <v>40</v>
      </c>
      <c r="C23" s="2">
        <f>MIN(C4:C19)</f>
        <v>6.9</v>
      </c>
      <c r="D23" s="3">
        <f>MIN(D4:D19)</f>
        <v>29</v>
      </c>
      <c r="E23" s="3"/>
      <c r="F23" s="2">
        <f>MIN(F4:F19)</f>
        <v>269.10000000000002</v>
      </c>
      <c r="G23" s="2">
        <f t="shared" ref="G23:H23" si="5">MIN(G4:G19)</f>
        <v>0</v>
      </c>
      <c r="H23" s="2">
        <f t="shared" si="5"/>
        <v>269.10000000000002</v>
      </c>
    </row>
    <row r="24" spans="1:8" x14ac:dyDescent="0.2">
      <c r="A24" t="s">
        <v>41</v>
      </c>
      <c r="C24" s="2">
        <f>AVERAGE(C4:C19)</f>
        <v>15.639999999999999</v>
      </c>
      <c r="D24" s="3">
        <f>AVERAGE(D4:D19)</f>
        <v>40.875</v>
      </c>
      <c r="E24" s="3"/>
      <c r="F24" s="2">
        <f>AVERAGE(F4:F19)</f>
        <v>641.90625</v>
      </c>
      <c r="G24" s="2">
        <f t="shared" ref="G24:H24" si="6">AVERAGE(G4:G19)</f>
        <v>18.65625</v>
      </c>
      <c r="H24" s="2">
        <f t="shared" si="6"/>
        <v>660.5625</v>
      </c>
    </row>
    <row r="25" spans="1:8" x14ac:dyDescent="0.2">
      <c r="A25" t="s">
        <v>42</v>
      </c>
      <c r="C25" s="2">
        <f>SUM(C4:C19)</f>
        <v>250.23999999999998</v>
      </c>
      <c r="D25" s="3">
        <f>SUM(D4:D19)</f>
        <v>654</v>
      </c>
      <c r="E25" s="3"/>
      <c r="F25" s="2">
        <f>SUM(F4:F19)</f>
        <v>10270.5</v>
      </c>
      <c r="G25" s="2">
        <f t="shared" ref="G25:H25" si="7">SUM(G4:G19)</f>
        <v>298.5</v>
      </c>
      <c r="H25" s="2">
        <f t="shared" si="7"/>
        <v>10569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0496-CA31-0347-9E35-BB818BF7AD6B}">
  <dimension ref="A1:M25"/>
  <sheetViews>
    <sheetView zoomScale="120" zoomScaleNormal="120" workbookViewId="0">
      <selection activeCell="O3" sqref="O3"/>
    </sheetView>
  </sheetViews>
  <sheetFormatPr baseColWidth="10" defaultRowHeight="16" x14ac:dyDescent="0.2"/>
  <cols>
    <col min="2" max="2" width="13.1640625" bestFit="1" customWidth="1"/>
    <col min="3" max="4" width="5.1640625" bestFit="1" customWidth="1"/>
    <col min="5" max="5" width="6.1640625" bestFit="1" customWidth="1"/>
    <col min="6" max="6" width="4.1640625" bestFit="1" customWidth="1"/>
    <col min="7" max="7" width="3.6640625" bestFit="1" customWidth="1"/>
    <col min="8" max="11" width="5.6640625" bestFit="1" customWidth="1"/>
    <col min="12" max="12" width="2.33203125" customWidth="1"/>
    <col min="13" max="13" width="6" bestFit="1" customWidth="1"/>
  </cols>
  <sheetData>
    <row r="1" spans="1:13" x14ac:dyDescent="0.2">
      <c r="A1" t="s">
        <v>46</v>
      </c>
    </row>
    <row r="3" spans="1:13" ht="142" x14ac:dyDescent="0.2">
      <c r="B3" s="11"/>
      <c r="C3" s="12" t="s">
        <v>47</v>
      </c>
      <c r="D3" s="12" t="s">
        <v>48</v>
      </c>
      <c r="E3" s="12" t="s">
        <v>49</v>
      </c>
      <c r="F3" s="12" t="s">
        <v>50</v>
      </c>
      <c r="H3" s="12" t="s">
        <v>52</v>
      </c>
      <c r="I3" s="12" t="s">
        <v>53</v>
      </c>
      <c r="J3" s="12" t="s">
        <v>54</v>
      </c>
      <c r="K3" s="12" t="s">
        <v>55</v>
      </c>
      <c r="M3" s="12" t="s">
        <v>56</v>
      </c>
    </row>
    <row r="4" spans="1:13" x14ac:dyDescent="0.2">
      <c r="B4" s="11" t="s">
        <v>51</v>
      </c>
      <c r="C4">
        <v>10</v>
      </c>
      <c r="D4">
        <v>20</v>
      </c>
      <c r="E4">
        <v>100</v>
      </c>
      <c r="F4">
        <v>1</v>
      </c>
    </row>
    <row r="5" spans="1:13" x14ac:dyDescent="0.2">
      <c r="A5" s="11" t="s">
        <v>2</v>
      </c>
      <c r="B5" s="11" t="s">
        <v>3</v>
      </c>
    </row>
    <row r="6" spans="1:13" x14ac:dyDescent="0.2">
      <c r="A6" s="11" t="s">
        <v>5</v>
      </c>
      <c r="B6" s="11" t="s">
        <v>21</v>
      </c>
      <c r="C6">
        <v>10</v>
      </c>
      <c r="D6">
        <v>19</v>
      </c>
      <c r="E6">
        <v>93</v>
      </c>
      <c r="F6">
        <v>1</v>
      </c>
      <c r="H6" s="13">
        <f>C6/C$4</f>
        <v>1</v>
      </c>
      <c r="I6" s="13">
        <f>D6/D$4</f>
        <v>0.95</v>
      </c>
      <c r="J6" s="13">
        <f>E6/E$4</f>
        <v>0.93</v>
      </c>
      <c r="K6" s="13">
        <f>F6/F$4</f>
        <v>1</v>
      </c>
      <c r="M6" s="13" t="b">
        <f>OR(H6 &lt; 0.5, I6 &lt; 0.5, J6 &lt; 0.5, K6 &lt; 0.5)</f>
        <v>0</v>
      </c>
    </row>
    <row r="7" spans="1:13" x14ac:dyDescent="0.2">
      <c r="A7" s="11" t="s">
        <v>6</v>
      </c>
      <c r="B7" s="11" t="s">
        <v>22</v>
      </c>
      <c r="C7">
        <v>9</v>
      </c>
      <c r="D7">
        <v>20</v>
      </c>
      <c r="E7">
        <v>100</v>
      </c>
      <c r="F7">
        <v>1</v>
      </c>
      <c r="H7" s="13">
        <f t="shared" ref="H7:K21" si="0">C7/C$4</f>
        <v>0.9</v>
      </c>
      <c r="I7" s="13">
        <f t="shared" si="0"/>
        <v>1</v>
      </c>
      <c r="J7" s="13">
        <f t="shared" si="0"/>
        <v>1</v>
      </c>
      <c r="K7" s="13">
        <f t="shared" si="0"/>
        <v>1</v>
      </c>
      <c r="M7" s="13" t="b">
        <f t="shared" ref="M7:M21" si="1">OR(H7 &lt; 0.5, I7 &lt; 0.5, J7 &lt; 0.5, K7 &lt; 0.5)</f>
        <v>0</v>
      </c>
    </row>
    <row r="8" spans="1:13" x14ac:dyDescent="0.2">
      <c r="A8" s="11" t="s">
        <v>7</v>
      </c>
      <c r="B8" s="11" t="s">
        <v>23</v>
      </c>
      <c r="C8">
        <v>8</v>
      </c>
      <c r="D8">
        <v>17</v>
      </c>
      <c r="E8">
        <v>82</v>
      </c>
      <c r="F8">
        <v>1</v>
      </c>
      <c r="H8" s="13">
        <f t="shared" si="0"/>
        <v>0.8</v>
      </c>
      <c r="I8" s="13">
        <f t="shared" si="0"/>
        <v>0.85</v>
      </c>
      <c r="J8" s="13">
        <f t="shared" si="0"/>
        <v>0.82</v>
      </c>
      <c r="K8" s="13">
        <f t="shared" si="0"/>
        <v>1</v>
      </c>
      <c r="M8" s="13" t="b">
        <f t="shared" si="1"/>
        <v>0</v>
      </c>
    </row>
    <row r="9" spans="1:13" x14ac:dyDescent="0.2">
      <c r="A9" s="11" t="s">
        <v>8</v>
      </c>
      <c r="B9" s="11" t="s">
        <v>24</v>
      </c>
      <c r="C9">
        <v>9</v>
      </c>
      <c r="D9">
        <v>10</v>
      </c>
      <c r="E9">
        <v>73</v>
      </c>
      <c r="F9">
        <v>1</v>
      </c>
      <c r="H9" s="13">
        <f t="shared" si="0"/>
        <v>0.9</v>
      </c>
      <c r="I9" s="13">
        <f t="shared" si="0"/>
        <v>0.5</v>
      </c>
      <c r="J9" s="13">
        <f t="shared" si="0"/>
        <v>0.73</v>
      </c>
      <c r="K9" s="13">
        <f t="shared" si="0"/>
        <v>1</v>
      </c>
      <c r="M9" s="13" t="b">
        <f t="shared" si="1"/>
        <v>0</v>
      </c>
    </row>
    <row r="10" spans="1:13" x14ac:dyDescent="0.2">
      <c r="A10" s="11" t="s">
        <v>9</v>
      </c>
      <c r="B10" s="11" t="s">
        <v>25</v>
      </c>
      <c r="C10">
        <v>10</v>
      </c>
      <c r="D10">
        <v>20</v>
      </c>
      <c r="E10">
        <v>59</v>
      </c>
      <c r="F10">
        <v>1</v>
      </c>
      <c r="H10" s="13">
        <f t="shared" si="0"/>
        <v>1</v>
      </c>
      <c r="I10" s="13">
        <f t="shared" si="0"/>
        <v>1</v>
      </c>
      <c r="J10" s="13">
        <f t="shared" si="0"/>
        <v>0.59</v>
      </c>
      <c r="K10" s="13">
        <f t="shared" si="0"/>
        <v>1</v>
      </c>
      <c r="M10" s="13" t="b">
        <f t="shared" si="1"/>
        <v>0</v>
      </c>
    </row>
    <row r="11" spans="1:13" x14ac:dyDescent="0.2">
      <c r="A11" s="11" t="s">
        <v>10</v>
      </c>
      <c r="B11" s="11" t="s">
        <v>26</v>
      </c>
      <c r="C11">
        <v>9</v>
      </c>
      <c r="D11">
        <v>17</v>
      </c>
      <c r="E11">
        <v>100</v>
      </c>
      <c r="F11">
        <v>1</v>
      </c>
      <c r="H11" s="13">
        <f t="shared" si="0"/>
        <v>0.9</v>
      </c>
      <c r="I11" s="13">
        <f t="shared" si="0"/>
        <v>0.85</v>
      </c>
      <c r="J11" s="13">
        <f t="shared" si="0"/>
        <v>1</v>
      </c>
      <c r="K11" s="13">
        <f t="shared" si="0"/>
        <v>1</v>
      </c>
      <c r="M11" s="13" t="b">
        <f t="shared" si="1"/>
        <v>0</v>
      </c>
    </row>
    <row r="12" spans="1:13" x14ac:dyDescent="0.2">
      <c r="A12" s="11" t="s">
        <v>11</v>
      </c>
      <c r="B12" s="11" t="s">
        <v>27</v>
      </c>
      <c r="C12">
        <v>8</v>
      </c>
      <c r="D12">
        <v>20</v>
      </c>
      <c r="E12">
        <v>100</v>
      </c>
      <c r="F12">
        <v>0</v>
      </c>
      <c r="H12" s="13">
        <f t="shared" si="0"/>
        <v>0.8</v>
      </c>
      <c r="I12" s="13">
        <f t="shared" si="0"/>
        <v>1</v>
      </c>
      <c r="J12" s="13">
        <f t="shared" si="0"/>
        <v>1</v>
      </c>
      <c r="K12" s="13">
        <f t="shared" si="0"/>
        <v>0</v>
      </c>
      <c r="M12" s="13" t="b">
        <f t="shared" si="1"/>
        <v>1</v>
      </c>
    </row>
    <row r="13" spans="1:13" x14ac:dyDescent="0.2">
      <c r="A13" s="11" t="s">
        <v>12</v>
      </c>
      <c r="B13" s="11" t="s">
        <v>28</v>
      </c>
      <c r="C13">
        <v>5</v>
      </c>
      <c r="D13">
        <v>6</v>
      </c>
      <c r="E13">
        <v>100</v>
      </c>
      <c r="F13">
        <v>1</v>
      </c>
      <c r="H13" s="13">
        <f t="shared" si="0"/>
        <v>0.5</v>
      </c>
      <c r="I13" s="13">
        <f t="shared" si="0"/>
        <v>0.3</v>
      </c>
      <c r="J13" s="13">
        <f t="shared" si="0"/>
        <v>1</v>
      </c>
      <c r="K13" s="13">
        <f t="shared" si="0"/>
        <v>1</v>
      </c>
      <c r="M13" s="13" t="b">
        <f t="shared" si="1"/>
        <v>1</v>
      </c>
    </row>
    <row r="14" spans="1:13" x14ac:dyDescent="0.2">
      <c r="A14" s="11" t="s">
        <v>13</v>
      </c>
      <c r="B14" s="11" t="s">
        <v>29</v>
      </c>
      <c r="C14">
        <v>10</v>
      </c>
      <c r="D14">
        <v>20</v>
      </c>
      <c r="E14">
        <v>67</v>
      </c>
      <c r="F14">
        <v>1</v>
      </c>
      <c r="H14" s="13">
        <f t="shared" si="0"/>
        <v>1</v>
      </c>
      <c r="I14" s="13">
        <f t="shared" si="0"/>
        <v>1</v>
      </c>
      <c r="J14" s="13">
        <f t="shared" si="0"/>
        <v>0.67</v>
      </c>
      <c r="K14" s="13">
        <f t="shared" si="0"/>
        <v>1</v>
      </c>
      <c r="M14" s="13" t="b">
        <f t="shared" si="1"/>
        <v>0</v>
      </c>
    </row>
    <row r="15" spans="1:13" x14ac:dyDescent="0.2">
      <c r="A15" s="11" t="s">
        <v>14</v>
      </c>
      <c r="B15" s="11" t="s">
        <v>30</v>
      </c>
      <c r="C15">
        <v>9</v>
      </c>
      <c r="D15">
        <v>20</v>
      </c>
      <c r="E15">
        <v>70</v>
      </c>
      <c r="F15">
        <v>1</v>
      </c>
      <c r="H15" s="13">
        <f t="shared" si="0"/>
        <v>0.9</v>
      </c>
      <c r="I15" s="13">
        <f t="shared" si="0"/>
        <v>1</v>
      </c>
      <c r="J15" s="13">
        <f t="shared" si="0"/>
        <v>0.7</v>
      </c>
      <c r="K15" s="13">
        <f t="shared" si="0"/>
        <v>1</v>
      </c>
      <c r="M15" s="13" t="b">
        <f t="shared" si="1"/>
        <v>0</v>
      </c>
    </row>
    <row r="16" spans="1:13" x14ac:dyDescent="0.2">
      <c r="A16" s="11" t="s">
        <v>15</v>
      </c>
      <c r="B16" s="11" t="s">
        <v>31</v>
      </c>
      <c r="C16">
        <v>8</v>
      </c>
      <c r="D16">
        <v>19</v>
      </c>
      <c r="E16">
        <v>80</v>
      </c>
      <c r="F16">
        <v>1</v>
      </c>
      <c r="H16" s="13">
        <f t="shared" si="0"/>
        <v>0.8</v>
      </c>
      <c r="I16" s="13">
        <f t="shared" si="0"/>
        <v>0.95</v>
      </c>
      <c r="J16" s="13">
        <f t="shared" si="0"/>
        <v>0.8</v>
      </c>
      <c r="K16" s="13">
        <f t="shared" si="0"/>
        <v>1</v>
      </c>
      <c r="M16" s="13" t="b">
        <f t="shared" si="1"/>
        <v>0</v>
      </c>
    </row>
    <row r="17" spans="1:13" x14ac:dyDescent="0.2">
      <c r="A17" s="11" t="s">
        <v>16</v>
      </c>
      <c r="B17" s="11" t="s">
        <v>32</v>
      </c>
      <c r="C17">
        <v>9</v>
      </c>
      <c r="D17">
        <v>17</v>
      </c>
      <c r="E17">
        <v>90</v>
      </c>
      <c r="F17">
        <v>0</v>
      </c>
      <c r="H17" s="13">
        <f t="shared" si="0"/>
        <v>0.9</v>
      </c>
      <c r="I17" s="13">
        <f t="shared" si="0"/>
        <v>0.85</v>
      </c>
      <c r="J17" s="13">
        <f t="shared" si="0"/>
        <v>0.9</v>
      </c>
      <c r="K17" s="13">
        <f t="shared" si="0"/>
        <v>0</v>
      </c>
      <c r="M17" s="13" t="b">
        <f t="shared" si="1"/>
        <v>1</v>
      </c>
    </row>
    <row r="18" spans="1:13" x14ac:dyDescent="0.2">
      <c r="A18" s="11" t="s">
        <v>17</v>
      </c>
      <c r="B18" s="11" t="s">
        <v>33</v>
      </c>
      <c r="C18">
        <v>7</v>
      </c>
      <c r="D18">
        <v>19</v>
      </c>
      <c r="E18">
        <v>45</v>
      </c>
      <c r="F18">
        <v>1</v>
      </c>
      <c r="H18" s="13">
        <f t="shared" si="0"/>
        <v>0.7</v>
      </c>
      <c r="I18" s="13">
        <f t="shared" si="0"/>
        <v>0.95</v>
      </c>
      <c r="J18" s="13">
        <f t="shared" si="0"/>
        <v>0.45</v>
      </c>
      <c r="K18" s="13">
        <f t="shared" si="0"/>
        <v>1</v>
      </c>
      <c r="M18" s="13" t="b">
        <f t="shared" si="1"/>
        <v>1</v>
      </c>
    </row>
    <row r="19" spans="1:13" x14ac:dyDescent="0.2">
      <c r="A19" s="11" t="s">
        <v>18</v>
      </c>
      <c r="B19" s="11" t="s">
        <v>34</v>
      </c>
      <c r="C19">
        <v>10</v>
      </c>
      <c r="D19">
        <v>20</v>
      </c>
      <c r="E19">
        <v>90</v>
      </c>
      <c r="F19">
        <v>1</v>
      </c>
      <c r="H19" s="13">
        <f t="shared" si="0"/>
        <v>1</v>
      </c>
      <c r="I19" s="13">
        <f t="shared" si="0"/>
        <v>1</v>
      </c>
      <c r="J19" s="13">
        <f t="shared" si="0"/>
        <v>0.9</v>
      </c>
      <c r="K19" s="13">
        <f t="shared" si="0"/>
        <v>1</v>
      </c>
      <c r="M19" s="13" t="b">
        <f t="shared" si="1"/>
        <v>0</v>
      </c>
    </row>
    <row r="20" spans="1:13" x14ac:dyDescent="0.2">
      <c r="A20" s="11" t="s">
        <v>19</v>
      </c>
      <c r="B20" s="11" t="s">
        <v>35</v>
      </c>
      <c r="C20">
        <v>11</v>
      </c>
      <c r="D20">
        <v>10</v>
      </c>
      <c r="E20">
        <v>80</v>
      </c>
      <c r="F20">
        <v>1</v>
      </c>
      <c r="H20" s="13">
        <f t="shared" si="0"/>
        <v>1.1000000000000001</v>
      </c>
      <c r="I20" s="13">
        <f t="shared" si="0"/>
        <v>0.5</v>
      </c>
      <c r="J20" s="13">
        <f t="shared" si="0"/>
        <v>0.8</v>
      </c>
      <c r="K20" s="13">
        <f t="shared" si="0"/>
        <v>1</v>
      </c>
      <c r="M20" s="13" t="b">
        <f t="shared" si="1"/>
        <v>0</v>
      </c>
    </row>
    <row r="21" spans="1:13" x14ac:dyDescent="0.2">
      <c r="A21" s="11" t="s">
        <v>20</v>
      </c>
      <c r="B21" s="11" t="s">
        <v>36</v>
      </c>
      <c r="C21">
        <v>10</v>
      </c>
      <c r="D21">
        <v>14</v>
      </c>
      <c r="E21">
        <v>69</v>
      </c>
      <c r="F21">
        <v>1</v>
      </c>
      <c r="H21" s="13">
        <f t="shared" si="0"/>
        <v>1</v>
      </c>
      <c r="I21" s="13">
        <f t="shared" si="0"/>
        <v>0.7</v>
      </c>
      <c r="J21" s="13">
        <f t="shared" si="0"/>
        <v>0.69</v>
      </c>
      <c r="K21" s="13">
        <f t="shared" si="0"/>
        <v>1</v>
      </c>
      <c r="M21" s="13" t="b">
        <f t="shared" si="1"/>
        <v>0</v>
      </c>
    </row>
    <row r="23" spans="1:13" x14ac:dyDescent="0.2">
      <c r="A23" s="11" t="s">
        <v>39</v>
      </c>
      <c r="C23">
        <f>MAX((C6:C21))</f>
        <v>11</v>
      </c>
      <c r="D23">
        <f t="shared" ref="D23:F23" si="2">MAX((D6:D21))</f>
        <v>20</v>
      </c>
      <c r="E23">
        <f t="shared" si="2"/>
        <v>100</v>
      </c>
      <c r="F23">
        <f t="shared" si="2"/>
        <v>1</v>
      </c>
      <c r="H23" s="13">
        <f>MAX((H6:H21))</f>
        <v>1.1000000000000001</v>
      </c>
      <c r="I23" s="13">
        <f t="shared" ref="I23:K23" si="3">MAX((I6:I21))</f>
        <v>1</v>
      </c>
      <c r="J23" s="13">
        <f t="shared" si="3"/>
        <v>1</v>
      </c>
      <c r="K23" s="13">
        <f t="shared" si="3"/>
        <v>1</v>
      </c>
    </row>
    <row r="24" spans="1:13" x14ac:dyDescent="0.2">
      <c r="A24" s="11" t="s">
        <v>40</v>
      </c>
      <c r="C24">
        <f>MIN(C6:C21)</f>
        <v>5</v>
      </c>
      <c r="D24">
        <f t="shared" ref="D24:F24" si="4">MIN(D6:D21)</f>
        <v>6</v>
      </c>
      <c r="E24">
        <f t="shared" si="4"/>
        <v>45</v>
      </c>
      <c r="F24">
        <f t="shared" si="4"/>
        <v>0</v>
      </c>
      <c r="H24" s="13">
        <f>MIN(H6:H21)</f>
        <v>0.5</v>
      </c>
      <c r="I24" s="13">
        <f t="shared" ref="I24:K24" si="5">MIN(I6:I21)</f>
        <v>0.3</v>
      </c>
      <c r="J24" s="13">
        <f t="shared" si="5"/>
        <v>0.45</v>
      </c>
      <c r="K24" s="13">
        <f t="shared" si="5"/>
        <v>0</v>
      </c>
    </row>
    <row r="25" spans="1:13" x14ac:dyDescent="0.2">
      <c r="A25" s="11" t="s">
        <v>41</v>
      </c>
      <c r="C25">
        <f>AVERAGE(C6:C21)</f>
        <v>8.875</v>
      </c>
      <c r="D25">
        <f t="shared" ref="D25:F25" si="6">AVERAGE(D6:D21)</f>
        <v>16.75</v>
      </c>
      <c r="E25">
        <f t="shared" si="6"/>
        <v>81.125</v>
      </c>
      <c r="F25">
        <f t="shared" si="6"/>
        <v>0.875</v>
      </c>
      <c r="H25" s="13">
        <f>AVERAGE(H6:H21)</f>
        <v>0.88749999999999996</v>
      </c>
      <c r="I25" s="13">
        <f t="shared" ref="I25:K25" si="7">AVERAGE(I6:I21)</f>
        <v>0.8374999999999998</v>
      </c>
      <c r="J25" s="13">
        <f t="shared" si="7"/>
        <v>0.81125000000000003</v>
      </c>
      <c r="K25" s="13">
        <f t="shared" si="7"/>
        <v>0.875</v>
      </c>
    </row>
  </sheetData>
  <conditionalFormatting sqref="C6:C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6:D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6:E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6:F2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6:K21 M6:M21">
    <cfRule type="cellIs" dxfId="2" priority="2" operator="lessThan">
      <formula>0.5</formula>
    </cfRule>
  </conditionalFormatting>
  <conditionalFormatting sqref="M6:M21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E419-A14F-4E43-9BA5-97161AE0FFC5}">
  <dimension ref="A1:L9"/>
  <sheetViews>
    <sheetView workbookViewId="0">
      <selection activeCell="E14" sqref="E14"/>
    </sheetView>
  </sheetViews>
  <sheetFormatPr baseColWidth="10" defaultRowHeight="16" x14ac:dyDescent="0.2"/>
  <cols>
    <col min="1" max="1" width="18.1640625" bestFit="1" customWidth="1"/>
    <col min="12" max="12" width="25.83203125" bestFit="1" customWidth="1"/>
  </cols>
  <sheetData>
    <row r="1" spans="1:12" x14ac:dyDescent="0.2">
      <c r="A1" t="s">
        <v>57</v>
      </c>
    </row>
    <row r="3" spans="1:12" x14ac:dyDescent="0.2">
      <c r="C3" t="s">
        <v>63</v>
      </c>
    </row>
    <row r="4" spans="1:12" x14ac:dyDescent="0.2">
      <c r="A4" t="s">
        <v>58</v>
      </c>
      <c r="B4" s="14" t="s">
        <v>38</v>
      </c>
      <c r="C4" s="14">
        <v>3</v>
      </c>
      <c r="D4" s="15" t="s">
        <v>64</v>
      </c>
      <c r="E4" s="15">
        <v>5</v>
      </c>
      <c r="F4" s="16" t="s">
        <v>65</v>
      </c>
      <c r="G4" s="16">
        <v>4</v>
      </c>
      <c r="H4" s="6" t="s">
        <v>66</v>
      </c>
      <c r="I4" s="6">
        <v>3</v>
      </c>
      <c r="J4" s="17" t="s">
        <v>67</v>
      </c>
      <c r="K4" s="17">
        <v>2</v>
      </c>
      <c r="L4" t="s">
        <v>69</v>
      </c>
    </row>
    <row r="5" spans="1:12" x14ac:dyDescent="0.2">
      <c r="A5" t="s">
        <v>59</v>
      </c>
      <c r="B5" s="14">
        <v>1</v>
      </c>
      <c r="C5" s="14">
        <f>B5*C$4</f>
        <v>3</v>
      </c>
      <c r="D5" s="15">
        <v>5</v>
      </c>
      <c r="E5" s="15">
        <f>D5*E$4</f>
        <v>25</v>
      </c>
      <c r="F5" s="16">
        <v>2</v>
      </c>
      <c r="G5" s="16">
        <f>F5*G$4</f>
        <v>8</v>
      </c>
      <c r="H5" s="6">
        <v>5</v>
      </c>
      <c r="I5" s="6">
        <f>H5*I$4</f>
        <v>15</v>
      </c>
      <c r="J5" s="17">
        <v>5</v>
      </c>
      <c r="K5" s="17">
        <f>J5*K$4</f>
        <v>10</v>
      </c>
      <c r="L5">
        <f>SUM(C5, E5, G5, I5, K5)</f>
        <v>61</v>
      </c>
    </row>
    <row r="6" spans="1:12" x14ac:dyDescent="0.2">
      <c r="A6" t="s">
        <v>60</v>
      </c>
      <c r="B6" s="14">
        <v>4</v>
      </c>
      <c r="C6" s="14">
        <f t="shared" ref="C6:C9" si="0">B6*C$4</f>
        <v>12</v>
      </c>
      <c r="D6" s="15">
        <v>4</v>
      </c>
      <c r="E6" s="15">
        <f t="shared" ref="E6:E9" si="1">D6*E$4</f>
        <v>20</v>
      </c>
      <c r="F6" s="16">
        <v>4</v>
      </c>
      <c r="G6" s="16">
        <f t="shared" ref="G6:G9" si="2">F6*G$4</f>
        <v>16</v>
      </c>
      <c r="H6" s="6">
        <v>1</v>
      </c>
      <c r="I6" s="6">
        <f t="shared" ref="I6:K9" si="3">H6*I$4</f>
        <v>3</v>
      </c>
      <c r="J6" s="17">
        <v>1</v>
      </c>
      <c r="K6" s="17">
        <f t="shared" si="3"/>
        <v>2</v>
      </c>
      <c r="L6">
        <f t="shared" ref="L6:L9" si="4">SUM(C6, E6, G6, I6, K6)</f>
        <v>53</v>
      </c>
    </row>
    <row r="7" spans="1:12" x14ac:dyDescent="0.2">
      <c r="A7" t="s">
        <v>68</v>
      </c>
      <c r="B7" s="14">
        <v>5</v>
      </c>
      <c r="C7" s="14">
        <f t="shared" si="0"/>
        <v>15</v>
      </c>
      <c r="D7" s="15">
        <v>1</v>
      </c>
      <c r="E7" s="15">
        <f t="shared" si="1"/>
        <v>5</v>
      </c>
      <c r="F7" s="16">
        <v>5</v>
      </c>
      <c r="G7" s="16">
        <f t="shared" si="2"/>
        <v>20</v>
      </c>
      <c r="H7" s="6">
        <v>1</v>
      </c>
      <c r="I7" s="6">
        <f t="shared" si="3"/>
        <v>3</v>
      </c>
      <c r="J7" s="17">
        <v>1</v>
      </c>
      <c r="K7" s="17">
        <f t="shared" si="3"/>
        <v>2</v>
      </c>
      <c r="L7">
        <f t="shared" si="4"/>
        <v>45</v>
      </c>
    </row>
    <row r="8" spans="1:12" x14ac:dyDescent="0.2">
      <c r="A8" t="s">
        <v>61</v>
      </c>
      <c r="B8" s="14">
        <v>3</v>
      </c>
      <c r="C8" s="14">
        <f t="shared" si="0"/>
        <v>9</v>
      </c>
      <c r="D8" s="15">
        <v>5</v>
      </c>
      <c r="E8" s="15">
        <f t="shared" si="1"/>
        <v>25</v>
      </c>
      <c r="F8" s="16">
        <v>3</v>
      </c>
      <c r="G8" s="16">
        <f t="shared" si="2"/>
        <v>12</v>
      </c>
      <c r="H8" s="6">
        <v>4</v>
      </c>
      <c r="I8" s="6">
        <f t="shared" si="3"/>
        <v>12</v>
      </c>
      <c r="J8" s="17">
        <v>3</v>
      </c>
      <c r="K8" s="17">
        <f t="shared" si="3"/>
        <v>6</v>
      </c>
      <c r="L8">
        <f t="shared" si="4"/>
        <v>64</v>
      </c>
    </row>
    <row r="9" spans="1:12" x14ac:dyDescent="0.2">
      <c r="A9" t="s">
        <v>62</v>
      </c>
      <c r="B9" s="14">
        <v>3</v>
      </c>
      <c r="C9" s="14">
        <f t="shared" si="0"/>
        <v>9</v>
      </c>
      <c r="D9" s="15">
        <v>5</v>
      </c>
      <c r="E9" s="15">
        <f t="shared" si="1"/>
        <v>25</v>
      </c>
      <c r="F9" s="16">
        <v>5</v>
      </c>
      <c r="G9" s="16">
        <f t="shared" si="2"/>
        <v>20</v>
      </c>
      <c r="H9" s="6">
        <v>5</v>
      </c>
      <c r="I9" s="6">
        <f t="shared" si="3"/>
        <v>15</v>
      </c>
      <c r="J9" s="17">
        <v>5</v>
      </c>
      <c r="K9" s="17">
        <f t="shared" si="3"/>
        <v>10</v>
      </c>
      <c r="L9">
        <f t="shared" si="4"/>
        <v>79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24E5-0739-E44C-BDD9-50A9C5C026D6}">
  <dimension ref="A1:N177"/>
  <sheetViews>
    <sheetView workbookViewId="0">
      <selection activeCell="U22" sqref="U22"/>
    </sheetView>
  </sheetViews>
  <sheetFormatPr baseColWidth="10" defaultRowHeight="16" x14ac:dyDescent="0.2"/>
  <cols>
    <col min="1" max="1" width="6.5" bestFit="1" customWidth="1"/>
    <col min="2" max="2" width="10.83203125" customWidth="1"/>
    <col min="3" max="3" width="9.1640625" customWidth="1"/>
    <col min="4" max="4" width="13.5" customWidth="1"/>
    <col min="5" max="5" width="9.5" bestFit="1" customWidth="1"/>
    <col min="6" max="6" width="11.5" bestFit="1" customWidth="1"/>
    <col min="7" max="7" width="9" bestFit="1" customWidth="1"/>
    <col min="8" max="8" width="11.6640625" customWidth="1"/>
    <col min="9" max="9" width="14" bestFit="1" customWidth="1"/>
    <col min="10" max="10" width="14" customWidth="1"/>
    <col min="11" max="11" width="8.1640625" customWidth="1"/>
    <col min="13" max="13" width="13" bestFit="1" customWidth="1"/>
    <col min="14" max="14" width="15.33203125" bestFit="1" customWidth="1"/>
  </cols>
  <sheetData>
    <row r="1" spans="1:14" ht="34" x14ac:dyDescent="0.2">
      <c r="A1" s="21" t="s">
        <v>70</v>
      </c>
      <c r="B1" s="21" t="s">
        <v>71</v>
      </c>
      <c r="C1" s="21" t="s">
        <v>72</v>
      </c>
      <c r="D1" s="21" t="s">
        <v>73</v>
      </c>
      <c r="E1" s="21" t="s">
        <v>74</v>
      </c>
      <c r="F1" s="21" t="s">
        <v>75</v>
      </c>
      <c r="G1" s="21" t="s">
        <v>76</v>
      </c>
      <c r="H1" s="21" t="s">
        <v>77</v>
      </c>
      <c r="I1" s="21" t="s">
        <v>3</v>
      </c>
      <c r="J1" s="21" t="s">
        <v>2</v>
      </c>
      <c r="K1" s="21" t="s">
        <v>78</v>
      </c>
    </row>
    <row r="2" spans="1:14" x14ac:dyDescent="0.2">
      <c r="A2" s="19" t="s">
        <v>79</v>
      </c>
      <c r="B2" s="20">
        <v>1001</v>
      </c>
      <c r="C2" s="18">
        <v>9822</v>
      </c>
      <c r="D2" s="18" t="s">
        <v>80</v>
      </c>
      <c r="E2" s="22">
        <v>58.3</v>
      </c>
      <c r="F2" s="22">
        <v>98.4</v>
      </c>
      <c r="G2" s="22">
        <f>F2-E2</f>
        <v>40.100000000000009</v>
      </c>
      <c r="H2" s="22">
        <f>IF(F2&gt;50,0.2*G2,0.1*G2)</f>
        <v>8.0200000000000014</v>
      </c>
      <c r="I2" s="18" t="s">
        <v>107</v>
      </c>
      <c r="J2" s="18" t="s">
        <v>108</v>
      </c>
      <c r="K2" s="18" t="s">
        <v>81</v>
      </c>
      <c r="M2" s="24" t="s">
        <v>117</v>
      </c>
      <c r="N2" t="s">
        <v>116</v>
      </c>
    </row>
    <row r="3" spans="1:14" x14ac:dyDescent="0.2">
      <c r="A3" s="19" t="s">
        <v>79</v>
      </c>
      <c r="B3" s="20">
        <v>1002</v>
      </c>
      <c r="C3" s="18">
        <v>2877</v>
      </c>
      <c r="D3" s="18" t="s">
        <v>82</v>
      </c>
      <c r="E3" s="22">
        <v>11.4</v>
      </c>
      <c r="F3" s="22">
        <v>16.3</v>
      </c>
      <c r="G3" s="22">
        <f>F3-E3</f>
        <v>4.9000000000000004</v>
      </c>
      <c r="H3" s="22">
        <f>IF(F3&gt;50,0.2*G3,0.1*G3)</f>
        <v>0.49000000000000005</v>
      </c>
      <c r="I3" s="18" t="s">
        <v>109</v>
      </c>
      <c r="J3" s="18" t="s">
        <v>8</v>
      </c>
      <c r="K3" s="18" t="s">
        <v>83</v>
      </c>
      <c r="M3" s="25" t="s">
        <v>108</v>
      </c>
      <c r="N3" s="2">
        <v>6003.5</v>
      </c>
    </row>
    <row r="4" spans="1:14" x14ac:dyDescent="0.2">
      <c r="A4" s="19" t="s">
        <v>79</v>
      </c>
      <c r="B4" s="20">
        <v>1003</v>
      </c>
      <c r="C4" s="18">
        <v>2499</v>
      </c>
      <c r="D4" s="18" t="s">
        <v>84</v>
      </c>
      <c r="E4" s="22">
        <v>6.2</v>
      </c>
      <c r="F4" s="22">
        <v>9.1999999999999993</v>
      </c>
      <c r="G4" s="22">
        <f>F4-E4</f>
        <v>2.9999999999999991</v>
      </c>
      <c r="H4" s="22">
        <f>IF(F4&gt;50,0.2*G4,0.1*G4)</f>
        <v>0.29999999999999993</v>
      </c>
      <c r="I4" s="18" t="s">
        <v>110</v>
      </c>
      <c r="J4" s="18" t="s">
        <v>9</v>
      </c>
      <c r="K4" s="18" t="s">
        <v>85</v>
      </c>
      <c r="M4" s="25" t="s">
        <v>8</v>
      </c>
      <c r="N4" s="2">
        <v>2410.7000000000003</v>
      </c>
    </row>
    <row r="5" spans="1:14" x14ac:dyDescent="0.2">
      <c r="A5" s="19" t="s">
        <v>79</v>
      </c>
      <c r="B5" s="20">
        <v>1004</v>
      </c>
      <c r="C5" s="18">
        <v>8722</v>
      </c>
      <c r="D5" s="18" t="s">
        <v>86</v>
      </c>
      <c r="E5" s="22">
        <v>344</v>
      </c>
      <c r="F5" s="22">
        <v>502</v>
      </c>
      <c r="G5" s="22">
        <f>F5-E5</f>
        <v>158</v>
      </c>
      <c r="H5" s="22">
        <f>IF(F5&gt;50,0.2*G5,0.1*G5)</f>
        <v>31.6</v>
      </c>
      <c r="I5" s="18" t="s">
        <v>107</v>
      </c>
      <c r="J5" s="18" t="s">
        <v>108</v>
      </c>
      <c r="K5" s="18" t="s">
        <v>85</v>
      </c>
      <c r="M5" s="25" t="s">
        <v>112</v>
      </c>
      <c r="N5" s="2">
        <v>3035.3</v>
      </c>
    </row>
    <row r="6" spans="1:14" x14ac:dyDescent="0.2">
      <c r="A6" s="19" t="s">
        <v>79</v>
      </c>
      <c r="B6" s="20">
        <v>1005</v>
      </c>
      <c r="C6" s="18">
        <v>1109</v>
      </c>
      <c r="D6" s="18" t="s">
        <v>87</v>
      </c>
      <c r="E6" s="22">
        <v>3</v>
      </c>
      <c r="F6" s="22">
        <v>8</v>
      </c>
      <c r="G6" s="22">
        <f>F6-E6</f>
        <v>5</v>
      </c>
      <c r="H6" s="22">
        <f>IF(F6&gt;50,0.2*G6,0.1*G6)</f>
        <v>0.5</v>
      </c>
      <c r="I6" s="18" t="s">
        <v>110</v>
      </c>
      <c r="J6" s="18" t="s">
        <v>9</v>
      </c>
      <c r="K6" s="18" t="s">
        <v>85</v>
      </c>
      <c r="M6" s="25" t="s">
        <v>9</v>
      </c>
      <c r="N6" s="2">
        <v>5661.0999999999985</v>
      </c>
    </row>
    <row r="7" spans="1:14" x14ac:dyDescent="0.2">
      <c r="A7" s="19" t="s">
        <v>79</v>
      </c>
      <c r="B7" s="20">
        <v>1006</v>
      </c>
      <c r="C7" s="18">
        <v>9822</v>
      </c>
      <c r="D7" s="18" t="s">
        <v>80</v>
      </c>
      <c r="E7" s="22">
        <v>58.3</v>
      </c>
      <c r="F7" s="22">
        <v>98.4</v>
      </c>
      <c r="G7" s="22">
        <f>F7-E7</f>
        <v>40.100000000000009</v>
      </c>
      <c r="H7" s="22">
        <f>IF(F7&gt;50,0.2*G7,0.1*G7)</f>
        <v>8.0200000000000014</v>
      </c>
      <c r="I7" s="18" t="s">
        <v>110</v>
      </c>
      <c r="J7" s="18" t="s">
        <v>9</v>
      </c>
      <c r="K7" s="18" t="s">
        <v>85</v>
      </c>
      <c r="M7" s="25" t="s">
        <v>118</v>
      </c>
      <c r="N7" s="2">
        <v>17110.599999999999</v>
      </c>
    </row>
    <row r="8" spans="1:14" x14ac:dyDescent="0.2">
      <c r="A8" s="19" t="s">
        <v>79</v>
      </c>
      <c r="B8" s="20">
        <v>1007</v>
      </c>
      <c r="C8" s="18">
        <v>1109</v>
      </c>
      <c r="D8" s="18" t="s">
        <v>87</v>
      </c>
      <c r="E8" s="22">
        <v>3</v>
      </c>
      <c r="F8" s="22">
        <v>8</v>
      </c>
      <c r="G8" s="22">
        <f>F8-E8</f>
        <v>5</v>
      </c>
      <c r="H8" s="22">
        <f>IF(F8&gt;50,0.2*G8,0.1*G8)</f>
        <v>0.5</v>
      </c>
      <c r="I8" s="18" t="s">
        <v>111</v>
      </c>
      <c r="J8" s="18" t="s">
        <v>112</v>
      </c>
      <c r="K8" s="18" t="s">
        <v>81</v>
      </c>
    </row>
    <row r="9" spans="1:14" x14ac:dyDescent="0.2">
      <c r="A9" s="19" t="s">
        <v>79</v>
      </c>
      <c r="B9" s="20">
        <v>1008</v>
      </c>
      <c r="C9" s="18">
        <v>2877</v>
      </c>
      <c r="D9" s="18" t="s">
        <v>82</v>
      </c>
      <c r="E9" s="22">
        <v>11.4</v>
      </c>
      <c r="F9" s="22">
        <v>16.3</v>
      </c>
      <c r="G9" s="22">
        <f>F9-E9</f>
        <v>4.9000000000000004</v>
      </c>
      <c r="H9" s="22">
        <f>IF(F9&gt;50,0.2*G9,0.1*G9)</f>
        <v>0.49000000000000005</v>
      </c>
      <c r="I9" s="18" t="s">
        <v>110</v>
      </c>
      <c r="J9" s="18" t="s">
        <v>9</v>
      </c>
      <c r="K9" s="18" t="s">
        <v>81</v>
      </c>
    </row>
    <row r="10" spans="1:14" x14ac:dyDescent="0.2">
      <c r="A10" s="19" t="s">
        <v>79</v>
      </c>
      <c r="B10" s="20">
        <v>1009</v>
      </c>
      <c r="C10" s="18">
        <v>1109</v>
      </c>
      <c r="D10" s="18" t="s">
        <v>87</v>
      </c>
      <c r="E10" s="22">
        <v>3</v>
      </c>
      <c r="F10" s="22">
        <v>8</v>
      </c>
      <c r="G10" s="22">
        <f>F10-E10</f>
        <v>5</v>
      </c>
      <c r="H10" s="22">
        <f>IF(F10&gt;50,0.2*G10,0.1*G10)</f>
        <v>0.5</v>
      </c>
      <c r="I10" s="18" t="s">
        <v>110</v>
      </c>
      <c r="J10" s="18" t="s">
        <v>9</v>
      </c>
      <c r="K10" s="18" t="s">
        <v>85</v>
      </c>
    </row>
    <row r="11" spans="1:14" x14ac:dyDescent="0.2">
      <c r="A11" s="19" t="s">
        <v>79</v>
      </c>
      <c r="B11" s="20">
        <v>1010</v>
      </c>
      <c r="C11" s="18">
        <v>2877</v>
      </c>
      <c r="D11" s="18" t="s">
        <v>82</v>
      </c>
      <c r="E11" s="22">
        <v>11.4</v>
      </c>
      <c r="F11" s="22">
        <v>16.3</v>
      </c>
      <c r="G11" s="22">
        <f>F11-E11</f>
        <v>4.9000000000000004</v>
      </c>
      <c r="H11" s="22">
        <f>IF(F11&gt;50,0.2*G11,0.1*G11)</f>
        <v>0.49000000000000005</v>
      </c>
      <c r="I11" s="18" t="s">
        <v>109</v>
      </c>
      <c r="J11" s="18" t="s">
        <v>8</v>
      </c>
      <c r="K11" s="18" t="s">
        <v>88</v>
      </c>
    </row>
    <row r="12" spans="1:14" x14ac:dyDescent="0.2">
      <c r="A12" s="19" t="s">
        <v>79</v>
      </c>
      <c r="B12" s="20">
        <v>1011</v>
      </c>
      <c r="C12" s="18">
        <v>2877</v>
      </c>
      <c r="D12" s="18" t="s">
        <v>82</v>
      </c>
      <c r="E12" s="22">
        <v>11.4</v>
      </c>
      <c r="F12" s="22">
        <v>16.3</v>
      </c>
      <c r="G12" s="22">
        <f>F12-E12</f>
        <v>4.9000000000000004</v>
      </c>
      <c r="H12" s="22">
        <f>IF(F12&gt;50,0.2*G12,0.1*G12)</f>
        <v>0.49000000000000005</v>
      </c>
      <c r="I12" s="18" t="s">
        <v>109</v>
      </c>
      <c r="J12" s="18" t="s">
        <v>8</v>
      </c>
      <c r="K12" s="18" t="s">
        <v>85</v>
      </c>
    </row>
    <row r="13" spans="1:14" x14ac:dyDescent="0.2">
      <c r="A13" s="19" t="s">
        <v>79</v>
      </c>
      <c r="B13" s="20">
        <v>1012</v>
      </c>
      <c r="C13" s="18">
        <v>4421</v>
      </c>
      <c r="D13" s="18" t="s">
        <v>89</v>
      </c>
      <c r="E13" s="22">
        <v>45</v>
      </c>
      <c r="F13" s="22">
        <v>87</v>
      </c>
      <c r="G13" s="22">
        <f>F13-E13</f>
        <v>42</v>
      </c>
      <c r="H13" s="22">
        <f>IF(F13&gt;50,0.2*G13,0.1*G13)</f>
        <v>8.4</v>
      </c>
      <c r="I13" s="18" t="s">
        <v>110</v>
      </c>
      <c r="J13" s="18" t="s">
        <v>9</v>
      </c>
      <c r="K13" s="18" t="s">
        <v>81</v>
      </c>
    </row>
    <row r="14" spans="1:14" x14ac:dyDescent="0.2">
      <c r="A14" s="19" t="s">
        <v>79</v>
      </c>
      <c r="B14" s="20">
        <v>1013</v>
      </c>
      <c r="C14" s="18">
        <v>9212</v>
      </c>
      <c r="D14" s="18" t="s">
        <v>90</v>
      </c>
      <c r="E14" s="22">
        <v>4</v>
      </c>
      <c r="F14" s="22">
        <v>7</v>
      </c>
      <c r="G14" s="22">
        <f>F14-E14</f>
        <v>3</v>
      </c>
      <c r="H14" s="22">
        <f>IF(F14&gt;50,0.2*G14,0.1*G14)</f>
        <v>0.30000000000000004</v>
      </c>
      <c r="I14" s="18" t="s">
        <v>111</v>
      </c>
      <c r="J14" s="18" t="s">
        <v>112</v>
      </c>
      <c r="K14" s="18" t="s">
        <v>88</v>
      </c>
    </row>
    <row r="15" spans="1:14" x14ac:dyDescent="0.2">
      <c r="A15" s="19" t="s">
        <v>79</v>
      </c>
      <c r="B15" s="20">
        <v>1014</v>
      </c>
      <c r="C15" s="18">
        <v>8722</v>
      </c>
      <c r="D15" s="18" t="s">
        <v>86</v>
      </c>
      <c r="E15" s="22">
        <v>344</v>
      </c>
      <c r="F15" s="22">
        <v>502</v>
      </c>
      <c r="G15" s="22">
        <f>F15-E15</f>
        <v>158</v>
      </c>
      <c r="H15" s="22">
        <f>IF(F15&gt;50,0.2*G15,0.1*G15)</f>
        <v>31.6</v>
      </c>
      <c r="I15" s="18" t="s">
        <v>107</v>
      </c>
      <c r="J15" s="18" t="s">
        <v>108</v>
      </c>
      <c r="K15" s="18" t="s">
        <v>83</v>
      </c>
    </row>
    <row r="16" spans="1:14" x14ac:dyDescent="0.2">
      <c r="A16" s="19" t="s">
        <v>79</v>
      </c>
      <c r="B16" s="20">
        <v>1015</v>
      </c>
      <c r="C16" s="18">
        <v>2877</v>
      </c>
      <c r="D16" s="18" t="s">
        <v>82</v>
      </c>
      <c r="E16" s="22">
        <v>11.4</v>
      </c>
      <c r="F16" s="22">
        <v>16.3</v>
      </c>
      <c r="G16" s="22">
        <f>F16-E16</f>
        <v>4.9000000000000004</v>
      </c>
      <c r="H16" s="22">
        <f>IF(F16&gt;50,0.2*G16,0.1*G16)</f>
        <v>0.49000000000000005</v>
      </c>
      <c r="I16" s="18" t="s">
        <v>111</v>
      </c>
      <c r="J16" s="18" t="s">
        <v>112</v>
      </c>
      <c r="K16" s="18" t="s">
        <v>85</v>
      </c>
    </row>
    <row r="17" spans="1:11" x14ac:dyDescent="0.2">
      <c r="A17" s="19" t="s">
        <v>79</v>
      </c>
      <c r="B17" s="20">
        <v>1016</v>
      </c>
      <c r="C17" s="18">
        <v>2499</v>
      </c>
      <c r="D17" s="18" t="s">
        <v>84</v>
      </c>
      <c r="E17" s="22">
        <v>6.2</v>
      </c>
      <c r="F17" s="22">
        <v>9.1999999999999993</v>
      </c>
      <c r="G17" s="22">
        <f>F17-E17</f>
        <v>2.9999999999999991</v>
      </c>
      <c r="H17" s="22">
        <f>IF(F17&gt;50,0.2*G17,0.1*G17)</f>
        <v>0.29999999999999993</v>
      </c>
      <c r="I17" s="18" t="s">
        <v>110</v>
      </c>
      <c r="J17" s="18" t="s">
        <v>9</v>
      </c>
      <c r="K17" s="18" t="s">
        <v>83</v>
      </c>
    </row>
    <row r="18" spans="1:11" x14ac:dyDescent="0.2">
      <c r="A18" s="19" t="s">
        <v>91</v>
      </c>
      <c r="B18" s="20">
        <v>1017</v>
      </c>
      <c r="C18" s="18">
        <v>2242</v>
      </c>
      <c r="D18" s="18" t="s">
        <v>92</v>
      </c>
      <c r="E18" s="22">
        <v>60</v>
      </c>
      <c r="F18" s="22">
        <v>124</v>
      </c>
      <c r="G18" s="22">
        <f>F18-E18</f>
        <v>64</v>
      </c>
      <c r="H18" s="22">
        <f>IF(F18&gt;50,0.2*G18,0.1*G18)</f>
        <v>12.8</v>
      </c>
      <c r="I18" s="18" t="s">
        <v>109</v>
      </c>
      <c r="J18" s="18" t="s">
        <v>8</v>
      </c>
      <c r="K18" s="18" t="s">
        <v>81</v>
      </c>
    </row>
    <row r="19" spans="1:11" x14ac:dyDescent="0.2">
      <c r="A19" s="19" t="s">
        <v>91</v>
      </c>
      <c r="B19" s="20">
        <v>1018</v>
      </c>
      <c r="C19" s="18">
        <v>1109</v>
      </c>
      <c r="D19" s="18" t="s">
        <v>87</v>
      </c>
      <c r="E19" s="22">
        <v>3</v>
      </c>
      <c r="F19" s="22">
        <v>8</v>
      </c>
      <c r="G19" s="22">
        <f>F19-E19</f>
        <v>5</v>
      </c>
      <c r="H19" s="22">
        <f>IF(F19&gt;50,0.2*G19,0.1*G19)</f>
        <v>0.5</v>
      </c>
      <c r="I19" s="18" t="s">
        <v>110</v>
      </c>
      <c r="J19" s="18" t="s">
        <v>9</v>
      </c>
      <c r="K19" s="18" t="s">
        <v>83</v>
      </c>
    </row>
    <row r="20" spans="1:11" x14ac:dyDescent="0.2">
      <c r="A20" s="19" t="s">
        <v>91</v>
      </c>
      <c r="B20" s="20">
        <v>1019</v>
      </c>
      <c r="C20" s="18">
        <v>2499</v>
      </c>
      <c r="D20" s="18" t="s">
        <v>84</v>
      </c>
      <c r="E20" s="22">
        <v>6.2</v>
      </c>
      <c r="F20" s="22">
        <v>9.1999999999999993</v>
      </c>
      <c r="G20" s="22">
        <f>F20-E20</f>
        <v>2.9999999999999991</v>
      </c>
      <c r="H20" s="22">
        <f>IF(F20&gt;50,0.2*G20,0.1*G20)</f>
        <v>0.29999999999999993</v>
      </c>
      <c r="I20" s="18" t="s">
        <v>110</v>
      </c>
      <c r="J20" s="18" t="s">
        <v>9</v>
      </c>
      <c r="K20" s="18" t="s">
        <v>88</v>
      </c>
    </row>
    <row r="21" spans="1:11" x14ac:dyDescent="0.2">
      <c r="A21" s="19" t="s">
        <v>91</v>
      </c>
      <c r="B21" s="20">
        <v>1020</v>
      </c>
      <c r="C21" s="18">
        <v>2499</v>
      </c>
      <c r="D21" s="18" t="s">
        <v>84</v>
      </c>
      <c r="E21" s="22">
        <v>6.2</v>
      </c>
      <c r="F21" s="22">
        <v>9.1999999999999993</v>
      </c>
      <c r="G21" s="22">
        <f>F21-E21</f>
        <v>2.9999999999999991</v>
      </c>
      <c r="H21" s="22">
        <f>IF(F21&gt;50,0.2*G21,0.1*G21)</f>
        <v>0.29999999999999993</v>
      </c>
      <c r="I21" s="18" t="s">
        <v>110</v>
      </c>
      <c r="J21" s="18" t="s">
        <v>9</v>
      </c>
      <c r="K21" s="18" t="s">
        <v>93</v>
      </c>
    </row>
    <row r="22" spans="1:11" x14ac:dyDescent="0.2">
      <c r="A22" s="19" t="s">
        <v>91</v>
      </c>
      <c r="B22" s="20">
        <v>1021</v>
      </c>
      <c r="C22" s="18">
        <v>1109</v>
      </c>
      <c r="D22" s="18" t="s">
        <v>87</v>
      </c>
      <c r="E22" s="22">
        <v>3</v>
      </c>
      <c r="F22" s="22">
        <v>8</v>
      </c>
      <c r="G22" s="22">
        <f>F22-E22</f>
        <v>5</v>
      </c>
      <c r="H22" s="22">
        <f>IF(F22&gt;50,0.2*G22,0.1*G22)</f>
        <v>0.5</v>
      </c>
      <c r="I22" s="18" t="s">
        <v>109</v>
      </c>
      <c r="J22" s="18" t="s">
        <v>8</v>
      </c>
      <c r="K22" s="18" t="s">
        <v>88</v>
      </c>
    </row>
    <row r="23" spans="1:11" x14ac:dyDescent="0.2">
      <c r="A23" s="19" t="s">
        <v>91</v>
      </c>
      <c r="B23" s="20">
        <v>1022</v>
      </c>
      <c r="C23" s="18">
        <v>2877</v>
      </c>
      <c r="D23" s="18" t="s">
        <v>82</v>
      </c>
      <c r="E23" s="22">
        <v>11.4</v>
      </c>
      <c r="F23" s="22">
        <v>16.3</v>
      </c>
      <c r="G23" s="22">
        <f>F23-E23</f>
        <v>4.9000000000000004</v>
      </c>
      <c r="H23" s="22">
        <f>IF(F23&gt;50,0.2*G23,0.1*G23)</f>
        <v>0.49000000000000005</v>
      </c>
      <c r="I23" s="18" t="s">
        <v>110</v>
      </c>
      <c r="J23" s="18" t="s">
        <v>9</v>
      </c>
      <c r="K23" s="18" t="s">
        <v>94</v>
      </c>
    </row>
    <row r="24" spans="1:11" x14ac:dyDescent="0.2">
      <c r="A24" s="19" t="s">
        <v>91</v>
      </c>
      <c r="B24" s="20">
        <v>1023</v>
      </c>
      <c r="C24" s="18">
        <v>1109</v>
      </c>
      <c r="D24" s="18" t="s">
        <v>87</v>
      </c>
      <c r="E24" s="22">
        <v>3</v>
      </c>
      <c r="F24" s="22">
        <v>8</v>
      </c>
      <c r="G24" s="22">
        <f>F24-E24</f>
        <v>5</v>
      </c>
      <c r="H24" s="22">
        <f>IF(F24&gt;50,0.2*G24,0.1*G24)</f>
        <v>0.5</v>
      </c>
      <c r="I24" s="18" t="s">
        <v>111</v>
      </c>
      <c r="J24" s="18" t="s">
        <v>112</v>
      </c>
      <c r="K24" s="18" t="s">
        <v>81</v>
      </c>
    </row>
    <row r="25" spans="1:11" x14ac:dyDescent="0.2">
      <c r="A25" s="19" t="s">
        <v>91</v>
      </c>
      <c r="B25" s="20">
        <v>1024</v>
      </c>
      <c r="C25" s="18">
        <v>9212</v>
      </c>
      <c r="D25" s="18" t="s">
        <v>90</v>
      </c>
      <c r="E25" s="22">
        <v>4</v>
      </c>
      <c r="F25" s="22">
        <v>7</v>
      </c>
      <c r="G25" s="22">
        <f>F25-E25</f>
        <v>3</v>
      </c>
      <c r="H25" s="22">
        <f>IF(F25&gt;50,0.2*G25,0.1*G25)</f>
        <v>0.30000000000000004</v>
      </c>
      <c r="I25" s="18" t="s">
        <v>109</v>
      </c>
      <c r="J25" s="18" t="s">
        <v>8</v>
      </c>
      <c r="K25" s="18" t="s">
        <v>94</v>
      </c>
    </row>
    <row r="26" spans="1:11" x14ac:dyDescent="0.2">
      <c r="A26" s="19" t="s">
        <v>91</v>
      </c>
      <c r="B26" s="20">
        <v>1025</v>
      </c>
      <c r="C26" s="18">
        <v>2877</v>
      </c>
      <c r="D26" s="18" t="s">
        <v>82</v>
      </c>
      <c r="E26" s="22">
        <v>11.4</v>
      </c>
      <c r="F26" s="22">
        <v>16.3</v>
      </c>
      <c r="G26" s="22">
        <f>F26-E26</f>
        <v>4.9000000000000004</v>
      </c>
      <c r="H26" s="22">
        <f>IF(F26&gt;50,0.2*G26,0.1*G26)</f>
        <v>0.49000000000000005</v>
      </c>
      <c r="I26" s="18" t="s">
        <v>111</v>
      </c>
      <c r="J26" s="18" t="s">
        <v>112</v>
      </c>
      <c r="K26" s="18" t="s">
        <v>93</v>
      </c>
    </row>
    <row r="27" spans="1:11" x14ac:dyDescent="0.2">
      <c r="A27" s="19" t="s">
        <v>91</v>
      </c>
      <c r="B27" s="20">
        <v>1026</v>
      </c>
      <c r="C27" s="18">
        <v>6119</v>
      </c>
      <c r="D27" s="18" t="s">
        <v>95</v>
      </c>
      <c r="E27" s="22">
        <v>9</v>
      </c>
      <c r="F27" s="22">
        <v>14</v>
      </c>
      <c r="G27" s="22">
        <f>F27-E27</f>
        <v>5</v>
      </c>
      <c r="H27" s="22">
        <f>IF(F27&gt;50,0.2*G27,0.1*G27)</f>
        <v>0.5</v>
      </c>
      <c r="I27" s="18" t="s">
        <v>111</v>
      </c>
      <c r="J27" s="18" t="s">
        <v>112</v>
      </c>
      <c r="K27" s="18" t="s">
        <v>81</v>
      </c>
    </row>
    <row r="28" spans="1:11" x14ac:dyDescent="0.2">
      <c r="A28" s="19" t="s">
        <v>91</v>
      </c>
      <c r="B28" s="20">
        <v>1027</v>
      </c>
      <c r="C28" s="18">
        <v>6119</v>
      </c>
      <c r="D28" s="18" t="s">
        <v>95</v>
      </c>
      <c r="E28" s="22">
        <v>9</v>
      </c>
      <c r="F28" s="22">
        <v>14</v>
      </c>
      <c r="G28" s="22">
        <f>F28-E28</f>
        <v>5</v>
      </c>
      <c r="H28" s="22">
        <f>IF(F28&gt;50,0.2*G28,0.1*G28)</f>
        <v>0.5</v>
      </c>
      <c r="I28" s="18" t="s">
        <v>107</v>
      </c>
      <c r="J28" s="18" t="s">
        <v>108</v>
      </c>
      <c r="K28" s="18" t="s">
        <v>93</v>
      </c>
    </row>
    <row r="29" spans="1:11" x14ac:dyDescent="0.2">
      <c r="A29" s="19" t="s">
        <v>91</v>
      </c>
      <c r="B29" s="20">
        <v>1028</v>
      </c>
      <c r="C29" s="18">
        <v>8722</v>
      </c>
      <c r="D29" s="18" t="s">
        <v>86</v>
      </c>
      <c r="E29" s="22">
        <v>344</v>
      </c>
      <c r="F29" s="22">
        <v>502</v>
      </c>
      <c r="G29" s="22">
        <f>F29-E29</f>
        <v>158</v>
      </c>
      <c r="H29" s="22">
        <f>IF(F29&gt;50,0.2*G29,0.1*G29)</f>
        <v>31.6</v>
      </c>
      <c r="I29" s="18" t="s">
        <v>107</v>
      </c>
      <c r="J29" s="18" t="s">
        <v>108</v>
      </c>
      <c r="K29" s="18" t="s">
        <v>85</v>
      </c>
    </row>
    <row r="30" spans="1:11" x14ac:dyDescent="0.2">
      <c r="A30" s="19" t="s">
        <v>91</v>
      </c>
      <c r="B30" s="20">
        <v>1029</v>
      </c>
      <c r="C30" s="18">
        <v>2499</v>
      </c>
      <c r="D30" s="18" t="s">
        <v>84</v>
      </c>
      <c r="E30" s="22">
        <v>6.2</v>
      </c>
      <c r="F30" s="22">
        <v>9.1999999999999993</v>
      </c>
      <c r="G30" s="22">
        <f>F30-E30</f>
        <v>2.9999999999999991</v>
      </c>
      <c r="H30" s="22">
        <f>IF(F30&gt;50,0.2*G30,0.1*G30)</f>
        <v>0.29999999999999993</v>
      </c>
      <c r="I30" s="18" t="s">
        <v>109</v>
      </c>
      <c r="J30" s="18" t="s">
        <v>8</v>
      </c>
      <c r="K30" s="18" t="s">
        <v>85</v>
      </c>
    </row>
    <row r="31" spans="1:11" x14ac:dyDescent="0.2">
      <c r="A31" s="19" t="s">
        <v>91</v>
      </c>
      <c r="B31" s="20">
        <v>1030</v>
      </c>
      <c r="C31" s="18">
        <v>4421</v>
      </c>
      <c r="D31" s="18" t="s">
        <v>89</v>
      </c>
      <c r="E31" s="22">
        <v>45</v>
      </c>
      <c r="F31" s="22">
        <v>87</v>
      </c>
      <c r="G31" s="22">
        <f>F31-E31</f>
        <v>42</v>
      </c>
      <c r="H31" s="22">
        <f>IF(F31&gt;50,0.2*G31,0.1*G31)</f>
        <v>8.4</v>
      </c>
      <c r="I31" s="18" t="s">
        <v>109</v>
      </c>
      <c r="J31" s="18" t="s">
        <v>8</v>
      </c>
      <c r="K31" s="18" t="s">
        <v>93</v>
      </c>
    </row>
    <row r="32" spans="1:11" x14ac:dyDescent="0.2">
      <c r="A32" s="19" t="s">
        <v>91</v>
      </c>
      <c r="B32" s="20">
        <v>1031</v>
      </c>
      <c r="C32" s="18">
        <v>1109</v>
      </c>
      <c r="D32" s="18" t="s">
        <v>87</v>
      </c>
      <c r="E32" s="22">
        <v>3</v>
      </c>
      <c r="F32" s="22">
        <v>8</v>
      </c>
      <c r="G32" s="22">
        <f>F32-E32</f>
        <v>5</v>
      </c>
      <c r="H32" s="22">
        <f>IF(F32&gt;50,0.2*G32,0.1*G32)</f>
        <v>0.5</v>
      </c>
      <c r="I32" s="18" t="s">
        <v>109</v>
      </c>
      <c r="J32" s="18" t="s">
        <v>8</v>
      </c>
      <c r="K32" s="18" t="s">
        <v>83</v>
      </c>
    </row>
    <row r="33" spans="1:11" x14ac:dyDescent="0.2">
      <c r="A33" s="19" t="s">
        <v>91</v>
      </c>
      <c r="B33" s="20">
        <v>1032</v>
      </c>
      <c r="C33" s="18">
        <v>2877</v>
      </c>
      <c r="D33" s="18" t="s">
        <v>82</v>
      </c>
      <c r="E33" s="22">
        <v>11.4</v>
      </c>
      <c r="F33" s="22">
        <v>16.3</v>
      </c>
      <c r="G33" s="22">
        <f>F33-E33</f>
        <v>4.9000000000000004</v>
      </c>
      <c r="H33" s="22">
        <f>IF(F33&gt;50,0.2*G33,0.1*G33)</f>
        <v>0.49000000000000005</v>
      </c>
      <c r="I33" s="18" t="s">
        <v>107</v>
      </c>
      <c r="J33" s="18" t="s">
        <v>108</v>
      </c>
      <c r="K33" s="18" t="s">
        <v>85</v>
      </c>
    </row>
    <row r="34" spans="1:11" x14ac:dyDescent="0.2">
      <c r="A34" s="19" t="s">
        <v>91</v>
      </c>
      <c r="B34" s="20">
        <v>1033</v>
      </c>
      <c r="C34" s="18">
        <v>9822</v>
      </c>
      <c r="D34" s="18" t="s">
        <v>80</v>
      </c>
      <c r="E34" s="22">
        <v>58.3</v>
      </c>
      <c r="F34" s="22">
        <v>98.4</v>
      </c>
      <c r="G34" s="22">
        <f>F34-E34</f>
        <v>40.100000000000009</v>
      </c>
      <c r="H34" s="22">
        <f>IF(F34&gt;50,0.2*G34,0.1*G34)</f>
        <v>8.0200000000000014</v>
      </c>
      <c r="I34" s="18" t="s">
        <v>109</v>
      </c>
      <c r="J34" s="18" t="s">
        <v>8</v>
      </c>
      <c r="K34" s="18" t="s">
        <v>83</v>
      </c>
    </row>
    <row r="35" spans="1:11" x14ac:dyDescent="0.2">
      <c r="A35" s="19" t="s">
        <v>91</v>
      </c>
      <c r="B35" s="20">
        <v>1034</v>
      </c>
      <c r="C35" s="18">
        <v>2877</v>
      </c>
      <c r="D35" s="18" t="s">
        <v>82</v>
      </c>
      <c r="E35" s="22">
        <v>11.4</v>
      </c>
      <c r="F35" s="22">
        <v>16.3</v>
      </c>
      <c r="G35" s="22">
        <f>F35-E35</f>
        <v>4.9000000000000004</v>
      </c>
      <c r="H35" s="22">
        <f>IF(F35&gt;50,0.2*G35,0.1*G35)</f>
        <v>0.49000000000000005</v>
      </c>
      <c r="I35" s="18" t="s">
        <v>109</v>
      </c>
      <c r="J35" s="18" t="s">
        <v>8</v>
      </c>
      <c r="K35" s="18" t="s">
        <v>88</v>
      </c>
    </row>
    <row r="36" spans="1:11" x14ac:dyDescent="0.2">
      <c r="A36" s="19" t="s">
        <v>96</v>
      </c>
      <c r="B36" s="20">
        <v>1035</v>
      </c>
      <c r="C36" s="18">
        <v>2499</v>
      </c>
      <c r="D36" s="18" t="s">
        <v>84</v>
      </c>
      <c r="E36" s="22">
        <v>6.2</v>
      </c>
      <c r="F36" s="22">
        <v>9.1999999999999993</v>
      </c>
      <c r="G36" s="22">
        <f>F36-E36</f>
        <v>2.9999999999999991</v>
      </c>
      <c r="H36" s="22">
        <f>IF(F36&gt;50,0.2*G36,0.1*G36)</f>
        <v>0.29999999999999993</v>
      </c>
      <c r="I36" s="18" t="s">
        <v>111</v>
      </c>
      <c r="J36" s="18" t="s">
        <v>112</v>
      </c>
      <c r="K36" s="18" t="s">
        <v>83</v>
      </c>
    </row>
    <row r="37" spans="1:11" x14ac:dyDescent="0.2">
      <c r="A37" s="19" t="s">
        <v>96</v>
      </c>
      <c r="B37" s="20">
        <v>1036</v>
      </c>
      <c r="C37" s="18">
        <v>2499</v>
      </c>
      <c r="D37" s="18" t="s">
        <v>84</v>
      </c>
      <c r="E37" s="22">
        <v>6.2</v>
      </c>
      <c r="F37" s="22">
        <v>9.1999999999999993</v>
      </c>
      <c r="G37" s="22">
        <f>F37-E37</f>
        <v>2.9999999999999991</v>
      </c>
      <c r="H37" s="22">
        <f>IF(F37&gt;50,0.2*G37,0.1*G37)</f>
        <v>0.29999999999999993</v>
      </c>
      <c r="I37" s="18" t="s">
        <v>109</v>
      </c>
      <c r="J37" s="18" t="s">
        <v>8</v>
      </c>
      <c r="K37" s="18" t="s">
        <v>93</v>
      </c>
    </row>
    <row r="38" spans="1:11" x14ac:dyDescent="0.2">
      <c r="A38" s="19" t="s">
        <v>96</v>
      </c>
      <c r="B38" s="20">
        <v>1037</v>
      </c>
      <c r="C38" s="18">
        <v>6622</v>
      </c>
      <c r="D38" s="18" t="s">
        <v>97</v>
      </c>
      <c r="E38" s="22">
        <v>42</v>
      </c>
      <c r="F38" s="22">
        <v>77</v>
      </c>
      <c r="G38" s="22">
        <f>F38-E38</f>
        <v>35</v>
      </c>
      <c r="H38" s="22">
        <f>IF(F38&gt;50,0.2*G38,0.1*G38)</f>
        <v>7</v>
      </c>
      <c r="I38" s="18" t="s">
        <v>109</v>
      </c>
      <c r="J38" s="18" t="s">
        <v>8</v>
      </c>
      <c r="K38" s="18" t="s">
        <v>93</v>
      </c>
    </row>
    <row r="39" spans="1:11" x14ac:dyDescent="0.2">
      <c r="A39" s="19" t="s">
        <v>96</v>
      </c>
      <c r="B39" s="20">
        <v>1038</v>
      </c>
      <c r="C39" s="18">
        <v>2499</v>
      </c>
      <c r="D39" s="18" t="s">
        <v>84</v>
      </c>
      <c r="E39" s="22">
        <v>6.2</v>
      </c>
      <c r="F39" s="22">
        <v>9.1999999999999993</v>
      </c>
      <c r="G39" s="22">
        <f>F39-E39</f>
        <v>2.9999999999999991</v>
      </c>
      <c r="H39" s="22">
        <f>IF(F39&gt;50,0.2*G39,0.1*G39)</f>
        <v>0.29999999999999993</v>
      </c>
      <c r="I39" s="18" t="s">
        <v>109</v>
      </c>
      <c r="J39" s="18" t="s">
        <v>8</v>
      </c>
      <c r="K39" s="18" t="s">
        <v>93</v>
      </c>
    </row>
    <row r="40" spans="1:11" x14ac:dyDescent="0.2">
      <c r="A40" s="19" t="s">
        <v>96</v>
      </c>
      <c r="B40" s="20">
        <v>1039</v>
      </c>
      <c r="C40" s="18">
        <v>2877</v>
      </c>
      <c r="D40" s="18" t="s">
        <v>82</v>
      </c>
      <c r="E40" s="22">
        <v>11.4</v>
      </c>
      <c r="F40" s="22">
        <v>16.3</v>
      </c>
      <c r="G40" s="22">
        <f>F40-E40</f>
        <v>4.9000000000000004</v>
      </c>
      <c r="H40" s="22">
        <f>IF(F40&gt;50,0.2*G40,0.1*G40)</f>
        <v>0.49000000000000005</v>
      </c>
      <c r="I40" s="18" t="s">
        <v>109</v>
      </c>
      <c r="J40" s="18" t="s">
        <v>8</v>
      </c>
      <c r="K40" s="18" t="s">
        <v>83</v>
      </c>
    </row>
    <row r="41" spans="1:11" x14ac:dyDescent="0.2">
      <c r="A41" s="19" t="s">
        <v>96</v>
      </c>
      <c r="B41" s="20">
        <v>1040</v>
      </c>
      <c r="C41" s="18">
        <v>1109</v>
      </c>
      <c r="D41" s="18" t="s">
        <v>87</v>
      </c>
      <c r="E41" s="22">
        <v>3</v>
      </c>
      <c r="F41" s="22">
        <v>8</v>
      </c>
      <c r="G41" s="22">
        <f>F41-E41</f>
        <v>5</v>
      </c>
      <c r="H41" s="22">
        <f>IF(F41&gt;50,0.2*G41,0.1*G41)</f>
        <v>0.5</v>
      </c>
      <c r="I41" s="18" t="s">
        <v>109</v>
      </c>
      <c r="J41" s="18" t="s">
        <v>8</v>
      </c>
      <c r="K41" s="18" t="s">
        <v>85</v>
      </c>
    </row>
    <row r="42" spans="1:11" x14ac:dyDescent="0.2">
      <c r="A42" s="19" t="s">
        <v>96</v>
      </c>
      <c r="B42" s="20">
        <v>1041</v>
      </c>
      <c r="C42" s="18">
        <v>2499</v>
      </c>
      <c r="D42" s="18" t="s">
        <v>84</v>
      </c>
      <c r="E42" s="22">
        <v>6.2</v>
      </c>
      <c r="F42" s="22">
        <v>9.1999999999999993</v>
      </c>
      <c r="G42" s="22">
        <f>F42-E42</f>
        <v>2.9999999999999991</v>
      </c>
      <c r="H42" s="22">
        <f>IF(F42&gt;50,0.2*G42,0.1*G42)</f>
        <v>0.29999999999999993</v>
      </c>
      <c r="I42" s="18" t="s">
        <v>107</v>
      </c>
      <c r="J42" s="18" t="s">
        <v>108</v>
      </c>
      <c r="K42" s="18" t="s">
        <v>81</v>
      </c>
    </row>
    <row r="43" spans="1:11" x14ac:dyDescent="0.2">
      <c r="A43" s="19" t="s">
        <v>96</v>
      </c>
      <c r="B43" s="20">
        <v>1042</v>
      </c>
      <c r="C43" s="18">
        <v>8722</v>
      </c>
      <c r="D43" s="18" t="s">
        <v>86</v>
      </c>
      <c r="E43" s="22">
        <v>344</v>
      </c>
      <c r="F43" s="22">
        <v>502</v>
      </c>
      <c r="G43" s="22">
        <f>F43-E43</f>
        <v>158</v>
      </c>
      <c r="H43" s="22">
        <f>IF(F43&gt;50,0.2*G43,0.1*G43)</f>
        <v>31.6</v>
      </c>
      <c r="I43" s="18" t="s">
        <v>110</v>
      </c>
      <c r="J43" s="18" t="s">
        <v>9</v>
      </c>
      <c r="K43" s="18" t="s">
        <v>81</v>
      </c>
    </row>
    <row r="44" spans="1:11" x14ac:dyDescent="0.2">
      <c r="A44" s="19" t="s">
        <v>96</v>
      </c>
      <c r="B44" s="20">
        <v>1043</v>
      </c>
      <c r="C44" s="18">
        <v>2242</v>
      </c>
      <c r="D44" s="18" t="s">
        <v>92</v>
      </c>
      <c r="E44" s="22">
        <v>60</v>
      </c>
      <c r="F44" s="22">
        <v>124</v>
      </c>
      <c r="G44" s="22">
        <f>F44-E44</f>
        <v>64</v>
      </c>
      <c r="H44" s="22">
        <f>IF(F44&gt;50,0.2*G44,0.1*G44)</f>
        <v>12.8</v>
      </c>
      <c r="I44" s="18" t="s">
        <v>110</v>
      </c>
      <c r="J44" s="18" t="s">
        <v>9</v>
      </c>
      <c r="K44" s="18" t="s">
        <v>83</v>
      </c>
    </row>
    <row r="45" spans="1:11" x14ac:dyDescent="0.2">
      <c r="A45" s="19" t="s">
        <v>96</v>
      </c>
      <c r="B45" s="20">
        <v>1044</v>
      </c>
      <c r="C45" s="18">
        <v>2877</v>
      </c>
      <c r="D45" s="18" t="s">
        <v>82</v>
      </c>
      <c r="E45" s="22">
        <v>11.4</v>
      </c>
      <c r="F45" s="22">
        <v>16.3</v>
      </c>
      <c r="G45" s="22">
        <f>F45-E45</f>
        <v>4.9000000000000004</v>
      </c>
      <c r="H45" s="22">
        <f>IF(F45&gt;50,0.2*G45,0.1*G45)</f>
        <v>0.49000000000000005</v>
      </c>
      <c r="I45" s="18" t="s">
        <v>110</v>
      </c>
      <c r="J45" s="18" t="s">
        <v>9</v>
      </c>
      <c r="K45" s="18" t="s">
        <v>83</v>
      </c>
    </row>
    <row r="46" spans="1:11" x14ac:dyDescent="0.2">
      <c r="A46" s="19" t="s">
        <v>96</v>
      </c>
      <c r="B46" s="20">
        <v>1045</v>
      </c>
      <c r="C46" s="18">
        <v>8722</v>
      </c>
      <c r="D46" s="18" t="s">
        <v>86</v>
      </c>
      <c r="E46" s="22">
        <v>344</v>
      </c>
      <c r="F46" s="22">
        <v>502</v>
      </c>
      <c r="G46" s="22">
        <f>F46-E46</f>
        <v>158</v>
      </c>
      <c r="H46" s="22">
        <f>IF(F46&gt;50,0.2*G46,0.1*G46)</f>
        <v>31.6</v>
      </c>
      <c r="I46" s="18" t="s">
        <v>111</v>
      </c>
      <c r="J46" s="18" t="s">
        <v>112</v>
      </c>
      <c r="K46" s="18" t="s">
        <v>85</v>
      </c>
    </row>
    <row r="47" spans="1:11" x14ac:dyDescent="0.2">
      <c r="A47" s="19" t="s">
        <v>96</v>
      </c>
      <c r="B47" s="20">
        <v>1046</v>
      </c>
      <c r="C47" s="18">
        <v>6119</v>
      </c>
      <c r="D47" s="18" t="s">
        <v>95</v>
      </c>
      <c r="E47" s="22">
        <v>9</v>
      </c>
      <c r="F47" s="22">
        <v>14</v>
      </c>
      <c r="G47" s="22">
        <f>F47-E47</f>
        <v>5</v>
      </c>
      <c r="H47" s="22">
        <f>IF(F47&gt;50,0.2*G47,0.1*G47)</f>
        <v>0.5</v>
      </c>
      <c r="I47" s="18" t="s">
        <v>109</v>
      </c>
      <c r="J47" s="18" t="s">
        <v>8</v>
      </c>
      <c r="K47" s="18" t="s">
        <v>94</v>
      </c>
    </row>
    <row r="48" spans="1:11" x14ac:dyDescent="0.2">
      <c r="A48" s="19" t="s">
        <v>96</v>
      </c>
      <c r="B48" s="20">
        <v>1047</v>
      </c>
      <c r="C48" s="18">
        <v>6622</v>
      </c>
      <c r="D48" s="18" t="s">
        <v>97</v>
      </c>
      <c r="E48" s="22">
        <v>42</v>
      </c>
      <c r="F48" s="22">
        <v>77</v>
      </c>
      <c r="G48" s="22">
        <f>F48-E48</f>
        <v>35</v>
      </c>
      <c r="H48" s="22">
        <f>IF(F48&gt;50,0.2*G48,0.1*G48)</f>
        <v>7</v>
      </c>
      <c r="I48" s="18" t="s">
        <v>111</v>
      </c>
      <c r="J48" s="18" t="s">
        <v>112</v>
      </c>
      <c r="K48" s="18" t="s">
        <v>85</v>
      </c>
    </row>
    <row r="49" spans="1:11" x14ac:dyDescent="0.2">
      <c r="A49" s="19" t="s">
        <v>96</v>
      </c>
      <c r="B49" s="20">
        <v>1048</v>
      </c>
      <c r="C49" s="18">
        <v>8722</v>
      </c>
      <c r="D49" s="18" t="s">
        <v>86</v>
      </c>
      <c r="E49" s="22">
        <v>344</v>
      </c>
      <c r="F49" s="22">
        <v>502</v>
      </c>
      <c r="G49" s="22">
        <f>F49-E49</f>
        <v>158</v>
      </c>
      <c r="H49" s="22">
        <f>IF(F49&gt;50,0.2*G49,0.1*G49)</f>
        <v>31.6</v>
      </c>
      <c r="I49" s="18" t="s">
        <v>107</v>
      </c>
      <c r="J49" s="18" t="s">
        <v>108</v>
      </c>
      <c r="K49" s="18" t="s">
        <v>85</v>
      </c>
    </row>
    <row r="50" spans="1:11" x14ac:dyDescent="0.2">
      <c r="A50" s="19" t="s">
        <v>98</v>
      </c>
      <c r="B50" s="20">
        <v>1049</v>
      </c>
      <c r="C50" s="18">
        <v>2499</v>
      </c>
      <c r="D50" s="18" t="s">
        <v>84</v>
      </c>
      <c r="E50" s="22">
        <v>6.2</v>
      </c>
      <c r="F50" s="22">
        <v>9.1999999999999993</v>
      </c>
      <c r="G50" s="22">
        <f>F50-E50</f>
        <v>2.9999999999999991</v>
      </c>
      <c r="H50" s="22">
        <f>IF(F50&gt;50,0.2*G50,0.1*G50)</f>
        <v>0.29999999999999993</v>
      </c>
      <c r="I50" s="18" t="s">
        <v>107</v>
      </c>
      <c r="J50" s="18" t="s">
        <v>108</v>
      </c>
      <c r="K50" s="18" t="s">
        <v>88</v>
      </c>
    </row>
    <row r="51" spans="1:11" x14ac:dyDescent="0.2">
      <c r="A51" s="19" t="s">
        <v>98</v>
      </c>
      <c r="B51" s="20">
        <v>1050</v>
      </c>
      <c r="C51" s="18">
        <v>2877</v>
      </c>
      <c r="D51" s="18" t="s">
        <v>82</v>
      </c>
      <c r="E51" s="22">
        <v>11.4</v>
      </c>
      <c r="F51" s="22">
        <v>16.3</v>
      </c>
      <c r="G51" s="22">
        <f>F51-E51</f>
        <v>4.9000000000000004</v>
      </c>
      <c r="H51" s="22">
        <f>IF(F51&gt;50,0.2*G51,0.1*G51)</f>
        <v>0.49000000000000005</v>
      </c>
      <c r="I51" s="18" t="s">
        <v>107</v>
      </c>
      <c r="J51" s="18" t="s">
        <v>108</v>
      </c>
      <c r="K51" s="18" t="s">
        <v>85</v>
      </c>
    </row>
    <row r="52" spans="1:11" x14ac:dyDescent="0.2">
      <c r="A52" s="19" t="s">
        <v>98</v>
      </c>
      <c r="B52" s="20">
        <v>1051</v>
      </c>
      <c r="C52" s="18">
        <v>6119</v>
      </c>
      <c r="D52" s="18" t="s">
        <v>95</v>
      </c>
      <c r="E52" s="22">
        <v>9</v>
      </c>
      <c r="F52" s="22">
        <v>14</v>
      </c>
      <c r="G52" s="22">
        <f>F52-E52</f>
        <v>5</v>
      </c>
      <c r="H52" s="22">
        <f>IF(F52&gt;50,0.2*G52,0.1*G52)</f>
        <v>0.5</v>
      </c>
      <c r="I52" s="18" t="s">
        <v>110</v>
      </c>
      <c r="J52" s="18" t="s">
        <v>9</v>
      </c>
      <c r="K52" s="18" t="s">
        <v>94</v>
      </c>
    </row>
    <row r="53" spans="1:11" x14ac:dyDescent="0.2">
      <c r="A53" s="19" t="s">
        <v>98</v>
      </c>
      <c r="B53" s="20">
        <v>1052</v>
      </c>
      <c r="C53" s="18">
        <v>6622</v>
      </c>
      <c r="D53" s="18" t="s">
        <v>97</v>
      </c>
      <c r="E53" s="22">
        <v>42</v>
      </c>
      <c r="F53" s="22">
        <v>77</v>
      </c>
      <c r="G53" s="22">
        <f>F53-E53</f>
        <v>35</v>
      </c>
      <c r="H53" s="22">
        <f>IF(F53&gt;50,0.2*G53,0.1*G53)</f>
        <v>7</v>
      </c>
      <c r="I53" s="18" t="s">
        <v>110</v>
      </c>
      <c r="J53" s="18" t="s">
        <v>9</v>
      </c>
      <c r="K53" s="18" t="s">
        <v>85</v>
      </c>
    </row>
    <row r="54" spans="1:11" x14ac:dyDescent="0.2">
      <c r="A54" s="19" t="s">
        <v>98</v>
      </c>
      <c r="B54" s="20">
        <v>1053</v>
      </c>
      <c r="C54" s="18">
        <v>2242</v>
      </c>
      <c r="D54" s="18" t="s">
        <v>92</v>
      </c>
      <c r="E54" s="22">
        <v>60</v>
      </c>
      <c r="F54" s="22">
        <v>124</v>
      </c>
      <c r="G54" s="22">
        <f>F54-E54</f>
        <v>64</v>
      </c>
      <c r="H54" s="22">
        <f>IF(F54&gt;50,0.2*G54,0.1*G54)</f>
        <v>12.8</v>
      </c>
      <c r="I54" s="18" t="s">
        <v>107</v>
      </c>
      <c r="J54" s="18" t="s">
        <v>108</v>
      </c>
      <c r="K54" s="18" t="s">
        <v>83</v>
      </c>
    </row>
    <row r="55" spans="1:11" x14ac:dyDescent="0.2">
      <c r="A55" s="19" t="s">
        <v>98</v>
      </c>
      <c r="B55" s="20">
        <v>1054</v>
      </c>
      <c r="C55" s="18">
        <v>4421</v>
      </c>
      <c r="D55" s="18" t="s">
        <v>89</v>
      </c>
      <c r="E55" s="22">
        <v>45</v>
      </c>
      <c r="F55" s="22">
        <v>87</v>
      </c>
      <c r="G55" s="22">
        <f>F55-E55</f>
        <v>42</v>
      </c>
      <c r="H55" s="22">
        <f>IF(F55&gt;50,0.2*G55,0.1*G55)</f>
        <v>8.4</v>
      </c>
      <c r="I55" s="18" t="s">
        <v>110</v>
      </c>
      <c r="J55" s="18" t="s">
        <v>9</v>
      </c>
      <c r="K55" s="18" t="s">
        <v>93</v>
      </c>
    </row>
    <row r="56" spans="1:11" x14ac:dyDescent="0.2">
      <c r="A56" s="19" t="s">
        <v>98</v>
      </c>
      <c r="B56" s="20">
        <v>1055</v>
      </c>
      <c r="C56" s="18">
        <v>6119</v>
      </c>
      <c r="D56" s="18" t="s">
        <v>95</v>
      </c>
      <c r="E56" s="22">
        <v>9</v>
      </c>
      <c r="F56" s="22">
        <v>14</v>
      </c>
      <c r="G56" s="22">
        <f>F56-E56</f>
        <v>5</v>
      </c>
      <c r="H56" s="22">
        <f>IF(F56&gt;50,0.2*G56,0.1*G56)</f>
        <v>0.5</v>
      </c>
      <c r="I56" s="18" t="s">
        <v>109</v>
      </c>
      <c r="J56" s="18" t="s">
        <v>8</v>
      </c>
      <c r="K56" s="18" t="s">
        <v>93</v>
      </c>
    </row>
    <row r="57" spans="1:11" x14ac:dyDescent="0.2">
      <c r="A57" s="19" t="s">
        <v>98</v>
      </c>
      <c r="B57" s="20">
        <v>1056</v>
      </c>
      <c r="C57" s="18">
        <v>1109</v>
      </c>
      <c r="D57" s="18" t="s">
        <v>87</v>
      </c>
      <c r="E57" s="22">
        <v>3</v>
      </c>
      <c r="F57" s="22">
        <v>8</v>
      </c>
      <c r="G57" s="22">
        <f>F57-E57</f>
        <v>5</v>
      </c>
      <c r="H57" s="22">
        <f>IF(F57&gt;50,0.2*G57,0.1*G57)</f>
        <v>0.5</v>
      </c>
      <c r="I57" s="18" t="s">
        <v>110</v>
      </c>
      <c r="J57" s="18" t="s">
        <v>9</v>
      </c>
      <c r="K57" s="18" t="s">
        <v>83</v>
      </c>
    </row>
    <row r="58" spans="1:11" x14ac:dyDescent="0.2">
      <c r="A58" s="19" t="s">
        <v>98</v>
      </c>
      <c r="B58" s="20">
        <v>1057</v>
      </c>
      <c r="C58" s="18">
        <v>2499</v>
      </c>
      <c r="D58" s="18" t="s">
        <v>84</v>
      </c>
      <c r="E58" s="22">
        <v>6.2</v>
      </c>
      <c r="F58" s="22">
        <v>9.1999999999999993</v>
      </c>
      <c r="G58" s="22">
        <f>F58-E58</f>
        <v>2.9999999999999991</v>
      </c>
      <c r="H58" s="22">
        <f>IF(F58&gt;50,0.2*G58,0.1*G58)</f>
        <v>0.29999999999999993</v>
      </c>
      <c r="I58" s="18" t="s">
        <v>109</v>
      </c>
      <c r="J58" s="18" t="s">
        <v>8</v>
      </c>
      <c r="K58" s="18" t="s">
        <v>83</v>
      </c>
    </row>
    <row r="59" spans="1:11" x14ac:dyDescent="0.2">
      <c r="A59" s="19" t="s">
        <v>98</v>
      </c>
      <c r="B59" s="20">
        <v>1058</v>
      </c>
      <c r="C59" s="18">
        <v>6119</v>
      </c>
      <c r="D59" s="18" t="s">
        <v>95</v>
      </c>
      <c r="E59" s="22">
        <v>9</v>
      </c>
      <c r="F59" s="22">
        <v>14</v>
      </c>
      <c r="G59" s="22">
        <f>F59-E59</f>
        <v>5</v>
      </c>
      <c r="H59" s="22">
        <f>IF(F59&gt;50,0.2*G59,0.1*G59)</f>
        <v>0.5</v>
      </c>
      <c r="I59" s="18" t="s">
        <v>111</v>
      </c>
      <c r="J59" s="18" t="s">
        <v>112</v>
      </c>
      <c r="K59" s="18" t="s">
        <v>85</v>
      </c>
    </row>
    <row r="60" spans="1:11" x14ac:dyDescent="0.2">
      <c r="A60" s="19" t="s">
        <v>98</v>
      </c>
      <c r="B60" s="20">
        <v>1059</v>
      </c>
      <c r="C60" s="18">
        <v>2242</v>
      </c>
      <c r="D60" s="18" t="s">
        <v>92</v>
      </c>
      <c r="E60" s="22">
        <v>60</v>
      </c>
      <c r="F60" s="22">
        <v>124</v>
      </c>
      <c r="G60" s="22">
        <f>F60-E60</f>
        <v>64</v>
      </c>
      <c r="H60" s="22">
        <f>IF(F60&gt;50,0.2*G60,0.1*G60)</f>
        <v>12.8</v>
      </c>
      <c r="I60" s="18" t="s">
        <v>110</v>
      </c>
      <c r="J60" s="18" t="s">
        <v>9</v>
      </c>
      <c r="K60" s="18" t="s">
        <v>85</v>
      </c>
    </row>
    <row r="61" spans="1:11" x14ac:dyDescent="0.2">
      <c r="A61" s="19" t="s">
        <v>98</v>
      </c>
      <c r="B61" s="20">
        <v>1060</v>
      </c>
      <c r="C61" s="18">
        <v>6119</v>
      </c>
      <c r="D61" s="18" t="s">
        <v>95</v>
      </c>
      <c r="E61" s="22">
        <v>9</v>
      </c>
      <c r="F61" s="22">
        <v>14</v>
      </c>
      <c r="G61" s="22">
        <f>F61-E61</f>
        <v>5</v>
      </c>
      <c r="H61" s="22">
        <f>IF(F61&gt;50,0.2*G61,0.1*G61)</f>
        <v>0.5</v>
      </c>
      <c r="I61" s="18" t="s">
        <v>110</v>
      </c>
      <c r="J61" s="18" t="s">
        <v>9</v>
      </c>
      <c r="K61" s="18" t="s">
        <v>93</v>
      </c>
    </row>
    <row r="62" spans="1:11" x14ac:dyDescent="0.2">
      <c r="A62" s="19" t="s">
        <v>99</v>
      </c>
      <c r="B62" s="20">
        <v>1061</v>
      </c>
      <c r="C62" s="18">
        <v>1109</v>
      </c>
      <c r="D62" s="18" t="s">
        <v>87</v>
      </c>
      <c r="E62" s="22">
        <v>3</v>
      </c>
      <c r="F62" s="22">
        <v>8</v>
      </c>
      <c r="G62" s="22">
        <f>F62-E62</f>
        <v>5</v>
      </c>
      <c r="H62" s="22">
        <f>IF(F62&gt;50,0.2*G62,0.1*G62)</f>
        <v>0.5</v>
      </c>
      <c r="I62" s="18" t="s">
        <v>110</v>
      </c>
      <c r="J62" s="18" t="s">
        <v>9</v>
      </c>
      <c r="K62" s="18" t="s">
        <v>93</v>
      </c>
    </row>
    <row r="63" spans="1:11" x14ac:dyDescent="0.2">
      <c r="A63" s="19" t="s">
        <v>99</v>
      </c>
      <c r="B63" s="20">
        <v>1062</v>
      </c>
      <c r="C63" s="18">
        <v>2499</v>
      </c>
      <c r="D63" s="18" t="s">
        <v>84</v>
      </c>
      <c r="E63" s="22">
        <v>6.2</v>
      </c>
      <c r="F63" s="22">
        <v>9.1999999999999993</v>
      </c>
      <c r="G63" s="22">
        <f>F63-E63</f>
        <v>2.9999999999999991</v>
      </c>
      <c r="H63" s="22">
        <f>IF(F63&gt;50,0.2*G63,0.1*G63)</f>
        <v>0.29999999999999993</v>
      </c>
      <c r="I63" s="18" t="s">
        <v>107</v>
      </c>
      <c r="J63" s="18" t="s">
        <v>108</v>
      </c>
      <c r="K63" s="18" t="s">
        <v>85</v>
      </c>
    </row>
    <row r="64" spans="1:11" x14ac:dyDescent="0.2">
      <c r="A64" s="19" t="s">
        <v>99</v>
      </c>
      <c r="B64" s="20">
        <v>1063</v>
      </c>
      <c r="C64" s="18">
        <v>1109</v>
      </c>
      <c r="D64" s="18" t="s">
        <v>87</v>
      </c>
      <c r="E64" s="22">
        <v>3</v>
      </c>
      <c r="F64" s="22">
        <v>8</v>
      </c>
      <c r="G64" s="22">
        <f>F64-E64</f>
        <v>5</v>
      </c>
      <c r="H64" s="22">
        <f>IF(F64&gt;50,0.2*G64,0.1*G64)</f>
        <v>0.5</v>
      </c>
      <c r="I64" s="18" t="s">
        <v>110</v>
      </c>
      <c r="J64" s="18" t="s">
        <v>9</v>
      </c>
      <c r="K64" s="18" t="s">
        <v>83</v>
      </c>
    </row>
    <row r="65" spans="1:11" x14ac:dyDescent="0.2">
      <c r="A65" s="19" t="s">
        <v>99</v>
      </c>
      <c r="B65" s="20">
        <v>1064</v>
      </c>
      <c r="C65" s="18">
        <v>2499</v>
      </c>
      <c r="D65" s="18" t="s">
        <v>84</v>
      </c>
      <c r="E65" s="22">
        <v>6.2</v>
      </c>
      <c r="F65" s="22">
        <v>9.1999999999999993</v>
      </c>
      <c r="G65" s="22">
        <f>F65-E65</f>
        <v>2.9999999999999991</v>
      </c>
      <c r="H65" s="22">
        <f>IF(F65&gt;50,0.2*G65,0.1*G65)</f>
        <v>0.29999999999999993</v>
      </c>
      <c r="I65" s="18" t="s">
        <v>111</v>
      </c>
      <c r="J65" s="18" t="s">
        <v>112</v>
      </c>
      <c r="K65" s="18" t="s">
        <v>85</v>
      </c>
    </row>
    <row r="66" spans="1:11" x14ac:dyDescent="0.2">
      <c r="A66" s="19" t="s">
        <v>99</v>
      </c>
      <c r="B66" s="20">
        <v>1065</v>
      </c>
      <c r="C66" s="18">
        <v>2499</v>
      </c>
      <c r="D66" s="18" t="s">
        <v>84</v>
      </c>
      <c r="E66" s="22">
        <v>6.2</v>
      </c>
      <c r="F66" s="22">
        <v>9.1999999999999993</v>
      </c>
      <c r="G66" s="22">
        <f>F66-E66</f>
        <v>2.9999999999999991</v>
      </c>
      <c r="H66" s="22">
        <f>IF(F66&gt;50,0.2*G66,0.1*G66)</f>
        <v>0.29999999999999993</v>
      </c>
      <c r="I66" s="18" t="s">
        <v>110</v>
      </c>
      <c r="J66" s="18" t="s">
        <v>9</v>
      </c>
      <c r="K66" s="18" t="s">
        <v>81</v>
      </c>
    </row>
    <row r="67" spans="1:11" x14ac:dyDescent="0.2">
      <c r="A67" s="19" t="s">
        <v>99</v>
      </c>
      <c r="B67" s="20">
        <v>1066</v>
      </c>
      <c r="C67" s="18">
        <v>2877</v>
      </c>
      <c r="D67" s="18" t="s">
        <v>82</v>
      </c>
      <c r="E67" s="22">
        <v>11.4</v>
      </c>
      <c r="F67" s="22">
        <v>16.3</v>
      </c>
      <c r="G67" s="22">
        <f>F67-E67</f>
        <v>4.9000000000000004</v>
      </c>
      <c r="H67" s="22">
        <f>IF(F67&gt;50,0.2*G67,0.1*G67)</f>
        <v>0.49000000000000005</v>
      </c>
      <c r="I67" s="18" t="s">
        <v>110</v>
      </c>
      <c r="J67" s="18" t="s">
        <v>9</v>
      </c>
      <c r="K67" s="18" t="s">
        <v>93</v>
      </c>
    </row>
    <row r="68" spans="1:11" x14ac:dyDescent="0.2">
      <c r="A68" s="19" t="s">
        <v>99</v>
      </c>
      <c r="B68" s="20">
        <v>1067</v>
      </c>
      <c r="C68" s="18">
        <v>2877</v>
      </c>
      <c r="D68" s="18" t="s">
        <v>82</v>
      </c>
      <c r="E68" s="22">
        <v>11.4</v>
      </c>
      <c r="F68" s="22">
        <v>16.3</v>
      </c>
      <c r="G68" s="22">
        <f>F68-E68</f>
        <v>4.9000000000000004</v>
      </c>
      <c r="H68" s="22">
        <f>IF(F68&gt;50,0.2*G68,0.1*G68)</f>
        <v>0.49000000000000005</v>
      </c>
      <c r="I68" s="18" t="s">
        <v>110</v>
      </c>
      <c r="J68" s="18" t="s">
        <v>9</v>
      </c>
      <c r="K68" s="18" t="s">
        <v>94</v>
      </c>
    </row>
    <row r="69" spans="1:11" x14ac:dyDescent="0.2">
      <c r="A69" s="19" t="s">
        <v>99</v>
      </c>
      <c r="B69" s="20">
        <v>1068</v>
      </c>
      <c r="C69" s="18">
        <v>6119</v>
      </c>
      <c r="D69" s="18" t="s">
        <v>95</v>
      </c>
      <c r="E69" s="22">
        <v>9</v>
      </c>
      <c r="F69" s="22">
        <v>14</v>
      </c>
      <c r="G69" s="22">
        <f>F69-E69</f>
        <v>5</v>
      </c>
      <c r="H69" s="22">
        <f>IF(F69&gt;50,0.2*G69,0.1*G69)</f>
        <v>0.5</v>
      </c>
      <c r="I69" s="18" t="s">
        <v>109</v>
      </c>
      <c r="J69" s="18" t="s">
        <v>8</v>
      </c>
      <c r="K69" s="18" t="s">
        <v>83</v>
      </c>
    </row>
    <row r="70" spans="1:11" x14ac:dyDescent="0.2">
      <c r="A70" s="19" t="s">
        <v>99</v>
      </c>
      <c r="B70" s="20">
        <v>1069</v>
      </c>
      <c r="C70" s="18">
        <v>1109</v>
      </c>
      <c r="D70" s="18" t="s">
        <v>87</v>
      </c>
      <c r="E70" s="22">
        <v>3</v>
      </c>
      <c r="F70" s="22">
        <v>8</v>
      </c>
      <c r="G70" s="22">
        <f>F70-E70</f>
        <v>5</v>
      </c>
      <c r="H70" s="22">
        <f>IF(F70&gt;50,0.2*G70,0.1*G70)</f>
        <v>0.5</v>
      </c>
      <c r="I70" s="18" t="s">
        <v>110</v>
      </c>
      <c r="J70" s="18" t="s">
        <v>9</v>
      </c>
      <c r="K70" s="18" t="s">
        <v>85</v>
      </c>
    </row>
    <row r="71" spans="1:11" x14ac:dyDescent="0.2">
      <c r="A71" s="19" t="s">
        <v>99</v>
      </c>
      <c r="B71" s="20">
        <v>1070</v>
      </c>
      <c r="C71" s="18">
        <v>2499</v>
      </c>
      <c r="D71" s="18" t="s">
        <v>84</v>
      </c>
      <c r="E71" s="22">
        <v>6.2</v>
      </c>
      <c r="F71" s="22">
        <v>9.1999999999999993</v>
      </c>
      <c r="G71" s="22">
        <f>F71-E71</f>
        <v>2.9999999999999991</v>
      </c>
      <c r="H71" s="22">
        <f>IF(F71&gt;50,0.2*G71,0.1*G71)</f>
        <v>0.29999999999999993</v>
      </c>
      <c r="I71" s="18" t="s">
        <v>111</v>
      </c>
      <c r="J71" s="18" t="s">
        <v>112</v>
      </c>
      <c r="K71" s="18" t="s">
        <v>85</v>
      </c>
    </row>
    <row r="72" spans="1:11" x14ac:dyDescent="0.2">
      <c r="A72" s="19" t="s">
        <v>99</v>
      </c>
      <c r="B72" s="20">
        <v>1071</v>
      </c>
      <c r="C72" s="18">
        <v>1109</v>
      </c>
      <c r="D72" s="18" t="s">
        <v>87</v>
      </c>
      <c r="E72" s="22">
        <v>3</v>
      </c>
      <c r="F72" s="22">
        <v>8</v>
      </c>
      <c r="G72" s="22">
        <f>F72-E72</f>
        <v>5</v>
      </c>
      <c r="H72" s="22">
        <f>IF(F72&gt;50,0.2*G72,0.1*G72)</f>
        <v>0.5</v>
      </c>
      <c r="I72" s="18" t="s">
        <v>107</v>
      </c>
      <c r="J72" s="18" t="s">
        <v>108</v>
      </c>
      <c r="K72" s="18" t="s">
        <v>85</v>
      </c>
    </row>
    <row r="73" spans="1:11" x14ac:dyDescent="0.2">
      <c r="A73" s="19" t="s">
        <v>99</v>
      </c>
      <c r="B73" s="20">
        <v>1072</v>
      </c>
      <c r="C73" s="18">
        <v>1109</v>
      </c>
      <c r="D73" s="18" t="s">
        <v>87</v>
      </c>
      <c r="E73" s="22">
        <v>3</v>
      </c>
      <c r="F73" s="22">
        <v>8</v>
      </c>
      <c r="G73" s="22">
        <f>F73-E73</f>
        <v>5</v>
      </c>
      <c r="H73" s="22">
        <f>IF(F73&gt;50,0.2*G73,0.1*G73)</f>
        <v>0.5</v>
      </c>
      <c r="I73" s="18" t="s">
        <v>110</v>
      </c>
      <c r="J73" s="18" t="s">
        <v>9</v>
      </c>
      <c r="K73" s="18" t="s">
        <v>93</v>
      </c>
    </row>
    <row r="74" spans="1:11" x14ac:dyDescent="0.2">
      <c r="A74" s="19" t="s">
        <v>99</v>
      </c>
      <c r="B74" s="20">
        <v>1073</v>
      </c>
      <c r="C74" s="18">
        <v>6622</v>
      </c>
      <c r="D74" s="18" t="s">
        <v>97</v>
      </c>
      <c r="E74" s="22">
        <v>42</v>
      </c>
      <c r="F74" s="22">
        <v>77</v>
      </c>
      <c r="G74" s="22">
        <f>F74-E74</f>
        <v>35</v>
      </c>
      <c r="H74" s="22">
        <f>IF(F74&gt;50,0.2*G74,0.1*G74)</f>
        <v>7</v>
      </c>
      <c r="I74" s="18" t="s">
        <v>110</v>
      </c>
      <c r="J74" s="18" t="s">
        <v>9</v>
      </c>
      <c r="K74" s="18" t="s">
        <v>83</v>
      </c>
    </row>
    <row r="75" spans="1:11" x14ac:dyDescent="0.2">
      <c r="A75" s="19" t="s">
        <v>99</v>
      </c>
      <c r="B75" s="20">
        <v>1074</v>
      </c>
      <c r="C75" s="18">
        <v>2877</v>
      </c>
      <c r="D75" s="18" t="s">
        <v>82</v>
      </c>
      <c r="E75" s="22">
        <v>11.4</v>
      </c>
      <c r="F75" s="22">
        <v>16.3</v>
      </c>
      <c r="G75" s="22">
        <f>F75-E75</f>
        <v>4.9000000000000004</v>
      </c>
      <c r="H75" s="22">
        <f>IF(F75&gt;50,0.2*G75,0.1*G75)</f>
        <v>0.49000000000000005</v>
      </c>
      <c r="I75" s="18" t="s">
        <v>110</v>
      </c>
      <c r="J75" s="18" t="s">
        <v>9</v>
      </c>
      <c r="K75" s="18" t="s">
        <v>85</v>
      </c>
    </row>
    <row r="76" spans="1:11" x14ac:dyDescent="0.2">
      <c r="A76" s="19" t="s">
        <v>99</v>
      </c>
      <c r="B76" s="20">
        <v>1075</v>
      </c>
      <c r="C76" s="18">
        <v>1109</v>
      </c>
      <c r="D76" s="18" t="s">
        <v>87</v>
      </c>
      <c r="E76" s="22">
        <v>3</v>
      </c>
      <c r="F76" s="22">
        <v>8</v>
      </c>
      <c r="G76" s="22">
        <f>F76-E76</f>
        <v>5</v>
      </c>
      <c r="H76" s="22">
        <f>IF(F76&gt;50,0.2*G76,0.1*G76)</f>
        <v>0.5</v>
      </c>
      <c r="I76" s="18" t="s">
        <v>111</v>
      </c>
      <c r="J76" s="18" t="s">
        <v>112</v>
      </c>
      <c r="K76" s="18" t="s">
        <v>83</v>
      </c>
    </row>
    <row r="77" spans="1:11" x14ac:dyDescent="0.2">
      <c r="A77" s="19" t="s">
        <v>99</v>
      </c>
      <c r="B77" s="20">
        <v>1076</v>
      </c>
      <c r="C77" s="18">
        <v>1109</v>
      </c>
      <c r="D77" s="18" t="s">
        <v>87</v>
      </c>
      <c r="E77" s="22">
        <v>3</v>
      </c>
      <c r="F77" s="22">
        <v>8</v>
      </c>
      <c r="G77" s="22">
        <f>F77-E77</f>
        <v>5</v>
      </c>
      <c r="H77" s="22">
        <f>IF(F77&gt;50,0.2*G77,0.1*G77)</f>
        <v>0.5</v>
      </c>
      <c r="I77" s="18" t="s">
        <v>109</v>
      </c>
      <c r="J77" s="18" t="s">
        <v>8</v>
      </c>
      <c r="K77" s="18" t="s">
        <v>85</v>
      </c>
    </row>
    <row r="78" spans="1:11" x14ac:dyDescent="0.2">
      <c r="A78" s="19" t="s">
        <v>99</v>
      </c>
      <c r="B78" s="20">
        <v>1077</v>
      </c>
      <c r="C78" s="18">
        <v>9822</v>
      </c>
      <c r="D78" s="18" t="s">
        <v>80</v>
      </c>
      <c r="E78" s="22">
        <v>58.3</v>
      </c>
      <c r="F78" s="22">
        <v>98.4</v>
      </c>
      <c r="G78" s="22">
        <f>F78-E78</f>
        <v>40.100000000000009</v>
      </c>
      <c r="H78" s="22">
        <f>IF(F78&gt;50,0.2*G78,0.1*G78)</f>
        <v>8.0200000000000014</v>
      </c>
      <c r="I78" s="18" t="s">
        <v>111</v>
      </c>
      <c r="J78" s="18" t="s">
        <v>112</v>
      </c>
      <c r="K78" s="18" t="s">
        <v>85</v>
      </c>
    </row>
    <row r="79" spans="1:11" x14ac:dyDescent="0.2">
      <c r="A79" s="19" t="s">
        <v>99</v>
      </c>
      <c r="B79" s="20">
        <v>1078</v>
      </c>
      <c r="C79" s="18">
        <v>2877</v>
      </c>
      <c r="D79" s="18" t="s">
        <v>82</v>
      </c>
      <c r="E79" s="22">
        <v>11.4</v>
      </c>
      <c r="F79" s="22">
        <v>16.3</v>
      </c>
      <c r="G79" s="22">
        <f>F79-E79</f>
        <v>4.9000000000000004</v>
      </c>
      <c r="H79" s="22">
        <f>IF(F79&gt;50,0.2*G79,0.1*G79)</f>
        <v>0.49000000000000005</v>
      </c>
      <c r="I79" s="18" t="s">
        <v>109</v>
      </c>
      <c r="J79" s="18" t="s">
        <v>8</v>
      </c>
      <c r="K79" s="18" t="s">
        <v>93</v>
      </c>
    </row>
    <row r="80" spans="1:11" x14ac:dyDescent="0.2">
      <c r="A80" s="19" t="s">
        <v>100</v>
      </c>
      <c r="B80" s="20">
        <v>1079</v>
      </c>
      <c r="C80" s="18">
        <v>2877</v>
      </c>
      <c r="D80" s="18" t="s">
        <v>82</v>
      </c>
      <c r="E80" s="22">
        <v>11.4</v>
      </c>
      <c r="F80" s="22">
        <v>16.3</v>
      </c>
      <c r="G80" s="22">
        <f>F80-E80</f>
        <v>4.9000000000000004</v>
      </c>
      <c r="H80" s="22">
        <f>IF(F80&gt;50,0.2*G80,0.1*G80)</f>
        <v>0.49000000000000005</v>
      </c>
      <c r="I80" s="18" t="s">
        <v>109</v>
      </c>
      <c r="J80" s="18" t="s">
        <v>8</v>
      </c>
      <c r="K80" s="18" t="s">
        <v>81</v>
      </c>
    </row>
    <row r="81" spans="1:11" x14ac:dyDescent="0.2">
      <c r="A81" s="19" t="s">
        <v>100</v>
      </c>
      <c r="B81" s="20">
        <v>1080</v>
      </c>
      <c r="C81" s="18">
        <v>4421</v>
      </c>
      <c r="D81" s="18" t="s">
        <v>89</v>
      </c>
      <c r="E81" s="22">
        <v>45</v>
      </c>
      <c r="F81" s="22">
        <v>87</v>
      </c>
      <c r="G81" s="22">
        <f>F81-E81</f>
        <v>42</v>
      </c>
      <c r="H81" s="22">
        <f>IF(F81&gt;50,0.2*G81,0.1*G81)</f>
        <v>8.4</v>
      </c>
      <c r="I81" s="18" t="s">
        <v>110</v>
      </c>
      <c r="J81" s="18" t="s">
        <v>9</v>
      </c>
      <c r="K81" s="18" t="s">
        <v>83</v>
      </c>
    </row>
    <row r="82" spans="1:11" x14ac:dyDescent="0.2">
      <c r="A82" s="19" t="s">
        <v>100</v>
      </c>
      <c r="B82" s="20">
        <v>1081</v>
      </c>
      <c r="C82" s="18">
        <v>6119</v>
      </c>
      <c r="D82" s="18" t="s">
        <v>95</v>
      </c>
      <c r="E82" s="22">
        <v>9</v>
      </c>
      <c r="F82" s="22">
        <v>14</v>
      </c>
      <c r="G82" s="22">
        <f>F82-E82</f>
        <v>5</v>
      </c>
      <c r="H82" s="22">
        <f>IF(F82&gt;50,0.2*G82,0.1*G82)</f>
        <v>0.5</v>
      </c>
      <c r="I82" s="18" t="s">
        <v>110</v>
      </c>
      <c r="J82" s="18" t="s">
        <v>9</v>
      </c>
      <c r="K82" s="18" t="s">
        <v>94</v>
      </c>
    </row>
    <row r="83" spans="1:11" x14ac:dyDescent="0.2">
      <c r="A83" s="19" t="s">
        <v>100</v>
      </c>
      <c r="B83" s="20">
        <v>1082</v>
      </c>
      <c r="C83" s="18">
        <v>1109</v>
      </c>
      <c r="D83" s="18" t="s">
        <v>87</v>
      </c>
      <c r="E83" s="22">
        <v>3</v>
      </c>
      <c r="F83" s="22">
        <v>8</v>
      </c>
      <c r="G83" s="22">
        <f>F83-E83</f>
        <v>5</v>
      </c>
      <c r="H83" s="22">
        <f>IF(F83&gt;50,0.2*G83,0.1*G83)</f>
        <v>0.5</v>
      </c>
      <c r="I83" s="18" t="s">
        <v>107</v>
      </c>
      <c r="J83" s="18" t="s">
        <v>108</v>
      </c>
      <c r="K83" s="18" t="s">
        <v>83</v>
      </c>
    </row>
    <row r="84" spans="1:11" x14ac:dyDescent="0.2">
      <c r="A84" s="19" t="s">
        <v>100</v>
      </c>
      <c r="B84" s="20">
        <v>1083</v>
      </c>
      <c r="C84" s="18">
        <v>1109</v>
      </c>
      <c r="D84" s="18" t="s">
        <v>87</v>
      </c>
      <c r="E84" s="22">
        <v>3</v>
      </c>
      <c r="F84" s="22">
        <v>8</v>
      </c>
      <c r="G84" s="22">
        <f>F84-E84</f>
        <v>5</v>
      </c>
      <c r="H84" s="22">
        <f>IF(F84&gt;50,0.2*G84,0.1*G84)</f>
        <v>0.5</v>
      </c>
      <c r="I84" s="18" t="s">
        <v>107</v>
      </c>
      <c r="J84" s="18" t="s">
        <v>108</v>
      </c>
      <c r="K84" s="18" t="s">
        <v>93</v>
      </c>
    </row>
    <row r="85" spans="1:11" x14ac:dyDescent="0.2">
      <c r="A85" s="19" t="s">
        <v>100</v>
      </c>
      <c r="B85" s="20">
        <v>1084</v>
      </c>
      <c r="C85" s="18">
        <v>6119</v>
      </c>
      <c r="D85" s="18" t="s">
        <v>95</v>
      </c>
      <c r="E85" s="22">
        <v>9</v>
      </c>
      <c r="F85" s="22">
        <v>14</v>
      </c>
      <c r="G85" s="22">
        <f>F85-E85</f>
        <v>5</v>
      </c>
      <c r="H85" s="22">
        <f>IF(F85&gt;50,0.2*G85,0.1*G85)</f>
        <v>0.5</v>
      </c>
      <c r="I85" s="18" t="s">
        <v>107</v>
      </c>
      <c r="J85" s="18" t="s">
        <v>108</v>
      </c>
      <c r="K85" s="18" t="s">
        <v>85</v>
      </c>
    </row>
    <row r="86" spans="1:11" x14ac:dyDescent="0.2">
      <c r="A86" s="19" t="s">
        <v>100</v>
      </c>
      <c r="B86" s="20">
        <v>1085</v>
      </c>
      <c r="C86" s="18">
        <v>9822</v>
      </c>
      <c r="D86" s="18" t="s">
        <v>80</v>
      </c>
      <c r="E86" s="22">
        <v>58.3</v>
      </c>
      <c r="F86" s="22">
        <v>98.4</v>
      </c>
      <c r="G86" s="22">
        <f>F86-E86</f>
        <v>40.100000000000009</v>
      </c>
      <c r="H86" s="22">
        <f>IF(F86&gt;50,0.2*G86,0.1*G86)</f>
        <v>8.0200000000000014</v>
      </c>
      <c r="I86" s="18" t="s">
        <v>110</v>
      </c>
      <c r="J86" s="18" t="s">
        <v>9</v>
      </c>
      <c r="K86" s="18" t="s">
        <v>93</v>
      </c>
    </row>
    <row r="87" spans="1:11" x14ac:dyDescent="0.2">
      <c r="A87" s="19" t="s">
        <v>100</v>
      </c>
      <c r="B87" s="20">
        <v>1086</v>
      </c>
      <c r="C87" s="18">
        <v>1109</v>
      </c>
      <c r="D87" s="18" t="s">
        <v>87</v>
      </c>
      <c r="E87" s="22">
        <v>3</v>
      </c>
      <c r="F87" s="22">
        <v>8</v>
      </c>
      <c r="G87" s="22">
        <f>F87-E87</f>
        <v>5</v>
      </c>
      <c r="H87" s="22">
        <f>IF(F87&gt;50,0.2*G87,0.1*G87)</f>
        <v>0.5</v>
      </c>
      <c r="I87" s="18" t="s">
        <v>111</v>
      </c>
      <c r="J87" s="18" t="s">
        <v>112</v>
      </c>
      <c r="K87" s="18" t="s">
        <v>85</v>
      </c>
    </row>
    <row r="88" spans="1:11" x14ac:dyDescent="0.2">
      <c r="A88" s="19" t="s">
        <v>100</v>
      </c>
      <c r="B88" s="20">
        <v>1087</v>
      </c>
      <c r="C88" s="18">
        <v>2499</v>
      </c>
      <c r="D88" s="18" t="s">
        <v>84</v>
      </c>
      <c r="E88" s="22">
        <v>6.2</v>
      </c>
      <c r="F88" s="22">
        <v>9.1999999999999993</v>
      </c>
      <c r="G88" s="22">
        <f>F88-E88</f>
        <v>2.9999999999999991</v>
      </c>
      <c r="H88" s="22">
        <f>IF(F88&gt;50,0.2*G88,0.1*G88)</f>
        <v>0.29999999999999993</v>
      </c>
      <c r="I88" s="18" t="s">
        <v>107</v>
      </c>
      <c r="J88" s="18" t="s">
        <v>108</v>
      </c>
      <c r="K88" s="18" t="s">
        <v>83</v>
      </c>
    </row>
    <row r="89" spans="1:11" x14ac:dyDescent="0.2">
      <c r="A89" s="19" t="s">
        <v>100</v>
      </c>
      <c r="B89" s="20">
        <v>1088</v>
      </c>
      <c r="C89" s="18">
        <v>2499</v>
      </c>
      <c r="D89" s="18" t="s">
        <v>84</v>
      </c>
      <c r="E89" s="22">
        <v>6.2</v>
      </c>
      <c r="F89" s="22">
        <v>9.1999999999999993</v>
      </c>
      <c r="G89" s="22">
        <f>F89-E89</f>
        <v>2.9999999999999991</v>
      </c>
      <c r="H89" s="22">
        <f>IF(F89&gt;50,0.2*G89,0.1*G89)</f>
        <v>0.29999999999999993</v>
      </c>
      <c r="I89" s="18" t="s">
        <v>107</v>
      </c>
      <c r="J89" s="18" t="s">
        <v>108</v>
      </c>
      <c r="K89" s="18" t="s">
        <v>81</v>
      </c>
    </row>
    <row r="90" spans="1:11" x14ac:dyDescent="0.2">
      <c r="A90" s="19" t="s">
        <v>100</v>
      </c>
      <c r="B90" s="20">
        <v>1089</v>
      </c>
      <c r="C90" s="18">
        <v>6119</v>
      </c>
      <c r="D90" s="18" t="s">
        <v>95</v>
      </c>
      <c r="E90" s="22">
        <v>9</v>
      </c>
      <c r="F90" s="22">
        <v>14</v>
      </c>
      <c r="G90" s="22">
        <f>F90-E90</f>
        <v>5</v>
      </c>
      <c r="H90" s="22">
        <f>IF(F90&gt;50,0.2*G90,0.1*G90)</f>
        <v>0.5</v>
      </c>
      <c r="I90" s="18" t="s">
        <v>110</v>
      </c>
      <c r="J90" s="18" t="s">
        <v>9</v>
      </c>
      <c r="K90" s="18" t="s">
        <v>93</v>
      </c>
    </row>
    <row r="91" spans="1:11" x14ac:dyDescent="0.2">
      <c r="A91" s="19" t="s">
        <v>100</v>
      </c>
      <c r="B91" s="20">
        <v>1090</v>
      </c>
      <c r="C91" s="18">
        <v>2877</v>
      </c>
      <c r="D91" s="18" t="s">
        <v>82</v>
      </c>
      <c r="E91" s="22">
        <v>11.4</v>
      </c>
      <c r="F91" s="22">
        <v>16.3</v>
      </c>
      <c r="G91" s="22">
        <f>F91-E91</f>
        <v>4.9000000000000004</v>
      </c>
      <c r="H91" s="22">
        <f>IF(F91&gt;50,0.2*G91,0.1*G91)</f>
        <v>0.49000000000000005</v>
      </c>
      <c r="I91" s="18" t="s">
        <v>107</v>
      </c>
      <c r="J91" s="18" t="s">
        <v>108</v>
      </c>
      <c r="K91" s="18" t="s">
        <v>83</v>
      </c>
    </row>
    <row r="92" spans="1:11" x14ac:dyDescent="0.2">
      <c r="A92" s="19" t="s">
        <v>100</v>
      </c>
      <c r="B92" s="20">
        <v>1091</v>
      </c>
      <c r="C92" s="18">
        <v>2877</v>
      </c>
      <c r="D92" s="18" t="s">
        <v>82</v>
      </c>
      <c r="E92" s="22">
        <v>11.4</v>
      </c>
      <c r="F92" s="22">
        <v>16.3</v>
      </c>
      <c r="G92" s="22">
        <f>F92-E92</f>
        <v>4.9000000000000004</v>
      </c>
      <c r="H92" s="22">
        <f>IF(F92&gt;50,0.2*G92,0.1*G92)</f>
        <v>0.49000000000000005</v>
      </c>
      <c r="I92" s="18" t="s">
        <v>111</v>
      </c>
      <c r="J92" s="18" t="s">
        <v>112</v>
      </c>
      <c r="K92" s="18" t="s">
        <v>93</v>
      </c>
    </row>
    <row r="93" spans="1:11" x14ac:dyDescent="0.2">
      <c r="A93" s="19" t="s">
        <v>100</v>
      </c>
      <c r="B93" s="20">
        <v>1092</v>
      </c>
      <c r="C93" s="18">
        <v>2877</v>
      </c>
      <c r="D93" s="18" t="s">
        <v>82</v>
      </c>
      <c r="E93" s="22">
        <v>11.4</v>
      </c>
      <c r="F93" s="22">
        <v>16.3</v>
      </c>
      <c r="G93" s="22">
        <f>F93-E93</f>
        <v>4.9000000000000004</v>
      </c>
      <c r="H93" s="22">
        <f>IF(F93&gt;50,0.2*G93,0.1*G93)</f>
        <v>0.49000000000000005</v>
      </c>
      <c r="I93" s="18" t="s">
        <v>110</v>
      </c>
      <c r="J93" s="18" t="s">
        <v>9</v>
      </c>
      <c r="K93" s="18" t="s">
        <v>83</v>
      </c>
    </row>
    <row r="94" spans="1:11" x14ac:dyDescent="0.2">
      <c r="A94" s="19" t="s">
        <v>100</v>
      </c>
      <c r="B94" s="20">
        <v>1093</v>
      </c>
      <c r="C94" s="18">
        <v>6119</v>
      </c>
      <c r="D94" s="18" t="s">
        <v>95</v>
      </c>
      <c r="E94" s="22">
        <v>9</v>
      </c>
      <c r="F94" s="22">
        <v>14</v>
      </c>
      <c r="G94" s="22">
        <f>F94-E94</f>
        <v>5</v>
      </c>
      <c r="H94" s="22">
        <f>IF(F94&gt;50,0.2*G94,0.1*G94)</f>
        <v>0.5</v>
      </c>
      <c r="I94" s="18" t="s">
        <v>109</v>
      </c>
      <c r="J94" s="18" t="s">
        <v>8</v>
      </c>
      <c r="K94" s="18" t="s">
        <v>85</v>
      </c>
    </row>
    <row r="95" spans="1:11" x14ac:dyDescent="0.2">
      <c r="A95" s="19" t="s">
        <v>100</v>
      </c>
      <c r="B95" s="20">
        <v>1094</v>
      </c>
      <c r="C95" s="18">
        <v>6119</v>
      </c>
      <c r="D95" s="18" t="s">
        <v>95</v>
      </c>
      <c r="E95" s="22">
        <v>9</v>
      </c>
      <c r="F95" s="22">
        <v>14</v>
      </c>
      <c r="G95" s="22">
        <f>F95-E95</f>
        <v>5</v>
      </c>
      <c r="H95" s="22">
        <f>IF(F95&gt;50,0.2*G95,0.1*G95)</f>
        <v>0.5</v>
      </c>
      <c r="I95" s="18" t="s">
        <v>110</v>
      </c>
      <c r="J95" s="18" t="s">
        <v>9</v>
      </c>
      <c r="K95" s="18" t="s">
        <v>83</v>
      </c>
    </row>
    <row r="96" spans="1:11" x14ac:dyDescent="0.2">
      <c r="A96" s="19" t="s">
        <v>100</v>
      </c>
      <c r="B96" s="20">
        <v>1095</v>
      </c>
      <c r="C96" s="18">
        <v>2499</v>
      </c>
      <c r="D96" s="18" t="s">
        <v>84</v>
      </c>
      <c r="E96" s="22">
        <v>6.2</v>
      </c>
      <c r="F96" s="22">
        <v>9.1999999999999993</v>
      </c>
      <c r="G96" s="22">
        <f>F96-E96</f>
        <v>2.9999999999999991</v>
      </c>
      <c r="H96" s="22">
        <f>IF(F96&gt;50,0.2*G96,0.1*G96)</f>
        <v>0.29999999999999993</v>
      </c>
      <c r="I96" s="18" t="s">
        <v>111</v>
      </c>
      <c r="J96" s="18" t="s">
        <v>112</v>
      </c>
      <c r="K96" s="18" t="s">
        <v>85</v>
      </c>
    </row>
    <row r="97" spans="1:11" x14ac:dyDescent="0.2">
      <c r="A97" s="19" t="s">
        <v>100</v>
      </c>
      <c r="B97" s="20">
        <v>1096</v>
      </c>
      <c r="C97" s="18">
        <v>6119</v>
      </c>
      <c r="D97" s="18" t="s">
        <v>95</v>
      </c>
      <c r="E97" s="22">
        <v>9</v>
      </c>
      <c r="F97" s="22">
        <v>14</v>
      </c>
      <c r="G97" s="22">
        <f>F97-E97</f>
        <v>5</v>
      </c>
      <c r="H97" s="22">
        <f>IF(F97&gt;50,0.2*G97,0.1*G97)</f>
        <v>0.5</v>
      </c>
      <c r="I97" s="18" t="s">
        <v>110</v>
      </c>
      <c r="J97" s="18" t="s">
        <v>9</v>
      </c>
      <c r="K97" s="18" t="s">
        <v>85</v>
      </c>
    </row>
    <row r="98" spans="1:11" x14ac:dyDescent="0.2">
      <c r="A98" s="19" t="s">
        <v>100</v>
      </c>
      <c r="B98" s="20">
        <v>1097</v>
      </c>
      <c r="C98" s="18">
        <v>9212</v>
      </c>
      <c r="D98" s="18" t="s">
        <v>90</v>
      </c>
      <c r="E98" s="22">
        <v>4</v>
      </c>
      <c r="F98" s="22">
        <v>7</v>
      </c>
      <c r="G98" s="22">
        <f>F98-E98</f>
        <v>3</v>
      </c>
      <c r="H98" s="22">
        <f>IF(F98&gt;50,0.2*G98,0.1*G98)</f>
        <v>0.30000000000000004</v>
      </c>
      <c r="I98" s="18" t="s">
        <v>111</v>
      </c>
      <c r="J98" s="18" t="s">
        <v>112</v>
      </c>
      <c r="K98" s="18" t="s">
        <v>93</v>
      </c>
    </row>
    <row r="99" spans="1:11" x14ac:dyDescent="0.2">
      <c r="A99" s="19" t="s">
        <v>100</v>
      </c>
      <c r="B99" s="20">
        <v>1098</v>
      </c>
      <c r="C99" s="18">
        <v>2877</v>
      </c>
      <c r="D99" s="18" t="s">
        <v>82</v>
      </c>
      <c r="E99" s="22">
        <v>11.4</v>
      </c>
      <c r="F99" s="22">
        <v>16.3</v>
      </c>
      <c r="G99" s="22">
        <f>F99-E99</f>
        <v>4.9000000000000004</v>
      </c>
      <c r="H99" s="22">
        <f>IF(F99&gt;50,0.2*G99,0.1*G99)</f>
        <v>0.49000000000000005</v>
      </c>
      <c r="I99" s="18" t="s">
        <v>109</v>
      </c>
      <c r="J99" s="18" t="s">
        <v>8</v>
      </c>
      <c r="K99" s="18" t="s">
        <v>81</v>
      </c>
    </row>
    <row r="100" spans="1:11" x14ac:dyDescent="0.2">
      <c r="A100" s="19" t="s">
        <v>101</v>
      </c>
      <c r="B100" s="20">
        <v>1099</v>
      </c>
      <c r="C100" s="18">
        <v>2877</v>
      </c>
      <c r="D100" s="18" t="s">
        <v>82</v>
      </c>
      <c r="E100" s="22">
        <v>11.4</v>
      </c>
      <c r="F100" s="22">
        <v>16.3</v>
      </c>
      <c r="G100" s="22">
        <f>F100-E100</f>
        <v>4.9000000000000004</v>
      </c>
      <c r="H100" s="22">
        <f>IF(F100&gt;50,0.2*G100,0.1*G100)</f>
        <v>0.49000000000000005</v>
      </c>
      <c r="I100" s="18" t="s">
        <v>110</v>
      </c>
      <c r="J100" s="18" t="s">
        <v>9</v>
      </c>
      <c r="K100" s="18" t="s">
        <v>83</v>
      </c>
    </row>
    <row r="101" spans="1:11" x14ac:dyDescent="0.2">
      <c r="A101" s="19" t="s">
        <v>101</v>
      </c>
      <c r="B101" s="20">
        <v>1100</v>
      </c>
      <c r="C101" s="18">
        <v>6119</v>
      </c>
      <c r="D101" s="18" t="s">
        <v>95</v>
      </c>
      <c r="E101" s="22">
        <v>9</v>
      </c>
      <c r="F101" s="22">
        <v>14</v>
      </c>
      <c r="G101" s="22">
        <f>F101-E101</f>
        <v>5</v>
      </c>
      <c r="H101" s="22">
        <f>IF(F101&gt;50,0.2*G101,0.1*G101)</f>
        <v>0.5</v>
      </c>
      <c r="I101" s="18" t="s">
        <v>107</v>
      </c>
      <c r="J101" s="18" t="s">
        <v>108</v>
      </c>
      <c r="K101" s="18" t="s">
        <v>94</v>
      </c>
    </row>
    <row r="102" spans="1:11" x14ac:dyDescent="0.2">
      <c r="A102" s="19" t="s">
        <v>101</v>
      </c>
      <c r="B102" s="20">
        <v>1101</v>
      </c>
      <c r="C102" s="18">
        <v>2499</v>
      </c>
      <c r="D102" s="18" t="s">
        <v>84</v>
      </c>
      <c r="E102" s="22">
        <v>6.2</v>
      </c>
      <c r="F102" s="22">
        <v>9.1999999999999993</v>
      </c>
      <c r="G102" s="22">
        <f>F102-E102</f>
        <v>2.9999999999999991</v>
      </c>
      <c r="H102" s="22">
        <f>IF(F102&gt;50,0.2*G102,0.1*G102)</f>
        <v>0.29999999999999993</v>
      </c>
      <c r="I102" s="18" t="s">
        <v>110</v>
      </c>
      <c r="J102" s="18" t="s">
        <v>9</v>
      </c>
      <c r="K102" s="18" t="s">
        <v>83</v>
      </c>
    </row>
    <row r="103" spans="1:11" x14ac:dyDescent="0.2">
      <c r="A103" s="19" t="s">
        <v>101</v>
      </c>
      <c r="B103" s="20">
        <v>1102</v>
      </c>
      <c r="C103" s="18">
        <v>2242</v>
      </c>
      <c r="D103" s="18" t="s">
        <v>92</v>
      </c>
      <c r="E103" s="22">
        <v>60</v>
      </c>
      <c r="F103" s="22">
        <v>124</v>
      </c>
      <c r="G103" s="22">
        <f>F103-E103</f>
        <v>64</v>
      </c>
      <c r="H103" s="22">
        <f>IF(F103&gt;50,0.2*G103,0.1*G103)</f>
        <v>12.8</v>
      </c>
      <c r="I103" s="18" t="s">
        <v>109</v>
      </c>
      <c r="J103" s="18" t="s">
        <v>8</v>
      </c>
      <c r="K103" s="18" t="s">
        <v>93</v>
      </c>
    </row>
    <row r="104" spans="1:11" x14ac:dyDescent="0.2">
      <c r="A104" s="19" t="s">
        <v>101</v>
      </c>
      <c r="B104" s="20">
        <v>1103</v>
      </c>
      <c r="C104" s="18">
        <v>2877</v>
      </c>
      <c r="D104" s="18" t="s">
        <v>82</v>
      </c>
      <c r="E104" s="22">
        <v>11.4</v>
      </c>
      <c r="F104" s="22">
        <v>16.3</v>
      </c>
      <c r="G104" s="22">
        <f>F104-E104</f>
        <v>4.9000000000000004</v>
      </c>
      <c r="H104" s="22">
        <f>IF(F104&gt;50,0.2*G104,0.1*G104)</f>
        <v>0.49000000000000005</v>
      </c>
      <c r="I104" s="18" t="s">
        <v>109</v>
      </c>
      <c r="J104" s="18" t="s">
        <v>8</v>
      </c>
      <c r="K104" s="18" t="s">
        <v>85</v>
      </c>
    </row>
    <row r="105" spans="1:11" x14ac:dyDescent="0.2">
      <c r="A105" s="19" t="s">
        <v>101</v>
      </c>
      <c r="B105" s="20">
        <v>1104</v>
      </c>
      <c r="C105" s="18">
        <v>2877</v>
      </c>
      <c r="D105" s="18" t="s">
        <v>82</v>
      </c>
      <c r="E105" s="22">
        <v>11.4</v>
      </c>
      <c r="F105" s="22">
        <v>16.3</v>
      </c>
      <c r="G105" s="22">
        <f>F105-E105</f>
        <v>4.9000000000000004</v>
      </c>
      <c r="H105" s="22">
        <f>IF(F105&gt;50,0.2*G105,0.1*G105)</f>
        <v>0.49000000000000005</v>
      </c>
      <c r="I105" s="18" t="s">
        <v>110</v>
      </c>
      <c r="J105" s="18" t="s">
        <v>9</v>
      </c>
      <c r="K105" s="18" t="s">
        <v>93</v>
      </c>
    </row>
    <row r="106" spans="1:11" x14ac:dyDescent="0.2">
      <c r="A106" s="19" t="s">
        <v>101</v>
      </c>
      <c r="B106" s="20">
        <v>1105</v>
      </c>
      <c r="C106" s="18">
        <v>2499</v>
      </c>
      <c r="D106" s="18" t="s">
        <v>84</v>
      </c>
      <c r="E106" s="22">
        <v>6.2</v>
      </c>
      <c r="F106" s="22">
        <v>9.1999999999999993</v>
      </c>
      <c r="G106" s="22">
        <f>F106-E106</f>
        <v>2.9999999999999991</v>
      </c>
      <c r="H106" s="22">
        <f>IF(F106&gt;50,0.2*G106,0.1*G106)</f>
        <v>0.29999999999999993</v>
      </c>
      <c r="I106" s="18" t="s">
        <v>109</v>
      </c>
      <c r="J106" s="18" t="s">
        <v>8</v>
      </c>
      <c r="K106" s="18" t="s">
        <v>85</v>
      </c>
    </row>
    <row r="107" spans="1:11" x14ac:dyDescent="0.2">
      <c r="A107" s="19" t="s">
        <v>101</v>
      </c>
      <c r="B107" s="20">
        <v>1106</v>
      </c>
      <c r="C107" s="18">
        <v>9822</v>
      </c>
      <c r="D107" s="18" t="s">
        <v>80</v>
      </c>
      <c r="E107" s="22">
        <v>58.3</v>
      </c>
      <c r="F107" s="22">
        <v>98.4</v>
      </c>
      <c r="G107" s="22">
        <f>F107-E107</f>
        <v>40.100000000000009</v>
      </c>
      <c r="H107" s="22">
        <f>IF(F107&gt;50,0.2*G107,0.1*G107)</f>
        <v>8.0200000000000014</v>
      </c>
      <c r="I107" s="18" t="s">
        <v>109</v>
      </c>
      <c r="J107" s="18" t="s">
        <v>8</v>
      </c>
      <c r="K107" s="18" t="s">
        <v>83</v>
      </c>
    </row>
    <row r="108" spans="1:11" x14ac:dyDescent="0.2">
      <c r="A108" s="19" t="s">
        <v>101</v>
      </c>
      <c r="B108" s="20">
        <v>1107</v>
      </c>
      <c r="C108" s="18">
        <v>1109</v>
      </c>
      <c r="D108" s="18" t="s">
        <v>87</v>
      </c>
      <c r="E108" s="22">
        <v>3</v>
      </c>
      <c r="F108" s="22">
        <v>8</v>
      </c>
      <c r="G108" s="22">
        <f>F108-E108</f>
        <v>5</v>
      </c>
      <c r="H108" s="22">
        <f>IF(F108&gt;50,0.2*G108,0.1*G108)</f>
        <v>0.5</v>
      </c>
      <c r="I108" s="18" t="s">
        <v>111</v>
      </c>
      <c r="J108" s="18" t="s">
        <v>112</v>
      </c>
      <c r="K108" s="18" t="s">
        <v>81</v>
      </c>
    </row>
    <row r="109" spans="1:11" x14ac:dyDescent="0.2">
      <c r="A109" s="19" t="s">
        <v>101</v>
      </c>
      <c r="B109" s="20">
        <v>1108</v>
      </c>
      <c r="C109" s="18">
        <v>9822</v>
      </c>
      <c r="D109" s="18" t="s">
        <v>80</v>
      </c>
      <c r="E109" s="22">
        <v>58.3</v>
      </c>
      <c r="F109" s="22">
        <v>98.4</v>
      </c>
      <c r="G109" s="22">
        <f>F109-E109</f>
        <v>40.100000000000009</v>
      </c>
      <c r="H109" s="22">
        <f>IF(F109&gt;50,0.2*G109,0.1*G109)</f>
        <v>8.0200000000000014</v>
      </c>
      <c r="I109" s="18" t="s">
        <v>110</v>
      </c>
      <c r="J109" s="18" t="s">
        <v>9</v>
      </c>
      <c r="K109" s="18" t="s">
        <v>93</v>
      </c>
    </row>
    <row r="110" spans="1:11" x14ac:dyDescent="0.2">
      <c r="A110" s="19" t="s">
        <v>101</v>
      </c>
      <c r="B110" s="20">
        <v>1109</v>
      </c>
      <c r="C110" s="18">
        <v>8722</v>
      </c>
      <c r="D110" s="18" t="s">
        <v>86</v>
      </c>
      <c r="E110" s="22">
        <v>344</v>
      </c>
      <c r="F110" s="22">
        <v>502</v>
      </c>
      <c r="G110" s="22">
        <f>F110-E110</f>
        <v>158</v>
      </c>
      <c r="H110" s="22">
        <f>IF(F110&gt;50,0.2*G110,0.1*G110)</f>
        <v>31.6</v>
      </c>
      <c r="I110" s="18" t="s">
        <v>109</v>
      </c>
      <c r="J110" s="18" t="s">
        <v>8</v>
      </c>
      <c r="K110" s="18" t="s">
        <v>83</v>
      </c>
    </row>
    <row r="111" spans="1:11" x14ac:dyDescent="0.2">
      <c r="A111" s="19" t="s">
        <v>101</v>
      </c>
      <c r="B111" s="20">
        <v>1110</v>
      </c>
      <c r="C111" s="18">
        <v>8722</v>
      </c>
      <c r="D111" s="18" t="s">
        <v>86</v>
      </c>
      <c r="E111" s="22">
        <v>344</v>
      </c>
      <c r="F111" s="22">
        <v>502</v>
      </c>
      <c r="G111" s="22">
        <f>F111-E111</f>
        <v>158</v>
      </c>
      <c r="H111" s="22">
        <f>IF(F111&gt;50,0.2*G111,0.1*G111)</f>
        <v>31.6</v>
      </c>
      <c r="I111" s="18" t="s">
        <v>111</v>
      </c>
      <c r="J111" s="18" t="s">
        <v>112</v>
      </c>
      <c r="K111" s="18" t="s">
        <v>93</v>
      </c>
    </row>
    <row r="112" spans="1:11" x14ac:dyDescent="0.2">
      <c r="A112" s="19" t="s">
        <v>101</v>
      </c>
      <c r="B112" s="20">
        <v>1111</v>
      </c>
      <c r="C112" s="18">
        <v>6622</v>
      </c>
      <c r="D112" s="18" t="s">
        <v>97</v>
      </c>
      <c r="E112" s="22">
        <v>42</v>
      </c>
      <c r="F112" s="22">
        <v>77</v>
      </c>
      <c r="G112" s="22">
        <f>F112-E112</f>
        <v>35</v>
      </c>
      <c r="H112" s="22">
        <f>IF(F112&gt;50,0.2*G112,0.1*G112)</f>
        <v>7</v>
      </c>
      <c r="I112" s="18" t="s">
        <v>111</v>
      </c>
      <c r="J112" s="18" t="s">
        <v>112</v>
      </c>
      <c r="K112" s="18" t="s">
        <v>83</v>
      </c>
    </row>
    <row r="113" spans="1:11" x14ac:dyDescent="0.2">
      <c r="A113" s="19" t="s">
        <v>101</v>
      </c>
      <c r="B113" s="20">
        <v>1112</v>
      </c>
      <c r="C113" s="18">
        <v>6622</v>
      </c>
      <c r="D113" s="18" t="s">
        <v>97</v>
      </c>
      <c r="E113" s="22">
        <v>42</v>
      </c>
      <c r="F113" s="22">
        <v>77</v>
      </c>
      <c r="G113" s="22">
        <f>F113-E113</f>
        <v>35</v>
      </c>
      <c r="H113" s="22">
        <f>IF(F113&gt;50,0.2*G113,0.1*G113)</f>
        <v>7</v>
      </c>
      <c r="I113" s="18" t="s">
        <v>110</v>
      </c>
      <c r="J113" s="18" t="s">
        <v>9</v>
      </c>
      <c r="K113" s="18" t="s">
        <v>85</v>
      </c>
    </row>
    <row r="114" spans="1:11" x14ac:dyDescent="0.2">
      <c r="A114" s="19" t="s">
        <v>101</v>
      </c>
      <c r="B114" s="20">
        <v>1113</v>
      </c>
      <c r="C114" s="18">
        <v>9822</v>
      </c>
      <c r="D114" s="18" t="s">
        <v>80</v>
      </c>
      <c r="E114" s="22">
        <v>58.3</v>
      </c>
      <c r="F114" s="22">
        <v>98.4</v>
      </c>
      <c r="G114" s="22">
        <f>F114-E114</f>
        <v>40.100000000000009</v>
      </c>
      <c r="H114" s="22">
        <f>IF(F114&gt;50,0.2*G114,0.1*G114)</f>
        <v>8.0200000000000014</v>
      </c>
      <c r="I114" s="18" t="s">
        <v>107</v>
      </c>
      <c r="J114" s="18" t="s">
        <v>108</v>
      </c>
      <c r="K114" s="18" t="s">
        <v>83</v>
      </c>
    </row>
    <row r="115" spans="1:11" x14ac:dyDescent="0.2">
      <c r="A115" s="19" t="s">
        <v>101</v>
      </c>
      <c r="B115" s="20">
        <v>1114</v>
      </c>
      <c r="C115" s="18">
        <v>2242</v>
      </c>
      <c r="D115" s="18" t="s">
        <v>92</v>
      </c>
      <c r="E115" s="22">
        <v>60</v>
      </c>
      <c r="F115" s="22">
        <v>124</v>
      </c>
      <c r="G115" s="22">
        <f>F115-E115</f>
        <v>64</v>
      </c>
      <c r="H115" s="22">
        <f>IF(F115&gt;50,0.2*G115,0.1*G115)</f>
        <v>12.8</v>
      </c>
      <c r="I115" s="18" t="s">
        <v>109</v>
      </c>
      <c r="J115" s="18" t="s">
        <v>8</v>
      </c>
      <c r="K115" s="18" t="s">
        <v>85</v>
      </c>
    </row>
    <row r="116" spans="1:11" x14ac:dyDescent="0.2">
      <c r="A116" s="19" t="s">
        <v>101</v>
      </c>
      <c r="B116" s="20">
        <v>1115</v>
      </c>
      <c r="C116" s="18">
        <v>8722</v>
      </c>
      <c r="D116" s="18" t="s">
        <v>86</v>
      </c>
      <c r="E116" s="22">
        <v>344</v>
      </c>
      <c r="F116" s="22">
        <v>502</v>
      </c>
      <c r="G116" s="22">
        <f>F116-E116</f>
        <v>158</v>
      </c>
      <c r="H116" s="22">
        <f>IF(F116&gt;50,0.2*G116,0.1*G116)</f>
        <v>31.6</v>
      </c>
      <c r="I116" s="18" t="s">
        <v>107</v>
      </c>
      <c r="J116" s="18" t="s">
        <v>108</v>
      </c>
      <c r="K116" s="18" t="s">
        <v>85</v>
      </c>
    </row>
    <row r="117" spans="1:11" x14ac:dyDescent="0.2">
      <c r="A117" s="19" t="s">
        <v>101</v>
      </c>
      <c r="B117" s="20">
        <v>1116</v>
      </c>
      <c r="C117" s="18">
        <v>6622</v>
      </c>
      <c r="D117" s="18" t="s">
        <v>97</v>
      </c>
      <c r="E117" s="22">
        <v>42</v>
      </c>
      <c r="F117" s="22">
        <v>77</v>
      </c>
      <c r="G117" s="22">
        <f>F117-E117</f>
        <v>35</v>
      </c>
      <c r="H117" s="22">
        <f>IF(F117&gt;50,0.2*G117,0.1*G117)</f>
        <v>7</v>
      </c>
      <c r="I117" s="18" t="s">
        <v>110</v>
      </c>
      <c r="J117" s="18" t="s">
        <v>9</v>
      </c>
      <c r="K117" s="18" t="s">
        <v>93</v>
      </c>
    </row>
    <row r="118" spans="1:11" x14ac:dyDescent="0.2">
      <c r="A118" s="19" t="s">
        <v>101</v>
      </c>
      <c r="B118" s="20">
        <v>1117</v>
      </c>
      <c r="C118" s="18">
        <v>8722</v>
      </c>
      <c r="D118" s="18" t="s">
        <v>86</v>
      </c>
      <c r="E118" s="22">
        <v>344</v>
      </c>
      <c r="F118" s="22">
        <v>502</v>
      </c>
      <c r="G118" s="22">
        <f>F118-E118</f>
        <v>158</v>
      </c>
      <c r="H118" s="22">
        <f>IF(F118&gt;50,0.2*G118,0.1*G118)</f>
        <v>31.6</v>
      </c>
      <c r="I118" s="18" t="s">
        <v>111</v>
      </c>
      <c r="J118" s="18" t="s">
        <v>112</v>
      </c>
      <c r="K118" s="18" t="s">
        <v>81</v>
      </c>
    </row>
    <row r="119" spans="1:11" x14ac:dyDescent="0.2">
      <c r="A119" s="19" t="s">
        <v>101</v>
      </c>
      <c r="B119" s="20">
        <v>1118</v>
      </c>
      <c r="C119" s="18">
        <v>9822</v>
      </c>
      <c r="D119" s="18" t="s">
        <v>80</v>
      </c>
      <c r="E119" s="22">
        <v>58.3</v>
      </c>
      <c r="F119" s="22">
        <v>98.4</v>
      </c>
      <c r="G119" s="22">
        <f>F119-E119</f>
        <v>40.100000000000009</v>
      </c>
      <c r="H119" s="22">
        <f>IF(F119&gt;50,0.2*G119,0.1*G119)</f>
        <v>8.0200000000000014</v>
      </c>
      <c r="I119" s="18" t="s">
        <v>109</v>
      </c>
      <c r="J119" s="18" t="s">
        <v>8</v>
      </c>
      <c r="K119" s="18" t="s">
        <v>83</v>
      </c>
    </row>
    <row r="120" spans="1:11" x14ac:dyDescent="0.2">
      <c r="A120" s="19" t="s">
        <v>101</v>
      </c>
      <c r="B120" s="20">
        <v>1119</v>
      </c>
      <c r="C120" s="18">
        <v>2242</v>
      </c>
      <c r="D120" s="18" t="s">
        <v>92</v>
      </c>
      <c r="E120" s="22">
        <v>60</v>
      </c>
      <c r="F120" s="22">
        <v>124</v>
      </c>
      <c r="G120" s="22">
        <f>F120-E120</f>
        <v>64</v>
      </c>
      <c r="H120" s="22">
        <f>IF(F120&gt;50,0.2*G120,0.1*G120)</f>
        <v>12.8</v>
      </c>
      <c r="I120" s="18" t="s">
        <v>107</v>
      </c>
      <c r="J120" s="18" t="s">
        <v>108</v>
      </c>
      <c r="K120" s="18" t="s">
        <v>94</v>
      </c>
    </row>
    <row r="121" spans="1:11" x14ac:dyDescent="0.2">
      <c r="A121" s="19" t="s">
        <v>101</v>
      </c>
      <c r="B121" s="20">
        <v>1120</v>
      </c>
      <c r="C121" s="18">
        <v>2242</v>
      </c>
      <c r="D121" s="18" t="s">
        <v>92</v>
      </c>
      <c r="E121" s="22">
        <v>60</v>
      </c>
      <c r="F121" s="22">
        <v>124</v>
      </c>
      <c r="G121" s="22">
        <f>F121-E121</f>
        <v>64</v>
      </c>
      <c r="H121" s="22">
        <f>IF(F121&gt;50,0.2*G121,0.1*G121)</f>
        <v>12.8</v>
      </c>
      <c r="I121" s="18" t="s">
        <v>110</v>
      </c>
      <c r="J121" s="18" t="s">
        <v>9</v>
      </c>
      <c r="K121" s="18" t="s">
        <v>83</v>
      </c>
    </row>
    <row r="122" spans="1:11" x14ac:dyDescent="0.2">
      <c r="A122" s="19" t="s">
        <v>101</v>
      </c>
      <c r="B122" s="20">
        <v>1121</v>
      </c>
      <c r="C122" s="18">
        <v>4421</v>
      </c>
      <c r="D122" s="18" t="s">
        <v>89</v>
      </c>
      <c r="E122" s="22">
        <v>45</v>
      </c>
      <c r="F122" s="22">
        <v>87</v>
      </c>
      <c r="G122" s="22">
        <f>F122-E122</f>
        <v>42</v>
      </c>
      <c r="H122" s="22">
        <f>IF(F122&gt;50,0.2*G122,0.1*G122)</f>
        <v>8.4</v>
      </c>
      <c r="I122" s="18" t="s">
        <v>110</v>
      </c>
      <c r="J122" s="18" t="s">
        <v>9</v>
      </c>
      <c r="K122" s="18" t="s">
        <v>93</v>
      </c>
    </row>
    <row r="123" spans="1:11" x14ac:dyDescent="0.2">
      <c r="A123" s="19" t="s">
        <v>101</v>
      </c>
      <c r="B123" s="20">
        <v>1122</v>
      </c>
      <c r="C123" s="18">
        <v>8722</v>
      </c>
      <c r="D123" s="18" t="s">
        <v>86</v>
      </c>
      <c r="E123" s="22">
        <v>344</v>
      </c>
      <c r="F123" s="22">
        <v>502</v>
      </c>
      <c r="G123" s="22">
        <f>F123-E123</f>
        <v>158</v>
      </c>
      <c r="H123" s="22">
        <f>IF(F123&gt;50,0.2*G123,0.1*G123)</f>
        <v>31.6</v>
      </c>
      <c r="I123" s="18" t="s">
        <v>110</v>
      </c>
      <c r="J123" s="18" t="s">
        <v>9</v>
      </c>
      <c r="K123" s="18" t="s">
        <v>85</v>
      </c>
    </row>
    <row r="124" spans="1:11" x14ac:dyDescent="0.2">
      <c r="A124" s="19" t="s">
        <v>101</v>
      </c>
      <c r="B124" s="20">
        <v>1123</v>
      </c>
      <c r="C124" s="18">
        <v>9822</v>
      </c>
      <c r="D124" s="18" t="s">
        <v>80</v>
      </c>
      <c r="E124" s="22">
        <v>58.3</v>
      </c>
      <c r="F124" s="22">
        <v>98.4</v>
      </c>
      <c r="G124" s="22">
        <f>F124-E124</f>
        <v>40.100000000000009</v>
      </c>
      <c r="H124" s="22">
        <f>IF(F124&gt;50,0.2*G124,0.1*G124)</f>
        <v>8.0200000000000014</v>
      </c>
      <c r="I124" s="18" t="s">
        <v>110</v>
      </c>
      <c r="J124" s="18" t="s">
        <v>9</v>
      </c>
      <c r="K124" s="18" t="s">
        <v>93</v>
      </c>
    </row>
    <row r="125" spans="1:11" x14ac:dyDescent="0.2">
      <c r="A125" s="19" t="s">
        <v>101</v>
      </c>
      <c r="B125" s="20">
        <v>1124</v>
      </c>
      <c r="C125" s="18">
        <v>4421</v>
      </c>
      <c r="D125" s="18" t="s">
        <v>89</v>
      </c>
      <c r="E125" s="22">
        <v>45</v>
      </c>
      <c r="F125" s="22">
        <v>87</v>
      </c>
      <c r="G125" s="22">
        <f>F125-E125</f>
        <v>42</v>
      </c>
      <c r="H125" s="22">
        <f>IF(F125&gt;50,0.2*G125,0.1*G125)</f>
        <v>8.4</v>
      </c>
      <c r="I125" s="18" t="s">
        <v>110</v>
      </c>
      <c r="J125" s="18" t="s">
        <v>9</v>
      </c>
      <c r="K125" s="18" t="s">
        <v>85</v>
      </c>
    </row>
    <row r="126" spans="1:11" x14ac:dyDescent="0.2">
      <c r="A126" s="19" t="s">
        <v>102</v>
      </c>
      <c r="B126" s="20">
        <v>1125</v>
      </c>
      <c r="C126" s="18">
        <v>2242</v>
      </c>
      <c r="D126" s="18" t="s">
        <v>92</v>
      </c>
      <c r="E126" s="22">
        <v>60</v>
      </c>
      <c r="F126" s="22">
        <v>124</v>
      </c>
      <c r="G126" s="22">
        <f>F126-E126</f>
        <v>64</v>
      </c>
      <c r="H126" s="22">
        <f>IF(F126&gt;50,0.2*G126,0.1*G126)</f>
        <v>12.8</v>
      </c>
      <c r="I126" s="18" t="s">
        <v>110</v>
      </c>
      <c r="J126" s="18" t="s">
        <v>9</v>
      </c>
      <c r="K126" s="18" t="s">
        <v>83</v>
      </c>
    </row>
    <row r="127" spans="1:11" x14ac:dyDescent="0.2">
      <c r="A127" s="19" t="s">
        <v>102</v>
      </c>
      <c r="B127" s="20">
        <v>1126</v>
      </c>
      <c r="C127" s="18">
        <v>9212</v>
      </c>
      <c r="D127" s="18" t="s">
        <v>90</v>
      </c>
      <c r="E127" s="22">
        <v>4</v>
      </c>
      <c r="F127" s="22">
        <v>7</v>
      </c>
      <c r="G127" s="22">
        <f>F127-E127</f>
        <v>3</v>
      </c>
      <c r="H127" s="22">
        <f>IF(F127&gt;50,0.2*G127,0.1*G127)</f>
        <v>0.30000000000000004</v>
      </c>
      <c r="I127" s="18" t="s">
        <v>110</v>
      </c>
      <c r="J127" s="18" t="s">
        <v>9</v>
      </c>
      <c r="K127" s="18" t="s">
        <v>81</v>
      </c>
    </row>
    <row r="128" spans="1:11" x14ac:dyDescent="0.2">
      <c r="A128" s="19" t="s">
        <v>102</v>
      </c>
      <c r="B128" s="20">
        <v>1127</v>
      </c>
      <c r="C128" s="18">
        <v>8722</v>
      </c>
      <c r="D128" s="18" t="s">
        <v>86</v>
      </c>
      <c r="E128" s="22">
        <v>344</v>
      </c>
      <c r="F128" s="22">
        <v>502</v>
      </c>
      <c r="G128" s="22">
        <f>F128-E128</f>
        <v>158</v>
      </c>
      <c r="H128" s="22">
        <f>IF(F128&gt;50,0.2*G128,0.1*G128)</f>
        <v>31.6</v>
      </c>
      <c r="I128" s="18" t="s">
        <v>107</v>
      </c>
      <c r="J128" s="18" t="s">
        <v>108</v>
      </c>
      <c r="K128" s="18" t="s">
        <v>93</v>
      </c>
    </row>
    <row r="129" spans="1:11" x14ac:dyDescent="0.2">
      <c r="A129" s="19" t="s">
        <v>102</v>
      </c>
      <c r="B129" s="20">
        <v>1128</v>
      </c>
      <c r="C129" s="18">
        <v>6622</v>
      </c>
      <c r="D129" s="18" t="s">
        <v>97</v>
      </c>
      <c r="E129" s="22">
        <v>42</v>
      </c>
      <c r="F129" s="22">
        <v>77</v>
      </c>
      <c r="G129" s="22">
        <f>F129-E129</f>
        <v>35</v>
      </c>
      <c r="H129" s="22">
        <f>IF(F129&gt;50,0.2*G129,0.1*G129)</f>
        <v>7</v>
      </c>
      <c r="I129" s="18" t="s">
        <v>109</v>
      </c>
      <c r="J129" s="18" t="s">
        <v>8</v>
      </c>
      <c r="K129" s="18" t="s">
        <v>83</v>
      </c>
    </row>
    <row r="130" spans="1:11" x14ac:dyDescent="0.2">
      <c r="A130" s="19" t="s">
        <v>102</v>
      </c>
      <c r="B130" s="20">
        <v>1129</v>
      </c>
      <c r="C130" s="18">
        <v>9822</v>
      </c>
      <c r="D130" s="18" t="s">
        <v>80</v>
      </c>
      <c r="E130" s="22">
        <v>58.3</v>
      </c>
      <c r="F130" s="22">
        <v>98.4</v>
      </c>
      <c r="G130" s="22">
        <f>F130-E130</f>
        <v>40.100000000000009</v>
      </c>
      <c r="H130" s="22">
        <f>IF(F130&gt;50,0.2*G130,0.1*G130)</f>
        <v>8.0200000000000014</v>
      </c>
      <c r="I130" s="18" t="s">
        <v>111</v>
      </c>
      <c r="J130" s="18" t="s">
        <v>112</v>
      </c>
      <c r="K130" s="18" t="s">
        <v>93</v>
      </c>
    </row>
    <row r="131" spans="1:11" x14ac:dyDescent="0.2">
      <c r="A131" s="19" t="s">
        <v>102</v>
      </c>
      <c r="B131" s="20">
        <v>1130</v>
      </c>
      <c r="C131" s="18">
        <v>4421</v>
      </c>
      <c r="D131" s="18" t="s">
        <v>89</v>
      </c>
      <c r="E131" s="22">
        <v>45</v>
      </c>
      <c r="F131" s="22">
        <v>87</v>
      </c>
      <c r="G131" s="22">
        <f>F131-E131</f>
        <v>42</v>
      </c>
      <c r="H131" s="22">
        <f>IF(F131&gt;50,0.2*G131,0.1*G131)</f>
        <v>8.4</v>
      </c>
      <c r="I131" s="18" t="s">
        <v>111</v>
      </c>
      <c r="J131" s="18" t="s">
        <v>112</v>
      </c>
      <c r="K131" s="18" t="s">
        <v>83</v>
      </c>
    </row>
    <row r="132" spans="1:11" x14ac:dyDescent="0.2">
      <c r="A132" s="19" t="s">
        <v>102</v>
      </c>
      <c r="B132" s="20">
        <v>1131</v>
      </c>
      <c r="C132" s="18">
        <v>9212</v>
      </c>
      <c r="D132" s="18" t="s">
        <v>90</v>
      </c>
      <c r="E132" s="22">
        <v>4</v>
      </c>
      <c r="F132" s="22">
        <v>7</v>
      </c>
      <c r="G132" s="22">
        <f>F132-E132</f>
        <v>3</v>
      </c>
      <c r="H132" s="22">
        <f>IF(F132&gt;50,0.2*G132,0.1*G132)</f>
        <v>0.30000000000000004</v>
      </c>
      <c r="I132" s="18" t="s">
        <v>111</v>
      </c>
      <c r="J132" s="18" t="s">
        <v>112</v>
      </c>
      <c r="K132" s="18" t="s">
        <v>85</v>
      </c>
    </row>
    <row r="133" spans="1:11" x14ac:dyDescent="0.2">
      <c r="A133" s="19" t="s">
        <v>102</v>
      </c>
      <c r="B133" s="20">
        <v>1132</v>
      </c>
      <c r="C133" s="18">
        <v>9212</v>
      </c>
      <c r="D133" s="18" t="s">
        <v>90</v>
      </c>
      <c r="E133" s="22">
        <v>4</v>
      </c>
      <c r="F133" s="22">
        <v>7</v>
      </c>
      <c r="G133" s="22">
        <f>F133-E133</f>
        <v>3</v>
      </c>
      <c r="H133" s="22">
        <f>IF(F133&gt;50,0.2*G133,0.1*G133)</f>
        <v>0.30000000000000004</v>
      </c>
      <c r="I133" s="18" t="s">
        <v>111</v>
      </c>
      <c r="J133" s="18" t="s">
        <v>112</v>
      </c>
      <c r="K133" s="18" t="s">
        <v>83</v>
      </c>
    </row>
    <row r="134" spans="1:11" x14ac:dyDescent="0.2">
      <c r="A134" s="19" t="s">
        <v>102</v>
      </c>
      <c r="B134" s="20">
        <v>1133</v>
      </c>
      <c r="C134" s="18">
        <v>9822</v>
      </c>
      <c r="D134" s="18" t="s">
        <v>80</v>
      </c>
      <c r="E134" s="22">
        <v>58.3</v>
      </c>
      <c r="F134" s="22">
        <v>98.4</v>
      </c>
      <c r="G134" s="22">
        <f>F134-E134</f>
        <v>40.100000000000009</v>
      </c>
      <c r="H134" s="22">
        <f>IF(F134&gt;50,0.2*G134,0.1*G134)</f>
        <v>8.0200000000000014</v>
      </c>
      <c r="I134" s="18" t="s">
        <v>107</v>
      </c>
      <c r="J134" s="18" t="s">
        <v>108</v>
      </c>
      <c r="K134" s="18" t="s">
        <v>85</v>
      </c>
    </row>
    <row r="135" spans="1:11" x14ac:dyDescent="0.2">
      <c r="A135" s="19" t="s">
        <v>102</v>
      </c>
      <c r="B135" s="20">
        <v>1134</v>
      </c>
      <c r="C135" s="18">
        <v>9822</v>
      </c>
      <c r="D135" s="18" t="s">
        <v>80</v>
      </c>
      <c r="E135" s="22">
        <v>58.3</v>
      </c>
      <c r="F135" s="22">
        <v>98.4</v>
      </c>
      <c r="G135" s="22">
        <f>F135-E135</f>
        <v>40.100000000000009</v>
      </c>
      <c r="H135" s="22">
        <f>IF(F135&gt;50,0.2*G135,0.1*G135)</f>
        <v>8.0200000000000014</v>
      </c>
      <c r="I135" s="18" t="s">
        <v>110</v>
      </c>
      <c r="J135" s="18" t="s">
        <v>9</v>
      </c>
      <c r="K135" s="18" t="s">
        <v>85</v>
      </c>
    </row>
    <row r="136" spans="1:11" x14ac:dyDescent="0.2">
      <c r="A136" s="19" t="s">
        <v>102</v>
      </c>
      <c r="B136" s="20">
        <v>1135</v>
      </c>
      <c r="C136" s="18">
        <v>8722</v>
      </c>
      <c r="D136" s="18" t="s">
        <v>86</v>
      </c>
      <c r="E136" s="22">
        <v>344</v>
      </c>
      <c r="F136" s="22">
        <v>502</v>
      </c>
      <c r="G136" s="22">
        <f>F136-E136</f>
        <v>158</v>
      </c>
      <c r="H136" s="22">
        <f>IF(F136&gt;50,0.2*G136,0.1*G136)</f>
        <v>31.6</v>
      </c>
      <c r="I136" s="18" t="s">
        <v>107</v>
      </c>
      <c r="J136" s="18" t="s">
        <v>108</v>
      </c>
      <c r="K136" s="18" t="s">
        <v>93</v>
      </c>
    </row>
    <row r="137" spans="1:11" x14ac:dyDescent="0.2">
      <c r="A137" s="19" t="s">
        <v>102</v>
      </c>
      <c r="B137" s="20">
        <v>1136</v>
      </c>
      <c r="C137" s="18">
        <v>2242</v>
      </c>
      <c r="D137" s="18" t="s">
        <v>92</v>
      </c>
      <c r="E137" s="22">
        <v>60</v>
      </c>
      <c r="F137" s="22">
        <v>124</v>
      </c>
      <c r="G137" s="22">
        <f>F137-E137</f>
        <v>64</v>
      </c>
      <c r="H137" s="22">
        <f>IF(F137&gt;50,0.2*G137,0.1*G137)</f>
        <v>12.8</v>
      </c>
      <c r="I137" s="18" t="s">
        <v>110</v>
      </c>
      <c r="J137" s="18" t="s">
        <v>9</v>
      </c>
      <c r="K137" s="18" t="s">
        <v>81</v>
      </c>
    </row>
    <row r="138" spans="1:11" x14ac:dyDescent="0.2">
      <c r="A138" s="19" t="s">
        <v>102</v>
      </c>
      <c r="B138" s="20">
        <v>1137</v>
      </c>
      <c r="C138" s="18">
        <v>9822</v>
      </c>
      <c r="D138" s="18" t="s">
        <v>80</v>
      </c>
      <c r="E138" s="22">
        <v>58.3</v>
      </c>
      <c r="F138" s="22">
        <v>98.4</v>
      </c>
      <c r="G138" s="22">
        <f>F138-E138</f>
        <v>40.100000000000009</v>
      </c>
      <c r="H138" s="22">
        <f>IF(F138&gt;50,0.2*G138,0.1*G138)</f>
        <v>8.0200000000000014</v>
      </c>
      <c r="I138" s="18" t="s">
        <v>109</v>
      </c>
      <c r="J138" s="18" t="s">
        <v>8</v>
      </c>
      <c r="K138" s="18" t="s">
        <v>83</v>
      </c>
    </row>
    <row r="139" spans="1:11" x14ac:dyDescent="0.2">
      <c r="A139" s="19" t="s">
        <v>102</v>
      </c>
      <c r="B139" s="20">
        <v>1138</v>
      </c>
      <c r="C139" s="18">
        <v>8722</v>
      </c>
      <c r="D139" s="18" t="s">
        <v>86</v>
      </c>
      <c r="E139" s="22">
        <v>344</v>
      </c>
      <c r="F139" s="22">
        <v>502</v>
      </c>
      <c r="G139" s="22">
        <f>F139-E139</f>
        <v>158</v>
      </c>
      <c r="H139" s="22">
        <f>IF(F139&gt;50,0.2*G139,0.1*G139)</f>
        <v>31.6</v>
      </c>
      <c r="I139" s="18" t="s">
        <v>107</v>
      </c>
      <c r="J139" s="18" t="s">
        <v>108</v>
      </c>
      <c r="K139" s="18" t="s">
        <v>94</v>
      </c>
    </row>
    <row r="140" spans="1:11" x14ac:dyDescent="0.2">
      <c r="A140" s="19" t="s">
        <v>102</v>
      </c>
      <c r="B140" s="20">
        <v>1139</v>
      </c>
      <c r="C140" s="18">
        <v>4421</v>
      </c>
      <c r="D140" s="18" t="s">
        <v>89</v>
      </c>
      <c r="E140" s="22">
        <v>45</v>
      </c>
      <c r="F140" s="22">
        <v>87</v>
      </c>
      <c r="G140" s="22">
        <f>F140-E140</f>
        <v>42</v>
      </c>
      <c r="H140" s="22">
        <f>IF(F140&gt;50,0.2*G140,0.1*G140)</f>
        <v>8.4</v>
      </c>
      <c r="I140" s="18" t="s">
        <v>110</v>
      </c>
      <c r="J140" s="18" t="s">
        <v>9</v>
      </c>
      <c r="K140" s="18" t="s">
        <v>83</v>
      </c>
    </row>
    <row r="141" spans="1:11" x14ac:dyDescent="0.2">
      <c r="A141" s="19" t="s">
        <v>102</v>
      </c>
      <c r="B141" s="20">
        <v>1140</v>
      </c>
      <c r="C141" s="18">
        <v>4421</v>
      </c>
      <c r="D141" s="18" t="s">
        <v>89</v>
      </c>
      <c r="E141" s="22">
        <v>45</v>
      </c>
      <c r="F141" s="22">
        <v>87</v>
      </c>
      <c r="G141" s="22">
        <f>F141-E141</f>
        <v>42</v>
      </c>
      <c r="H141" s="22">
        <f>IF(F141&gt;50,0.2*G141,0.1*G141)</f>
        <v>8.4</v>
      </c>
      <c r="I141" s="18" t="s">
        <v>109</v>
      </c>
      <c r="J141" s="18" t="s">
        <v>8</v>
      </c>
      <c r="K141" s="18" t="s">
        <v>93</v>
      </c>
    </row>
    <row r="142" spans="1:11" x14ac:dyDescent="0.2">
      <c r="A142" s="19" t="s">
        <v>102</v>
      </c>
      <c r="B142" s="20">
        <v>1141</v>
      </c>
      <c r="C142" s="18">
        <v>9212</v>
      </c>
      <c r="D142" s="18" t="s">
        <v>90</v>
      </c>
      <c r="E142" s="22">
        <v>4</v>
      </c>
      <c r="F142" s="22">
        <v>7</v>
      </c>
      <c r="G142" s="22">
        <f>F142-E142</f>
        <v>3</v>
      </c>
      <c r="H142" s="22">
        <f>IF(F142&gt;50,0.2*G142,0.1*G142)</f>
        <v>0.30000000000000004</v>
      </c>
      <c r="I142" s="18" t="s">
        <v>109</v>
      </c>
      <c r="J142" s="18" t="s">
        <v>8</v>
      </c>
      <c r="K142" s="18" t="s">
        <v>85</v>
      </c>
    </row>
    <row r="143" spans="1:11" x14ac:dyDescent="0.2">
      <c r="A143" s="19" t="s">
        <v>103</v>
      </c>
      <c r="B143" s="20">
        <v>1142</v>
      </c>
      <c r="C143" s="18">
        <v>2242</v>
      </c>
      <c r="D143" s="18" t="s">
        <v>92</v>
      </c>
      <c r="E143" s="22">
        <v>60</v>
      </c>
      <c r="F143" s="22">
        <v>124</v>
      </c>
      <c r="G143" s="22">
        <f>F143-E143</f>
        <v>64</v>
      </c>
      <c r="H143" s="22">
        <f>IF(F143&gt;50,0.2*G143,0.1*G143)</f>
        <v>12.8</v>
      </c>
      <c r="I143" s="18" t="s">
        <v>109</v>
      </c>
      <c r="J143" s="18" t="s">
        <v>8</v>
      </c>
      <c r="K143" s="18" t="s">
        <v>93</v>
      </c>
    </row>
    <row r="144" spans="1:11" x14ac:dyDescent="0.2">
      <c r="A144" s="19" t="s">
        <v>103</v>
      </c>
      <c r="B144" s="20">
        <v>1143</v>
      </c>
      <c r="C144" s="18">
        <v>9822</v>
      </c>
      <c r="D144" s="18" t="s">
        <v>80</v>
      </c>
      <c r="E144" s="22">
        <v>58.3</v>
      </c>
      <c r="F144" s="22">
        <v>98.4</v>
      </c>
      <c r="G144" s="22">
        <f>F144-E144</f>
        <v>40.100000000000009</v>
      </c>
      <c r="H144" s="22">
        <f>IF(F144&gt;50,0.2*G144,0.1*G144)</f>
        <v>8.0200000000000014</v>
      </c>
      <c r="I144" s="18" t="s">
        <v>111</v>
      </c>
      <c r="J144" s="18" t="s">
        <v>112</v>
      </c>
      <c r="K144" s="18" t="s">
        <v>85</v>
      </c>
    </row>
    <row r="145" spans="1:11" x14ac:dyDescent="0.2">
      <c r="A145" s="19" t="s">
        <v>103</v>
      </c>
      <c r="B145" s="20">
        <v>1144</v>
      </c>
      <c r="C145" s="18">
        <v>2242</v>
      </c>
      <c r="D145" s="18" t="s">
        <v>92</v>
      </c>
      <c r="E145" s="22">
        <v>60</v>
      </c>
      <c r="F145" s="22">
        <v>124</v>
      </c>
      <c r="G145" s="22">
        <f>F145-E145</f>
        <v>64</v>
      </c>
      <c r="H145" s="22">
        <f>IF(F145&gt;50,0.2*G145,0.1*G145)</f>
        <v>12.8</v>
      </c>
      <c r="I145" s="18" t="s">
        <v>111</v>
      </c>
      <c r="J145" s="18" t="s">
        <v>112</v>
      </c>
      <c r="K145" s="18" t="s">
        <v>83</v>
      </c>
    </row>
    <row r="146" spans="1:11" x14ac:dyDescent="0.2">
      <c r="A146" s="19" t="s">
        <v>103</v>
      </c>
      <c r="B146" s="20">
        <v>1145</v>
      </c>
      <c r="C146" s="18">
        <v>4421</v>
      </c>
      <c r="D146" s="18" t="s">
        <v>89</v>
      </c>
      <c r="E146" s="22">
        <v>45</v>
      </c>
      <c r="F146" s="22">
        <v>87</v>
      </c>
      <c r="G146" s="22">
        <f>F146-E146</f>
        <v>42</v>
      </c>
      <c r="H146" s="22">
        <f>IF(F146&gt;50,0.2*G146,0.1*G146)</f>
        <v>8.4</v>
      </c>
      <c r="I146" s="18" t="s">
        <v>111</v>
      </c>
      <c r="J146" s="18" t="s">
        <v>112</v>
      </c>
      <c r="K146" s="18" t="s">
        <v>81</v>
      </c>
    </row>
    <row r="147" spans="1:11" x14ac:dyDescent="0.2">
      <c r="A147" s="19" t="s">
        <v>103</v>
      </c>
      <c r="B147" s="20">
        <v>1146</v>
      </c>
      <c r="C147" s="18">
        <v>8722</v>
      </c>
      <c r="D147" s="18" t="s">
        <v>86</v>
      </c>
      <c r="E147" s="22">
        <v>344</v>
      </c>
      <c r="F147" s="22">
        <v>502</v>
      </c>
      <c r="G147" s="22">
        <f>F147-E147</f>
        <v>158</v>
      </c>
      <c r="H147" s="22">
        <f>IF(F147&gt;50,0.2*G147,0.1*G147)</f>
        <v>31.6</v>
      </c>
      <c r="I147" s="18" t="s">
        <v>111</v>
      </c>
      <c r="J147" s="18" t="s">
        <v>112</v>
      </c>
      <c r="K147" s="18" t="s">
        <v>93</v>
      </c>
    </row>
    <row r="148" spans="1:11" x14ac:dyDescent="0.2">
      <c r="A148" s="19" t="s">
        <v>103</v>
      </c>
      <c r="B148" s="20">
        <v>1147</v>
      </c>
      <c r="C148" s="18">
        <v>9822</v>
      </c>
      <c r="D148" s="18" t="s">
        <v>80</v>
      </c>
      <c r="E148" s="22">
        <v>58.3</v>
      </c>
      <c r="F148" s="22">
        <v>98.4</v>
      </c>
      <c r="G148" s="22">
        <f>F148-E148</f>
        <v>40.100000000000009</v>
      </c>
      <c r="H148" s="22">
        <f>IF(F148&gt;50,0.2*G148,0.1*G148)</f>
        <v>8.0200000000000014</v>
      </c>
      <c r="I148" s="18" t="s">
        <v>107</v>
      </c>
      <c r="J148" s="18" t="s">
        <v>108</v>
      </c>
      <c r="K148" s="18" t="s">
        <v>83</v>
      </c>
    </row>
    <row r="149" spans="1:11" x14ac:dyDescent="0.2">
      <c r="A149" s="19" t="s">
        <v>103</v>
      </c>
      <c r="B149" s="20">
        <v>1148</v>
      </c>
      <c r="C149" s="18">
        <v>9212</v>
      </c>
      <c r="D149" s="18" t="s">
        <v>90</v>
      </c>
      <c r="E149" s="22">
        <v>4</v>
      </c>
      <c r="F149" s="22">
        <v>7</v>
      </c>
      <c r="G149" s="22">
        <f>F149-E149</f>
        <v>3</v>
      </c>
      <c r="H149" s="22">
        <f>IF(F149&gt;50,0.2*G149,0.1*G149)</f>
        <v>0.30000000000000004</v>
      </c>
      <c r="I149" s="18" t="s">
        <v>110</v>
      </c>
      <c r="J149" s="18" t="s">
        <v>9</v>
      </c>
      <c r="K149" s="18" t="s">
        <v>85</v>
      </c>
    </row>
    <row r="150" spans="1:11" x14ac:dyDescent="0.2">
      <c r="A150" s="19" t="s">
        <v>103</v>
      </c>
      <c r="B150" s="20">
        <v>1149</v>
      </c>
      <c r="C150" s="18">
        <v>8722</v>
      </c>
      <c r="D150" s="18" t="s">
        <v>86</v>
      </c>
      <c r="E150" s="22">
        <v>344</v>
      </c>
      <c r="F150" s="22">
        <v>502</v>
      </c>
      <c r="G150" s="22">
        <f>F150-E150</f>
        <v>158</v>
      </c>
      <c r="H150" s="22">
        <f>IF(F150&gt;50,0.2*G150,0.1*G150)</f>
        <v>31.6</v>
      </c>
      <c r="I150" s="18" t="s">
        <v>107</v>
      </c>
      <c r="J150" s="18" t="s">
        <v>108</v>
      </c>
      <c r="K150" s="18" t="s">
        <v>85</v>
      </c>
    </row>
    <row r="151" spans="1:11" x14ac:dyDescent="0.2">
      <c r="A151" s="19" t="s">
        <v>104</v>
      </c>
      <c r="B151" s="20">
        <v>1150</v>
      </c>
      <c r="C151" s="18">
        <v>2242</v>
      </c>
      <c r="D151" s="18" t="s">
        <v>92</v>
      </c>
      <c r="E151" s="22">
        <v>60</v>
      </c>
      <c r="F151" s="22">
        <v>124</v>
      </c>
      <c r="G151" s="22">
        <f>F151-E151</f>
        <v>64</v>
      </c>
      <c r="H151" s="22">
        <f>IF(F151&gt;50,0.2*G151,0.1*G151)</f>
        <v>12.8</v>
      </c>
      <c r="I151" s="18" t="s">
        <v>110</v>
      </c>
      <c r="J151" s="18" t="s">
        <v>9</v>
      </c>
      <c r="K151" s="18" t="s">
        <v>94</v>
      </c>
    </row>
    <row r="152" spans="1:11" x14ac:dyDescent="0.2">
      <c r="A152" s="19" t="s">
        <v>104</v>
      </c>
      <c r="B152" s="20">
        <v>1151</v>
      </c>
      <c r="C152" s="18">
        <v>2242</v>
      </c>
      <c r="D152" s="18" t="s">
        <v>92</v>
      </c>
      <c r="E152" s="22">
        <v>60</v>
      </c>
      <c r="F152" s="22">
        <v>124</v>
      </c>
      <c r="G152" s="22">
        <f>F152-E152</f>
        <v>64</v>
      </c>
      <c r="H152" s="22">
        <f>IF(F152&gt;50,0.2*G152,0.1*G152)</f>
        <v>12.8</v>
      </c>
      <c r="I152" s="18" t="s">
        <v>109</v>
      </c>
      <c r="J152" s="18" t="s">
        <v>8</v>
      </c>
      <c r="K152" s="18" t="s">
        <v>83</v>
      </c>
    </row>
    <row r="153" spans="1:11" x14ac:dyDescent="0.2">
      <c r="A153" s="19" t="s">
        <v>104</v>
      </c>
      <c r="B153" s="20">
        <v>1152</v>
      </c>
      <c r="C153" s="18">
        <v>4421</v>
      </c>
      <c r="D153" s="18" t="s">
        <v>89</v>
      </c>
      <c r="E153" s="22">
        <v>45</v>
      </c>
      <c r="F153" s="22">
        <v>87</v>
      </c>
      <c r="G153" s="22">
        <f>F153-E153</f>
        <v>42</v>
      </c>
      <c r="H153" s="22">
        <f>IF(F153&gt;50,0.2*G153,0.1*G153)</f>
        <v>8.4</v>
      </c>
      <c r="I153" s="18" t="s">
        <v>107</v>
      </c>
      <c r="J153" s="18" t="s">
        <v>108</v>
      </c>
      <c r="K153" s="18" t="s">
        <v>93</v>
      </c>
    </row>
    <row r="154" spans="1:11" x14ac:dyDescent="0.2">
      <c r="A154" s="19" t="s">
        <v>104</v>
      </c>
      <c r="B154" s="20">
        <v>1153</v>
      </c>
      <c r="C154" s="18">
        <v>8722</v>
      </c>
      <c r="D154" s="18" t="s">
        <v>86</v>
      </c>
      <c r="E154" s="22">
        <v>344</v>
      </c>
      <c r="F154" s="22">
        <v>502</v>
      </c>
      <c r="G154" s="22">
        <f>F154-E154</f>
        <v>158</v>
      </c>
      <c r="H154" s="22">
        <f>IF(F154&gt;50,0.2*G154,0.1*G154)</f>
        <v>31.6</v>
      </c>
      <c r="I154" s="18" t="s">
        <v>110</v>
      </c>
      <c r="J154" s="18" t="s">
        <v>9</v>
      </c>
      <c r="K154" s="18" t="s">
        <v>85</v>
      </c>
    </row>
    <row r="155" spans="1:11" x14ac:dyDescent="0.2">
      <c r="A155" s="19" t="s">
        <v>104</v>
      </c>
      <c r="B155" s="20">
        <v>1154</v>
      </c>
      <c r="C155" s="18">
        <v>9822</v>
      </c>
      <c r="D155" s="18" t="s">
        <v>80</v>
      </c>
      <c r="E155" s="22">
        <v>58.3</v>
      </c>
      <c r="F155" s="22">
        <v>98.4</v>
      </c>
      <c r="G155" s="22">
        <f>F155-E155</f>
        <v>40.100000000000009</v>
      </c>
      <c r="H155" s="22">
        <f>IF(F155&gt;50,0.2*G155,0.1*G155)</f>
        <v>8.0200000000000014</v>
      </c>
      <c r="I155" s="18" t="s">
        <v>109</v>
      </c>
      <c r="J155" s="18" t="s">
        <v>8</v>
      </c>
      <c r="K155" s="18" t="s">
        <v>93</v>
      </c>
    </row>
    <row r="156" spans="1:11" x14ac:dyDescent="0.2">
      <c r="A156" s="19" t="s">
        <v>104</v>
      </c>
      <c r="B156" s="20">
        <v>1155</v>
      </c>
      <c r="C156" s="18">
        <v>4421</v>
      </c>
      <c r="D156" s="18" t="s">
        <v>89</v>
      </c>
      <c r="E156" s="22">
        <v>45</v>
      </c>
      <c r="F156" s="22">
        <v>87</v>
      </c>
      <c r="G156" s="22">
        <f>F156-E156</f>
        <v>42</v>
      </c>
      <c r="H156" s="22">
        <f>IF(F156&gt;50,0.2*G156,0.1*G156)</f>
        <v>8.4</v>
      </c>
      <c r="I156" s="18" t="s">
        <v>110</v>
      </c>
      <c r="J156" s="18" t="s">
        <v>9</v>
      </c>
      <c r="K156" s="18" t="s">
        <v>85</v>
      </c>
    </row>
    <row r="157" spans="1:11" x14ac:dyDescent="0.2">
      <c r="A157" s="19" t="s">
        <v>104</v>
      </c>
      <c r="B157" s="20">
        <v>1156</v>
      </c>
      <c r="C157" s="18">
        <v>2242</v>
      </c>
      <c r="D157" s="18" t="s">
        <v>92</v>
      </c>
      <c r="E157" s="22">
        <v>60</v>
      </c>
      <c r="F157" s="22">
        <v>124</v>
      </c>
      <c r="G157" s="22">
        <f>F157-E157</f>
        <v>64</v>
      </c>
      <c r="H157" s="22">
        <f>IF(F157&gt;50,0.2*G157,0.1*G157)</f>
        <v>12.8</v>
      </c>
      <c r="I157" s="18" t="s">
        <v>110</v>
      </c>
      <c r="J157" s="18" t="s">
        <v>9</v>
      </c>
      <c r="K157" s="18" t="s">
        <v>83</v>
      </c>
    </row>
    <row r="158" spans="1:11" x14ac:dyDescent="0.2">
      <c r="A158" s="19" t="s">
        <v>104</v>
      </c>
      <c r="B158" s="20">
        <v>1157</v>
      </c>
      <c r="C158" s="18">
        <v>9212</v>
      </c>
      <c r="D158" s="18" t="s">
        <v>90</v>
      </c>
      <c r="E158" s="22">
        <v>4</v>
      </c>
      <c r="F158" s="22">
        <v>7</v>
      </c>
      <c r="G158" s="22">
        <f>F158-E158</f>
        <v>3</v>
      </c>
      <c r="H158" s="22">
        <f>IF(F158&gt;50,0.2*G158,0.1*G158)</f>
        <v>0.30000000000000004</v>
      </c>
      <c r="I158" s="18" t="s">
        <v>110</v>
      </c>
      <c r="J158" s="18" t="s">
        <v>9</v>
      </c>
      <c r="K158" s="18" t="s">
        <v>81</v>
      </c>
    </row>
    <row r="159" spans="1:11" x14ac:dyDescent="0.2">
      <c r="A159" s="19" t="s">
        <v>105</v>
      </c>
      <c r="B159" s="20">
        <v>1158</v>
      </c>
      <c r="C159" s="18">
        <v>8722</v>
      </c>
      <c r="D159" s="18" t="s">
        <v>86</v>
      </c>
      <c r="E159" s="22">
        <v>344</v>
      </c>
      <c r="F159" s="22">
        <v>502</v>
      </c>
      <c r="G159" s="22">
        <f>F159-E159</f>
        <v>158</v>
      </c>
      <c r="H159" s="22">
        <f>IF(F159&gt;50,0.2*G159,0.1*G159)</f>
        <v>31.6</v>
      </c>
      <c r="I159" s="18" t="s">
        <v>107</v>
      </c>
      <c r="J159" s="18" t="s">
        <v>108</v>
      </c>
      <c r="K159" s="18" t="s">
        <v>93</v>
      </c>
    </row>
    <row r="160" spans="1:11" x14ac:dyDescent="0.2">
      <c r="A160" s="19" t="s">
        <v>105</v>
      </c>
      <c r="B160" s="20">
        <v>1159</v>
      </c>
      <c r="C160" s="18">
        <v>6622</v>
      </c>
      <c r="D160" s="18" t="s">
        <v>97</v>
      </c>
      <c r="E160" s="22">
        <v>42</v>
      </c>
      <c r="F160" s="22">
        <v>77</v>
      </c>
      <c r="G160" s="22">
        <f>F160-E160</f>
        <v>35</v>
      </c>
      <c r="H160" s="22">
        <f>IF(F160&gt;50,0.2*G160,0.1*G160)</f>
        <v>7</v>
      </c>
      <c r="I160" s="18" t="s">
        <v>110</v>
      </c>
      <c r="J160" s="18" t="s">
        <v>9</v>
      </c>
      <c r="K160" s="18" t="s">
        <v>83</v>
      </c>
    </row>
    <row r="161" spans="1:11" x14ac:dyDescent="0.2">
      <c r="A161" s="19" t="s">
        <v>105</v>
      </c>
      <c r="B161" s="20">
        <v>1160</v>
      </c>
      <c r="C161" s="18">
        <v>9822</v>
      </c>
      <c r="D161" s="18" t="s">
        <v>80</v>
      </c>
      <c r="E161" s="22">
        <v>58.3</v>
      </c>
      <c r="F161" s="22">
        <v>98.4</v>
      </c>
      <c r="G161" s="22">
        <f>F161-E161</f>
        <v>40.100000000000009</v>
      </c>
      <c r="H161" s="22">
        <f>IF(F161&gt;50,0.2*G161,0.1*G161)</f>
        <v>8.0200000000000014</v>
      </c>
      <c r="I161" s="18" t="s">
        <v>111</v>
      </c>
      <c r="J161" s="18" t="s">
        <v>112</v>
      </c>
      <c r="K161" s="18" t="s">
        <v>93</v>
      </c>
    </row>
    <row r="162" spans="1:11" x14ac:dyDescent="0.2">
      <c r="A162" s="19" t="s">
        <v>105</v>
      </c>
      <c r="B162" s="20">
        <v>1161</v>
      </c>
      <c r="C162" s="18">
        <v>4421</v>
      </c>
      <c r="D162" s="18" t="s">
        <v>89</v>
      </c>
      <c r="E162" s="22">
        <v>45</v>
      </c>
      <c r="F162" s="22">
        <v>87</v>
      </c>
      <c r="G162" s="22">
        <f>F162-E162</f>
        <v>42</v>
      </c>
      <c r="H162" s="22">
        <f>IF(F162&gt;50,0.2*G162,0.1*G162)</f>
        <v>8.4</v>
      </c>
      <c r="I162" s="18" t="s">
        <v>109</v>
      </c>
      <c r="J162" s="18" t="s">
        <v>8</v>
      </c>
      <c r="K162" s="18" t="s">
        <v>83</v>
      </c>
    </row>
    <row r="163" spans="1:11" x14ac:dyDescent="0.2">
      <c r="A163" s="19" t="s">
        <v>105</v>
      </c>
      <c r="B163" s="20">
        <v>1162</v>
      </c>
      <c r="C163" s="18">
        <v>9212</v>
      </c>
      <c r="D163" s="18" t="s">
        <v>90</v>
      </c>
      <c r="E163" s="22">
        <v>4</v>
      </c>
      <c r="F163" s="22">
        <v>7</v>
      </c>
      <c r="G163" s="22">
        <f>F163-E163</f>
        <v>3</v>
      </c>
      <c r="H163" s="22">
        <f>IF(F163&gt;50,0.2*G163,0.1*G163)</f>
        <v>0.30000000000000004</v>
      </c>
      <c r="I163" s="18" t="s">
        <v>107</v>
      </c>
      <c r="J163" s="18" t="s">
        <v>108</v>
      </c>
      <c r="K163" s="18" t="s">
        <v>85</v>
      </c>
    </row>
    <row r="164" spans="1:11" x14ac:dyDescent="0.2">
      <c r="A164" s="19" t="s">
        <v>105</v>
      </c>
      <c r="B164" s="20">
        <v>1163</v>
      </c>
      <c r="C164" s="18">
        <v>9212</v>
      </c>
      <c r="D164" s="18" t="s">
        <v>90</v>
      </c>
      <c r="E164" s="22">
        <v>4</v>
      </c>
      <c r="F164" s="22">
        <v>7</v>
      </c>
      <c r="G164" s="22">
        <f>F164-E164</f>
        <v>3</v>
      </c>
      <c r="H164" s="22">
        <f>IF(F164&gt;50,0.2*G164,0.1*G164)</f>
        <v>0.30000000000000004</v>
      </c>
      <c r="I164" s="18" t="s">
        <v>110</v>
      </c>
      <c r="J164" s="18" t="s">
        <v>9</v>
      </c>
      <c r="K164" s="18" t="s">
        <v>83</v>
      </c>
    </row>
    <row r="165" spans="1:11" x14ac:dyDescent="0.2">
      <c r="A165" s="19" t="s">
        <v>105</v>
      </c>
      <c r="B165" s="20">
        <v>1164</v>
      </c>
      <c r="C165" s="18">
        <v>9822</v>
      </c>
      <c r="D165" s="18" t="s">
        <v>80</v>
      </c>
      <c r="E165" s="22">
        <v>58.3</v>
      </c>
      <c r="F165" s="22">
        <v>98.4</v>
      </c>
      <c r="G165" s="22">
        <f>F165-E165</f>
        <v>40.100000000000009</v>
      </c>
      <c r="H165" s="22">
        <f>IF(F165&gt;50,0.2*G165,0.1*G165)</f>
        <v>8.0200000000000014</v>
      </c>
      <c r="I165" s="18" t="s">
        <v>110</v>
      </c>
      <c r="J165" s="18" t="s">
        <v>9</v>
      </c>
      <c r="K165" s="18" t="s">
        <v>85</v>
      </c>
    </row>
    <row r="166" spans="1:11" x14ac:dyDescent="0.2">
      <c r="A166" s="19" t="s">
        <v>105</v>
      </c>
      <c r="B166" s="20">
        <v>1165</v>
      </c>
      <c r="C166" s="18">
        <v>9822</v>
      </c>
      <c r="D166" s="18" t="s">
        <v>80</v>
      </c>
      <c r="E166" s="22">
        <v>58.3</v>
      </c>
      <c r="F166" s="22">
        <v>98.4</v>
      </c>
      <c r="G166" s="22">
        <f>F166-E166</f>
        <v>40.100000000000009</v>
      </c>
      <c r="H166" s="22">
        <f>IF(F166&gt;50,0.2*G166,0.1*G166)</f>
        <v>8.0200000000000014</v>
      </c>
      <c r="I166" s="18" t="s">
        <v>110</v>
      </c>
      <c r="J166" s="18" t="s">
        <v>9</v>
      </c>
      <c r="K166" s="18" t="s">
        <v>85</v>
      </c>
    </row>
    <row r="167" spans="1:11" x14ac:dyDescent="0.2">
      <c r="A167" s="19" t="s">
        <v>105</v>
      </c>
      <c r="B167" s="20">
        <v>1166</v>
      </c>
      <c r="C167" s="18">
        <v>8722</v>
      </c>
      <c r="D167" s="18" t="s">
        <v>86</v>
      </c>
      <c r="E167" s="22">
        <v>344</v>
      </c>
      <c r="F167" s="22">
        <v>502</v>
      </c>
      <c r="G167" s="22">
        <f>F167-E167</f>
        <v>158</v>
      </c>
      <c r="H167" s="22">
        <f>IF(F167&gt;50,0.2*G167,0.1*G167)</f>
        <v>31.6</v>
      </c>
      <c r="I167" s="18" t="s">
        <v>110</v>
      </c>
      <c r="J167" s="18" t="s">
        <v>9</v>
      </c>
      <c r="K167" s="18" t="s">
        <v>93</v>
      </c>
    </row>
    <row r="168" spans="1:11" x14ac:dyDescent="0.2">
      <c r="A168" s="19" t="s">
        <v>106</v>
      </c>
      <c r="B168" s="20">
        <v>1167</v>
      </c>
      <c r="C168" s="18">
        <v>2242</v>
      </c>
      <c r="D168" s="18" t="s">
        <v>92</v>
      </c>
      <c r="E168" s="22">
        <v>60</v>
      </c>
      <c r="F168" s="22">
        <v>124</v>
      </c>
      <c r="G168" s="22">
        <f>F168-E168</f>
        <v>64</v>
      </c>
      <c r="H168" s="22">
        <f>IF(F168&gt;50,0.2*G168,0.1*G168)</f>
        <v>12.8</v>
      </c>
      <c r="I168" s="18" t="s">
        <v>110</v>
      </c>
      <c r="J168" s="18" t="s">
        <v>9</v>
      </c>
      <c r="K168" s="18" t="s">
        <v>81</v>
      </c>
    </row>
    <row r="169" spans="1:11" x14ac:dyDescent="0.2">
      <c r="A169" s="19" t="s">
        <v>106</v>
      </c>
      <c r="B169" s="20">
        <v>1168</v>
      </c>
      <c r="C169" s="18">
        <v>9822</v>
      </c>
      <c r="D169" s="18" t="s">
        <v>80</v>
      </c>
      <c r="E169" s="22">
        <v>58.3</v>
      </c>
      <c r="F169" s="22">
        <v>98.4</v>
      </c>
      <c r="G169" s="22">
        <f>F169-E169</f>
        <v>40.100000000000009</v>
      </c>
      <c r="H169" s="22">
        <f>IF(F169&gt;50,0.2*G169,0.1*G169)</f>
        <v>8.0200000000000014</v>
      </c>
      <c r="I169" s="18" t="s">
        <v>110</v>
      </c>
      <c r="J169" s="18" t="s">
        <v>9</v>
      </c>
      <c r="K169" s="18" t="s">
        <v>83</v>
      </c>
    </row>
    <row r="170" spans="1:11" x14ac:dyDescent="0.2">
      <c r="A170" s="19" t="s">
        <v>106</v>
      </c>
      <c r="B170" s="20">
        <v>1169</v>
      </c>
      <c r="C170" s="18">
        <v>8722</v>
      </c>
      <c r="D170" s="18" t="s">
        <v>86</v>
      </c>
      <c r="E170" s="22">
        <v>344</v>
      </c>
      <c r="F170" s="22">
        <v>502</v>
      </c>
      <c r="G170" s="22">
        <f>F170-E170</f>
        <v>158</v>
      </c>
      <c r="H170" s="22">
        <f>IF(F170&gt;50,0.2*G170,0.1*G170)</f>
        <v>31.6</v>
      </c>
      <c r="I170" s="18" t="s">
        <v>110</v>
      </c>
      <c r="J170" s="18" t="s">
        <v>9</v>
      </c>
      <c r="K170" s="18" t="s">
        <v>94</v>
      </c>
    </row>
    <row r="171" spans="1:11" x14ac:dyDescent="0.2">
      <c r="A171" s="19" t="s">
        <v>106</v>
      </c>
      <c r="B171" s="20">
        <v>1170</v>
      </c>
      <c r="C171" s="18">
        <v>4421</v>
      </c>
      <c r="D171" s="18" t="s">
        <v>89</v>
      </c>
      <c r="E171" s="22">
        <v>45</v>
      </c>
      <c r="F171" s="22">
        <v>87</v>
      </c>
      <c r="G171" s="22">
        <f>F171-E171</f>
        <v>42</v>
      </c>
      <c r="H171" s="22">
        <f>IF(F171&gt;50,0.2*G171,0.1*G171)</f>
        <v>8.4</v>
      </c>
      <c r="I171" s="18" t="s">
        <v>107</v>
      </c>
      <c r="J171" s="18" t="s">
        <v>108</v>
      </c>
      <c r="K171" s="18" t="s">
        <v>83</v>
      </c>
    </row>
    <row r="172" spans="1:11" x14ac:dyDescent="0.2">
      <c r="A172" s="19" t="s">
        <v>106</v>
      </c>
      <c r="B172" s="20">
        <v>1171</v>
      </c>
      <c r="C172" s="18">
        <v>4421</v>
      </c>
      <c r="D172" s="18" t="s">
        <v>89</v>
      </c>
      <c r="E172" s="22">
        <v>45</v>
      </c>
      <c r="F172" s="22">
        <v>87</v>
      </c>
      <c r="G172" s="22">
        <f>F172-E172</f>
        <v>42</v>
      </c>
      <c r="H172" s="22">
        <f>IF(F172&gt;50,0.2*G172,0.1*G172)</f>
        <v>8.4</v>
      </c>
      <c r="I172" s="18" t="s">
        <v>109</v>
      </c>
      <c r="J172" s="18" t="s">
        <v>8</v>
      </c>
      <c r="K172" s="18" t="s">
        <v>93</v>
      </c>
    </row>
    <row r="175" spans="1:11" x14ac:dyDescent="0.2">
      <c r="A175" s="19" t="s">
        <v>113</v>
      </c>
      <c r="F175" s="1">
        <f>SUM(F2:F172)</f>
        <v>17110.599999999995</v>
      </c>
    </row>
    <row r="176" spans="1:11" x14ac:dyDescent="0.2">
      <c r="A176" s="19" t="s">
        <v>114</v>
      </c>
      <c r="F176" s="1">
        <f>SUMIF(F2:F172, "&gt; 50")</f>
        <v>16088.399999999994</v>
      </c>
    </row>
    <row r="177" spans="1:6" x14ac:dyDescent="0.2">
      <c r="A177" s="19" t="s">
        <v>115</v>
      </c>
      <c r="F177" s="1">
        <f>SUMIF(F2:F172, "&lt; 50")</f>
        <v>1022.1999999999997</v>
      </c>
    </row>
  </sheetData>
  <autoFilter ref="A1:K172" xr:uid="{21C024E5-0739-E44C-BDD9-50A9C5C026D6}"/>
  <sortState xmlns:xlrd2="http://schemas.microsoft.com/office/spreadsheetml/2017/richdata2" ref="A2:K172">
    <sortCondition ref="B2:B172"/>
  </sortState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6F35-BA04-014D-AD62-645BBB873C82}">
  <dimension ref="A1:P61"/>
  <sheetViews>
    <sheetView zoomScale="120" zoomScaleNormal="120" workbookViewId="0">
      <selection activeCell="T7" sqref="T7"/>
    </sheetView>
  </sheetViews>
  <sheetFormatPr baseColWidth="10" defaultRowHeight="16" x14ac:dyDescent="0.2"/>
  <cols>
    <col min="1" max="1" width="13.5" bestFit="1" customWidth="1"/>
    <col min="2" max="2" width="5.5" bestFit="1" customWidth="1"/>
    <col min="3" max="3" width="13.6640625" bestFit="1" customWidth="1"/>
    <col min="4" max="4" width="6.1640625" bestFit="1" customWidth="1"/>
    <col min="5" max="5" width="11.5" bestFit="1" customWidth="1"/>
    <col min="6" max="6" width="4" bestFit="1" customWidth="1"/>
    <col min="7" max="7" width="11.5" bestFit="1" customWidth="1"/>
    <col min="8" max="8" width="12.33203125" bestFit="1" customWidth="1"/>
    <col min="12" max="12" width="11" bestFit="1" customWidth="1"/>
    <col min="13" max="13" width="16.6640625" bestFit="1" customWidth="1"/>
    <col min="15" max="15" width="13" bestFit="1" customWidth="1"/>
    <col min="16" max="16" width="11.6640625" bestFit="1" customWidth="1"/>
  </cols>
  <sheetData>
    <row r="1" spans="1:16" ht="34" x14ac:dyDescent="0.2">
      <c r="A1" s="26" t="s">
        <v>119</v>
      </c>
      <c r="B1" s="26" t="s">
        <v>120</v>
      </c>
      <c r="C1" s="26" t="s">
        <v>121</v>
      </c>
      <c r="D1" s="26" t="s">
        <v>122</v>
      </c>
      <c r="E1" s="26" t="s">
        <v>123</v>
      </c>
      <c r="F1" s="26" t="s">
        <v>124</v>
      </c>
      <c r="G1" s="26" t="s">
        <v>125</v>
      </c>
      <c r="H1" s="26" t="s">
        <v>126</v>
      </c>
      <c r="I1" s="26" t="s">
        <v>127</v>
      </c>
      <c r="J1" s="26" t="s">
        <v>128</v>
      </c>
      <c r="K1" s="26" t="s">
        <v>129</v>
      </c>
      <c r="L1" s="26" t="s">
        <v>130</v>
      </c>
      <c r="M1" s="26" t="s">
        <v>131</v>
      </c>
    </row>
    <row r="2" spans="1:16" x14ac:dyDescent="0.2">
      <c r="A2" t="s">
        <v>165</v>
      </c>
      <c r="B2" t="str">
        <f>LEFT(A2, 2)</f>
        <v>TY</v>
      </c>
      <c r="C2" t="str">
        <f>VLOOKUP(B2, B$56:C$61, 2)</f>
        <v>Toyota</v>
      </c>
      <c r="D2" t="str">
        <f>MID(A2, 5, 3)</f>
        <v>CAM</v>
      </c>
      <c r="E2" t="str">
        <f>MID(A2, 3, 2)</f>
        <v>96</v>
      </c>
      <c r="F2">
        <f ca="1">IF(YEAR(TODAY()) - 2000 - E2 &lt; 0, YEAR(TODAY()) - 2000 + 100 - E2,  YEAR(TODAY()) - 2000 - E2)</f>
        <v>28</v>
      </c>
      <c r="G2" s="27">
        <v>114660.6</v>
      </c>
      <c r="H2" s="27">
        <f ca="1">G2 / F2</f>
        <v>4095.0214285714287</v>
      </c>
      <c r="I2" t="s">
        <v>138</v>
      </c>
      <c r="J2" t="s">
        <v>166</v>
      </c>
      <c r="K2">
        <v>100000</v>
      </c>
      <c r="L2" t="str">
        <f>IF(G2 &lt;= K2, "Y", "Not covered")</f>
        <v>Not covered</v>
      </c>
      <c r="M2" t="str">
        <f>_xlfn.CONCAT(B2, E2, D2, UPPER(LEFT(I2, 3)), RIGHT(A2, 3))</f>
        <v>TY96CAMGRE020</v>
      </c>
      <c r="O2" s="24" t="s">
        <v>117</v>
      </c>
      <c r="P2" t="s">
        <v>216</v>
      </c>
    </row>
    <row r="3" spans="1:16" x14ac:dyDescent="0.2">
      <c r="A3" t="s">
        <v>194</v>
      </c>
      <c r="B3" t="str">
        <f>LEFT(A3, 2)</f>
        <v>CR</v>
      </c>
      <c r="C3" t="str">
        <f>VLOOKUP(B3, B$56:C$61, 2)</f>
        <v>Chrysler</v>
      </c>
      <c r="D3" t="str">
        <f>MID(A3, 5, 3)</f>
        <v>CAR</v>
      </c>
      <c r="E3" t="str">
        <f>MID(A3, 3, 2)</f>
        <v>04</v>
      </c>
      <c r="F3">
        <f ca="1">IF(YEAR(TODAY()) - 2000 - E3 &lt; 0, YEAR(TODAY()) - 2000 + 100 - E3,  YEAR(TODAY()) - 2000 - E3)</f>
        <v>20</v>
      </c>
      <c r="G3" s="27">
        <v>72527.199999999997</v>
      </c>
      <c r="H3" s="27">
        <f ca="1">G3 / F3</f>
        <v>3626.3599999999997</v>
      </c>
      <c r="I3" t="s">
        <v>135</v>
      </c>
      <c r="J3" t="s">
        <v>157</v>
      </c>
      <c r="K3">
        <v>75000</v>
      </c>
      <c r="L3" t="str">
        <f>IF(G3 &lt;= K3, "Y", "Not covered")</f>
        <v>Y</v>
      </c>
      <c r="M3" t="str">
        <f>_xlfn.CONCAT(B3, E3, D3, UPPER(LEFT(I3, 3)), RIGHT(A3, 3))</f>
        <v>CR04CARWHI047</v>
      </c>
      <c r="O3" s="25" t="s">
        <v>157</v>
      </c>
      <c r="P3" s="23">
        <v>144647.69999999998</v>
      </c>
    </row>
    <row r="4" spans="1:16" x14ac:dyDescent="0.2">
      <c r="A4" t="s">
        <v>167</v>
      </c>
      <c r="B4" t="str">
        <f>LEFT(A4, 2)</f>
        <v>TY</v>
      </c>
      <c r="C4" t="str">
        <f>VLOOKUP(B4, B$56:C$61, 2)</f>
        <v>Toyota</v>
      </c>
      <c r="D4" t="str">
        <f>MID(A4, 5, 3)</f>
        <v>CAM</v>
      </c>
      <c r="E4" t="str">
        <f>MID(A4, 3, 2)</f>
        <v>98</v>
      </c>
      <c r="F4">
        <f ca="1">IF(YEAR(TODAY()) - 2000 - E4 &lt; 0, YEAR(TODAY()) - 2000 + 100 - E4,  YEAR(TODAY()) - 2000 - E4)</f>
        <v>26</v>
      </c>
      <c r="G4" s="27">
        <v>93382.6</v>
      </c>
      <c r="H4" s="27">
        <f ca="1">G4 / F4</f>
        <v>3591.6384615384618</v>
      </c>
      <c r="I4" t="s">
        <v>133</v>
      </c>
      <c r="J4" t="s">
        <v>168</v>
      </c>
      <c r="K4">
        <v>100000</v>
      </c>
      <c r="L4" t="str">
        <f>IF(G4 &lt;= K4, "Y", "Not covered")</f>
        <v>Y</v>
      </c>
      <c r="M4" t="str">
        <f>_xlfn.CONCAT(B4, E4, D4, UPPER(LEFT(I4, 3)), RIGHT(A4, 3))</f>
        <v>TY98CAMBLA021</v>
      </c>
      <c r="O4" s="25" t="s">
        <v>166</v>
      </c>
      <c r="P4" s="23">
        <v>150656.40000000002</v>
      </c>
    </row>
    <row r="5" spans="1:16" x14ac:dyDescent="0.2">
      <c r="A5" t="s">
        <v>169</v>
      </c>
      <c r="B5" t="str">
        <f>LEFT(A5, 2)</f>
        <v>TY</v>
      </c>
      <c r="C5" t="str">
        <f>VLOOKUP(B5, B$56:C$61, 2)</f>
        <v>Toyota</v>
      </c>
      <c r="D5" t="str">
        <f>MID(A5, 5, 3)</f>
        <v>CAM</v>
      </c>
      <c r="E5" t="str">
        <f>MID(A5, 3, 2)</f>
        <v>00</v>
      </c>
      <c r="F5">
        <f ca="1">IF(YEAR(TODAY()) - 2000 - E5 &lt; 0, YEAR(TODAY()) - 2000 + 100 - E5,  YEAR(TODAY()) - 2000 - E5)</f>
        <v>24</v>
      </c>
      <c r="G5" s="27">
        <v>85928</v>
      </c>
      <c r="H5" s="27">
        <f ca="1">G5 / F5</f>
        <v>3580.3333333333335</v>
      </c>
      <c r="I5" t="s">
        <v>138</v>
      </c>
      <c r="J5" t="s">
        <v>143</v>
      </c>
      <c r="K5">
        <v>100000</v>
      </c>
      <c r="L5" t="str">
        <f>IF(G5 &lt;= K5, "Y", "Not covered")</f>
        <v>Y</v>
      </c>
      <c r="M5" t="str">
        <f>_xlfn.CONCAT(B5, E5, D5, UPPER(LEFT(I5, 3)), RIGHT(A5, 3))</f>
        <v>TY00CAMGRE022</v>
      </c>
      <c r="O5" s="25" t="s">
        <v>143</v>
      </c>
      <c r="P5" s="23">
        <v>154427.9</v>
      </c>
    </row>
    <row r="6" spans="1:16" x14ac:dyDescent="0.2">
      <c r="A6" t="s">
        <v>175</v>
      </c>
      <c r="B6" t="str">
        <f>LEFT(A6, 2)</f>
        <v>TY</v>
      </c>
      <c r="C6" t="str">
        <f>VLOOKUP(B6, B$56:C$61, 2)</f>
        <v>Toyota</v>
      </c>
      <c r="D6" t="str">
        <f>MID(A6, 5, 3)</f>
        <v>COR</v>
      </c>
      <c r="E6" t="str">
        <f>MID(A6, 3, 2)</f>
        <v>03</v>
      </c>
      <c r="F6">
        <f ca="1">IF(YEAR(TODAY()) - 2000 - E6 &lt; 0, YEAR(TODAY()) - 2000 + 100 - E6,  YEAR(TODAY()) - 2000 - E6)</f>
        <v>21</v>
      </c>
      <c r="G6" s="27">
        <v>73444.399999999994</v>
      </c>
      <c r="H6" s="27">
        <f ca="1">G6 / F6</f>
        <v>3497.3523809523808</v>
      </c>
      <c r="I6" t="s">
        <v>133</v>
      </c>
      <c r="J6" t="s">
        <v>174</v>
      </c>
      <c r="K6">
        <v>100000</v>
      </c>
      <c r="L6" t="str">
        <f>IF(G6 &lt;= K6, "Y", "Not covered")</f>
        <v>Y</v>
      </c>
      <c r="M6" t="str">
        <f>_xlfn.CONCAT(B6, E6, D6, UPPER(LEFT(I6, 3)), RIGHT(A6, 3))</f>
        <v>TY03CORBLA026</v>
      </c>
      <c r="O6" s="25" t="s">
        <v>174</v>
      </c>
      <c r="P6" s="23">
        <v>179986</v>
      </c>
    </row>
    <row r="7" spans="1:16" x14ac:dyDescent="0.2">
      <c r="A7" t="s">
        <v>163</v>
      </c>
      <c r="B7" t="str">
        <f>LEFT(A7, 2)</f>
        <v>GM</v>
      </c>
      <c r="C7" t="str">
        <f>VLOOKUP(B7, B$56:C$61, 2)</f>
        <v>General Motors</v>
      </c>
      <c r="D7" t="str">
        <f>MID(A7, 5, 3)</f>
        <v>SLV</v>
      </c>
      <c r="E7" t="str">
        <f>MID(A7, 3, 2)</f>
        <v>00</v>
      </c>
      <c r="F7">
        <f ca="1">IF(YEAR(TODAY()) - 2000 - E7 &lt; 0, YEAR(TODAY()) - 2000 + 100 - E7,  YEAR(TODAY()) - 2000 - E7)</f>
        <v>24</v>
      </c>
      <c r="G7" s="27">
        <v>80685.8</v>
      </c>
      <c r="H7" s="27">
        <f ca="1">G7 / F7</f>
        <v>3361.9083333333333</v>
      </c>
      <c r="I7" t="s">
        <v>164</v>
      </c>
      <c r="J7" t="s">
        <v>152</v>
      </c>
      <c r="K7">
        <v>100000</v>
      </c>
      <c r="L7" t="str">
        <f>IF(G7 &lt;= K7, "Y", "Not covered")</f>
        <v>Y</v>
      </c>
      <c r="M7" t="str">
        <f>_xlfn.CONCAT(B7, E7, D7, UPPER(LEFT(I7, 3)), RIGHT(A7, 3))</f>
        <v>GM00SLVBLU019</v>
      </c>
      <c r="O7" s="25" t="s">
        <v>6</v>
      </c>
      <c r="P7" s="23">
        <v>143640.70000000001</v>
      </c>
    </row>
    <row r="8" spans="1:16" x14ac:dyDescent="0.2">
      <c r="A8" t="s">
        <v>179</v>
      </c>
      <c r="B8" t="str">
        <f>LEFT(A8, 2)</f>
        <v>HO</v>
      </c>
      <c r="C8" t="str">
        <f>VLOOKUP(B8, B$56:C$61, 2)</f>
        <v>Honda</v>
      </c>
      <c r="D8" t="str">
        <f>MID(A8, 5, 3)</f>
        <v>CIV</v>
      </c>
      <c r="E8" t="str">
        <f>MID(A8, 3, 2)</f>
        <v>99</v>
      </c>
      <c r="F8">
        <f ca="1">IF(YEAR(TODAY()) - 2000 - E8 &lt; 0, YEAR(TODAY()) - 2000 + 100 - E8,  YEAR(TODAY()) - 2000 - E8)</f>
        <v>25</v>
      </c>
      <c r="G8" s="27">
        <v>82374</v>
      </c>
      <c r="H8" s="27">
        <f ca="1">G8 / F8</f>
        <v>3294.96</v>
      </c>
      <c r="I8" t="s">
        <v>135</v>
      </c>
      <c r="J8" t="s">
        <v>154</v>
      </c>
      <c r="K8">
        <v>75000</v>
      </c>
      <c r="L8" t="str">
        <f>IF(G8 &lt;= K8, "Y", "Not covered")</f>
        <v>Not covered</v>
      </c>
      <c r="M8" t="str">
        <f>_xlfn.CONCAT(B8, E8, D8, UPPER(LEFT(I8, 3)), RIGHT(A8, 3))</f>
        <v>HO99CIVWHI030</v>
      </c>
      <c r="O8" s="25" t="s">
        <v>161</v>
      </c>
      <c r="P8" s="23">
        <v>135078.20000000001</v>
      </c>
    </row>
    <row r="9" spans="1:16" x14ac:dyDescent="0.2">
      <c r="A9" t="s">
        <v>189</v>
      </c>
      <c r="B9" t="str">
        <f>LEFT(A9, 2)</f>
        <v>CR</v>
      </c>
      <c r="C9" t="str">
        <f>VLOOKUP(B9, B$56:C$61, 2)</f>
        <v>Chrysler</v>
      </c>
      <c r="D9" t="str">
        <f>MID(A9, 5, 3)</f>
        <v>PTC</v>
      </c>
      <c r="E9" t="str">
        <f>MID(A9, 3, 2)</f>
        <v>04</v>
      </c>
      <c r="F9">
        <f ca="1">IF(YEAR(TODAY()) - 2000 - E9 &lt; 0, YEAR(TODAY()) - 2000 + 100 - E9,  YEAR(TODAY()) - 2000 - E9)</f>
        <v>20</v>
      </c>
      <c r="G9" s="27">
        <v>64542</v>
      </c>
      <c r="H9" s="27">
        <f ca="1">G9 / F9</f>
        <v>3227.1</v>
      </c>
      <c r="I9" t="s">
        <v>164</v>
      </c>
      <c r="J9" t="s">
        <v>9</v>
      </c>
      <c r="K9">
        <v>75000</v>
      </c>
      <c r="L9" t="str">
        <f>IF(G9 &lt;= K9, "Y", "Not covered")</f>
        <v>Y</v>
      </c>
      <c r="M9" t="str">
        <f>_xlfn.CONCAT(B9, E9, D9, UPPER(LEFT(I9, 3)), RIGHT(A9, 3))</f>
        <v>CR04PTCBLU042</v>
      </c>
      <c r="O9" s="25" t="s">
        <v>141</v>
      </c>
      <c r="P9" s="23">
        <v>184693.8</v>
      </c>
    </row>
    <row r="10" spans="1:16" x14ac:dyDescent="0.2">
      <c r="A10" t="s">
        <v>193</v>
      </c>
      <c r="B10" t="str">
        <f>LEFT(A10, 2)</f>
        <v>CR</v>
      </c>
      <c r="C10" t="str">
        <f>VLOOKUP(B10, B$56:C$61, 2)</f>
        <v>Chrysler</v>
      </c>
      <c r="D10" t="str">
        <f>MID(A10, 5, 3)</f>
        <v>CAR</v>
      </c>
      <c r="E10" t="str">
        <f>MID(A10, 3, 2)</f>
        <v>00</v>
      </c>
      <c r="F10">
        <f ca="1">IF(YEAR(TODAY()) - 2000 - E10 &lt; 0, YEAR(TODAY()) - 2000 + 100 - E10,  YEAR(TODAY()) - 2000 - E10)</f>
        <v>24</v>
      </c>
      <c r="G10" s="27">
        <v>77243.100000000006</v>
      </c>
      <c r="H10" s="27">
        <f ca="1">G10 / F10</f>
        <v>3218.4625000000001</v>
      </c>
      <c r="I10" t="s">
        <v>133</v>
      </c>
      <c r="J10" t="s">
        <v>141</v>
      </c>
      <c r="K10">
        <v>75000</v>
      </c>
      <c r="L10" t="str">
        <f>IF(G10 &lt;= K10, "Y", "Not covered")</f>
        <v>Not covered</v>
      </c>
      <c r="M10" t="str">
        <f>_xlfn.CONCAT(B10, E10, D10, UPPER(LEFT(I10, 3)), RIGHT(A10, 3))</f>
        <v>CR00CARBLA046</v>
      </c>
      <c r="O10" s="25" t="s">
        <v>139</v>
      </c>
      <c r="P10" s="23">
        <v>127731.3</v>
      </c>
    </row>
    <row r="11" spans="1:16" x14ac:dyDescent="0.2">
      <c r="A11" t="s">
        <v>171</v>
      </c>
      <c r="B11" t="str">
        <f>LEFT(A11, 2)</f>
        <v>TY</v>
      </c>
      <c r="C11" t="str">
        <f>VLOOKUP(B11, B$56:C$61, 2)</f>
        <v>Toyota</v>
      </c>
      <c r="D11" t="str">
        <f>MID(A11, 5, 3)</f>
        <v>CAM</v>
      </c>
      <c r="E11" t="str">
        <f>MID(A11, 3, 2)</f>
        <v>09</v>
      </c>
      <c r="F11">
        <f ca="1">IF(YEAR(TODAY()) - 2000 - E11 &lt; 0, YEAR(TODAY()) - 2000 + 100 - E11,  YEAR(TODAY()) - 2000 - E11)</f>
        <v>15</v>
      </c>
      <c r="G11" s="27">
        <v>48114.2</v>
      </c>
      <c r="H11" s="27">
        <f ca="1">G11 / F11</f>
        <v>3207.6133333333332</v>
      </c>
      <c r="I11" t="s">
        <v>135</v>
      </c>
      <c r="J11" t="s">
        <v>6</v>
      </c>
      <c r="K11">
        <v>100000</v>
      </c>
      <c r="L11" t="str">
        <f>IF(G11 &lt;= K11, "Y", "Not covered")</f>
        <v>Y</v>
      </c>
      <c r="M11" t="str">
        <f>_xlfn.CONCAT(B11, E11, D11, UPPER(LEFT(I11, 3)), RIGHT(A11, 3))</f>
        <v>TY09CAMWHI024</v>
      </c>
      <c r="O11" s="25" t="s">
        <v>136</v>
      </c>
      <c r="P11" s="23">
        <v>70964.899999999994</v>
      </c>
    </row>
    <row r="12" spans="1:16" x14ac:dyDescent="0.2">
      <c r="A12" t="s">
        <v>162</v>
      </c>
      <c r="B12" t="str">
        <f>LEFT(A12, 2)</f>
        <v>GM</v>
      </c>
      <c r="C12" t="str">
        <f>VLOOKUP(B12, B$56:C$61, 2)</f>
        <v>General Motors</v>
      </c>
      <c r="D12" t="str">
        <f>MID(A12, 5, 3)</f>
        <v>SLV</v>
      </c>
      <c r="E12" t="str">
        <f>MID(A12, 3, 2)</f>
        <v>98</v>
      </c>
      <c r="F12">
        <f ca="1">IF(YEAR(TODAY()) - 2000 - E12 &lt; 0, YEAR(TODAY()) - 2000 + 100 - E12,  YEAR(TODAY()) - 2000 - E12)</f>
        <v>26</v>
      </c>
      <c r="G12" s="27">
        <v>83162.7</v>
      </c>
      <c r="H12" s="27">
        <f ca="1">G12 / F12</f>
        <v>3198.5653846153846</v>
      </c>
      <c r="I12" t="s">
        <v>133</v>
      </c>
      <c r="J12" t="s">
        <v>155</v>
      </c>
      <c r="K12">
        <v>100000</v>
      </c>
      <c r="L12" t="str">
        <f>IF(G12 &lt;= K12, "Y", "Not covered")</f>
        <v>Y</v>
      </c>
      <c r="M12" t="str">
        <f>_xlfn.CONCAT(B12, E12, D12, UPPER(LEFT(I12, 3)), RIGHT(A12, 3))</f>
        <v>GM98SLVBLA018</v>
      </c>
      <c r="O12" s="25" t="s">
        <v>148</v>
      </c>
      <c r="P12" s="23">
        <v>65315</v>
      </c>
    </row>
    <row r="13" spans="1:16" x14ac:dyDescent="0.2">
      <c r="A13" t="s">
        <v>215</v>
      </c>
      <c r="B13" t="str">
        <f>LEFT(A13, 2)</f>
        <v>HO</v>
      </c>
      <c r="C13" t="str">
        <f>VLOOKUP(B13, B$56:C$61, 2)</f>
        <v>Honda</v>
      </c>
      <c r="D13" t="str">
        <f>MID(A13, 5, 3)</f>
        <v>ODY</v>
      </c>
      <c r="E13" t="str">
        <f>MID(A13, 3, 2)</f>
        <v>05</v>
      </c>
      <c r="F13">
        <f ca="1">IF(YEAR(TODAY()) - 2000 - E13 &lt; 0, YEAR(TODAY()) - 2000 + 100 - E13,  YEAR(TODAY()) - 2000 - E13)</f>
        <v>19</v>
      </c>
      <c r="G13" s="27">
        <v>60389.5</v>
      </c>
      <c r="H13" s="27">
        <f ca="1">G13 / F13</f>
        <v>3178.3947368421054</v>
      </c>
      <c r="I13" t="s">
        <v>135</v>
      </c>
      <c r="J13" t="s">
        <v>6</v>
      </c>
      <c r="K13">
        <v>100000</v>
      </c>
      <c r="L13" t="str">
        <f>IF(G13 &lt;= K13, "Y", "Not covered")</f>
        <v>Y</v>
      </c>
      <c r="M13" t="str">
        <f>_xlfn.CONCAT(B13, E13, D13, UPPER(LEFT(I13, 3)), RIGHT(A13, 3))</f>
        <v>HO05ODYWHI037</v>
      </c>
      <c r="O13" s="25" t="s">
        <v>154</v>
      </c>
      <c r="P13" s="23">
        <v>138561.5</v>
      </c>
    </row>
    <row r="14" spans="1:16" x14ac:dyDescent="0.2">
      <c r="A14" t="s">
        <v>192</v>
      </c>
      <c r="B14" t="str">
        <f>LEFT(A14, 2)</f>
        <v>CR</v>
      </c>
      <c r="C14" t="str">
        <f>VLOOKUP(B14, B$56:C$61, 2)</f>
        <v>Chrysler</v>
      </c>
      <c r="D14" t="str">
        <f>MID(A14, 5, 3)</f>
        <v>CAR</v>
      </c>
      <c r="E14" t="str">
        <f>MID(A14, 3, 2)</f>
        <v>99</v>
      </c>
      <c r="F14">
        <f ca="1">IF(YEAR(TODAY()) - 2000 - E14 &lt; 0, YEAR(TODAY()) - 2000 + 100 - E14,  YEAR(TODAY()) - 2000 - E14)</f>
        <v>25</v>
      </c>
      <c r="G14" s="27">
        <v>79420.600000000006</v>
      </c>
      <c r="H14" s="27">
        <f ca="1">G14 / F14</f>
        <v>3176.8240000000001</v>
      </c>
      <c r="I14" t="s">
        <v>138</v>
      </c>
      <c r="J14" t="s">
        <v>161</v>
      </c>
      <c r="K14">
        <v>75000</v>
      </c>
      <c r="L14" t="str">
        <f>IF(G14 &lt;= K14, "Y", "Not covered")</f>
        <v>Not covered</v>
      </c>
      <c r="M14" t="str">
        <f>_xlfn.CONCAT(B14, E14, D14, UPPER(LEFT(I14, 3)), RIGHT(A14, 3))</f>
        <v>CR99CARGRE045</v>
      </c>
      <c r="O14" s="25" t="s">
        <v>155</v>
      </c>
      <c r="P14" s="23">
        <v>141229.4</v>
      </c>
    </row>
    <row r="15" spans="1:16" x14ac:dyDescent="0.2">
      <c r="A15" t="s">
        <v>170</v>
      </c>
      <c r="B15" t="str">
        <f>LEFT(A15, 2)</f>
        <v>TY</v>
      </c>
      <c r="C15" t="str">
        <f>VLOOKUP(B15, B$56:C$61, 2)</f>
        <v>Toyota</v>
      </c>
      <c r="D15" t="str">
        <f>MID(A15, 5, 3)</f>
        <v>CAM</v>
      </c>
      <c r="E15" t="str">
        <f>MID(A15, 3, 2)</f>
        <v>02</v>
      </c>
      <c r="F15">
        <f ca="1">IF(YEAR(TODAY()) - 2000 - E15 &lt; 0, YEAR(TODAY()) - 2000 + 100 - E15,  YEAR(TODAY()) - 2000 - E15)</f>
        <v>22</v>
      </c>
      <c r="G15" s="27">
        <v>67829.100000000006</v>
      </c>
      <c r="H15" s="27">
        <f ca="1">G15 / F15</f>
        <v>3083.1409090909092</v>
      </c>
      <c r="I15" t="s">
        <v>133</v>
      </c>
      <c r="J15" t="s">
        <v>9</v>
      </c>
      <c r="K15">
        <v>100000</v>
      </c>
      <c r="L15" t="str">
        <f>IF(G15 &lt;= K15, "Y", "Not covered")</f>
        <v>Y</v>
      </c>
      <c r="M15" t="str">
        <f>_xlfn.CONCAT(B15, E15, D15, UPPER(LEFT(I15, 3)), RIGHT(A15, 3))</f>
        <v>TY02CAMBLA023</v>
      </c>
      <c r="O15" s="25" t="s">
        <v>9</v>
      </c>
      <c r="P15" s="23">
        <v>305432.40000000002</v>
      </c>
    </row>
    <row r="16" spans="1:16" x14ac:dyDescent="0.2">
      <c r="A16" t="s">
        <v>180</v>
      </c>
      <c r="B16" t="str">
        <f>LEFT(A16, 2)</f>
        <v>HO</v>
      </c>
      <c r="C16" t="str">
        <f>VLOOKUP(B16, B$56:C$61, 2)</f>
        <v>Honda</v>
      </c>
      <c r="D16" t="str">
        <f>MID(A16, 5, 3)</f>
        <v>CIV</v>
      </c>
      <c r="E16" t="str">
        <f>MID(A16, 3, 2)</f>
        <v>01</v>
      </c>
      <c r="F16">
        <f ca="1">IF(YEAR(TODAY()) - 2000 - E16 &lt; 0, YEAR(TODAY()) - 2000 + 100 - E16,  YEAR(TODAY()) - 2000 - E16)</f>
        <v>23</v>
      </c>
      <c r="G16" s="27">
        <v>69891.899999999994</v>
      </c>
      <c r="H16" s="27">
        <f ca="1">G16 / F16</f>
        <v>3038.7782608695647</v>
      </c>
      <c r="I16" t="s">
        <v>164</v>
      </c>
      <c r="J16" t="s">
        <v>141</v>
      </c>
      <c r="K16">
        <v>75000</v>
      </c>
      <c r="L16" t="str">
        <f>IF(G16 &lt;= K16, "Y", "Not covered")</f>
        <v>Y</v>
      </c>
      <c r="M16" t="str">
        <f>_xlfn.CONCAT(B16, E16, D16, UPPER(LEFT(I16, 3)), RIGHT(A16, 3))</f>
        <v>HO01CIVBLU031</v>
      </c>
      <c r="O16" s="25" t="s">
        <v>168</v>
      </c>
      <c r="P16" s="23">
        <v>177713.9</v>
      </c>
    </row>
    <row r="17" spans="1:16" x14ac:dyDescent="0.2">
      <c r="A17" t="s">
        <v>186</v>
      </c>
      <c r="B17" t="str">
        <f>LEFT(A17, 2)</f>
        <v>HO</v>
      </c>
      <c r="C17" t="str">
        <f>VLOOKUP(B17, B$56:C$61, 2)</f>
        <v>Honda</v>
      </c>
      <c r="D17" t="str">
        <f>MID(A17, 5, 3)</f>
        <v>ODY</v>
      </c>
      <c r="E17" t="str">
        <f>MID(A17, 3, 2)</f>
        <v>07</v>
      </c>
      <c r="F17">
        <f ca="1">IF(YEAR(TODAY()) - 2000 - E17 &lt; 0, YEAR(TODAY()) - 2000 + 100 - E17,  YEAR(TODAY()) - 2000 - E17)</f>
        <v>17</v>
      </c>
      <c r="G17" s="27">
        <v>50854.1</v>
      </c>
      <c r="H17" s="27">
        <f ca="1">G17 / F17</f>
        <v>2991.4176470588236</v>
      </c>
      <c r="I17" t="s">
        <v>133</v>
      </c>
      <c r="J17" t="s">
        <v>168</v>
      </c>
      <c r="K17">
        <v>100000</v>
      </c>
      <c r="L17" t="str">
        <f>IF(G17 &lt;= K17, "Y", "Not covered")</f>
        <v>Y</v>
      </c>
      <c r="M17" t="str">
        <f>_xlfn.CONCAT(B17, E17, D17, UPPER(LEFT(I17, 3)), RIGHT(A17, 3))</f>
        <v>HO07ODYBLA038</v>
      </c>
      <c r="O17" s="25" t="s">
        <v>159</v>
      </c>
      <c r="P17" s="23">
        <v>65964.899999999994</v>
      </c>
    </row>
    <row r="18" spans="1:16" x14ac:dyDescent="0.2">
      <c r="A18" t="s">
        <v>212</v>
      </c>
      <c r="B18" t="str">
        <f>LEFT(A18, 2)</f>
        <v>HO</v>
      </c>
      <c r="C18" t="str">
        <f>VLOOKUP(B18, B$56:C$61, 2)</f>
        <v>Honda</v>
      </c>
      <c r="D18" t="str">
        <f>MID(A18, 5, 3)</f>
        <v>ODY</v>
      </c>
      <c r="E18" t="str">
        <f>MID(A18, 3, 2)</f>
        <v>01</v>
      </c>
      <c r="F18">
        <f ca="1">IF(YEAR(TODAY()) - 2000 - E18 &lt; 0, YEAR(TODAY()) - 2000 + 100 - E18,  YEAR(TODAY()) - 2000 - E18)</f>
        <v>23</v>
      </c>
      <c r="G18" s="27">
        <v>68658.899999999994</v>
      </c>
      <c r="H18" s="27">
        <f ca="1">G18 / F18</f>
        <v>2985.1695652173912</v>
      </c>
      <c r="I18" t="s">
        <v>133</v>
      </c>
      <c r="J18" t="s">
        <v>9</v>
      </c>
      <c r="K18">
        <v>100000</v>
      </c>
      <c r="L18" t="str">
        <f>IF(G18 &lt;= K18, "Y", "Not covered")</f>
        <v>Y</v>
      </c>
      <c r="M18" t="str">
        <f>_xlfn.CONCAT(B18, E18, D18, UPPER(LEFT(I18, 3)), RIGHT(A18, 3))</f>
        <v>HO01ODYBLA040</v>
      </c>
      <c r="O18" s="25" t="s">
        <v>152</v>
      </c>
      <c r="P18" s="23">
        <v>130601.59999999999</v>
      </c>
    </row>
    <row r="19" spans="1:16" x14ac:dyDescent="0.2">
      <c r="A19" t="s">
        <v>172</v>
      </c>
      <c r="B19" t="str">
        <f>LEFT(A19, 2)</f>
        <v>TY</v>
      </c>
      <c r="C19" t="str">
        <f>VLOOKUP(B19, B$56:C$61, 2)</f>
        <v>Toyota</v>
      </c>
      <c r="D19" t="str">
        <f>MID(A19, 5, 3)</f>
        <v>COR</v>
      </c>
      <c r="E19" t="str">
        <f>MID(A19, 3, 2)</f>
        <v>02</v>
      </c>
      <c r="F19">
        <f ca="1">IF(YEAR(TODAY()) - 2000 - E19 &lt; 0, YEAR(TODAY()) - 2000 + 100 - E19,  YEAR(TODAY()) - 2000 - E19)</f>
        <v>22</v>
      </c>
      <c r="G19" s="27">
        <v>64467.4</v>
      </c>
      <c r="H19" s="27">
        <f ca="1">G19 / F19</f>
        <v>2930.3363636363638</v>
      </c>
      <c r="I19" t="s">
        <v>173</v>
      </c>
      <c r="J19" t="s">
        <v>174</v>
      </c>
      <c r="K19">
        <v>100000</v>
      </c>
      <c r="L19" t="str">
        <f>IF(G19 &lt;= K19, "Y", "Not covered")</f>
        <v>Y</v>
      </c>
      <c r="M19" t="str">
        <f>_xlfn.CONCAT(B19, E19, D19, UPPER(LEFT(I19, 3)), RIGHT(A19, 3))</f>
        <v>TY02CORRED025</v>
      </c>
      <c r="O19" s="25" t="s">
        <v>150</v>
      </c>
      <c r="P19" s="23">
        <v>19341.7</v>
      </c>
    </row>
    <row r="20" spans="1:16" x14ac:dyDescent="0.2">
      <c r="A20" t="s">
        <v>144</v>
      </c>
      <c r="B20" t="str">
        <f>LEFT(A20, 2)</f>
        <v>FD</v>
      </c>
      <c r="C20" t="str">
        <f>VLOOKUP(B20, B$56:C$61, 2)</f>
        <v>Ford</v>
      </c>
      <c r="D20" t="str">
        <f>MID(A20, 5, 3)</f>
        <v>FCS</v>
      </c>
      <c r="E20" t="str">
        <f>MID(A20, 3, 2)</f>
        <v>06</v>
      </c>
      <c r="F20">
        <f ca="1">IF(YEAR(TODAY()) - 2000 - E20 &lt; 0, YEAR(TODAY()) - 2000 + 100 - E20,  YEAR(TODAY()) - 2000 - E20)</f>
        <v>18</v>
      </c>
      <c r="G20" s="27">
        <v>52229.5</v>
      </c>
      <c r="H20" s="27">
        <f ca="1">G20 / F20</f>
        <v>2901.6388888888887</v>
      </c>
      <c r="I20" t="s">
        <v>138</v>
      </c>
      <c r="J20" t="s">
        <v>139</v>
      </c>
      <c r="K20">
        <v>75000</v>
      </c>
      <c r="L20" t="str">
        <f>IF(G20 &lt;= K20, "Y", "Not covered")</f>
        <v>Y</v>
      </c>
      <c r="M20" t="str">
        <f>_xlfn.CONCAT(B20, E20, D20, UPPER(LEFT(I20, 3)), RIGHT(A20, 3))</f>
        <v>FD06FCSGRE007</v>
      </c>
      <c r="O20" s="25" t="s">
        <v>118</v>
      </c>
      <c r="P20" s="23">
        <v>2335987.2999999998</v>
      </c>
    </row>
    <row r="21" spans="1:16" x14ac:dyDescent="0.2">
      <c r="A21" t="s">
        <v>137</v>
      </c>
      <c r="B21" t="str">
        <f>LEFT(A21, 2)</f>
        <v>FD</v>
      </c>
      <c r="C21" t="str">
        <f>VLOOKUP(B21, B$56:C$61, 2)</f>
        <v>Ford</v>
      </c>
      <c r="D21" t="str">
        <f>MID(A21, 5, 3)</f>
        <v>MTG</v>
      </c>
      <c r="E21" t="str">
        <f>MID(A21, 3, 2)</f>
        <v>08</v>
      </c>
      <c r="F21">
        <f ca="1">IF(YEAR(TODAY()) - 2000 - E21 &lt; 0, YEAR(TODAY()) - 2000 + 100 - E21,  YEAR(TODAY()) - 2000 - E21)</f>
        <v>16</v>
      </c>
      <c r="G21" s="27">
        <v>44946.5</v>
      </c>
      <c r="H21" s="27">
        <f ca="1">G21 / F21</f>
        <v>2809.15625</v>
      </c>
      <c r="I21" t="s">
        <v>138</v>
      </c>
      <c r="J21" t="s">
        <v>139</v>
      </c>
      <c r="K21">
        <v>50000</v>
      </c>
      <c r="L21" t="str">
        <f>IF(G21 &lt;= K21, "Y", "Not covered")</f>
        <v>Y</v>
      </c>
      <c r="M21" t="str">
        <f>_xlfn.CONCAT(B21, E21, D21, UPPER(LEFT(I21, 3)), RIGHT(A21, 3))</f>
        <v>FD08MTGGRE003</v>
      </c>
    </row>
    <row r="22" spans="1:16" x14ac:dyDescent="0.2">
      <c r="A22" t="s">
        <v>187</v>
      </c>
      <c r="B22" t="str">
        <f>LEFT(A22, 2)</f>
        <v>HO</v>
      </c>
      <c r="C22" t="str">
        <f>VLOOKUP(B22, B$56:C$61, 2)</f>
        <v>Honda</v>
      </c>
      <c r="D22" t="str">
        <f>MID(A22, 5, 3)</f>
        <v>ODY</v>
      </c>
      <c r="E22" t="str">
        <f>MID(A22, 3, 2)</f>
        <v>08</v>
      </c>
      <c r="F22">
        <f ca="1">IF(YEAR(TODAY()) - 2000 - E22 &lt; 0, YEAR(TODAY()) - 2000 + 100 - E22,  YEAR(TODAY()) - 2000 - E22)</f>
        <v>16</v>
      </c>
      <c r="G22" s="27">
        <v>42504.6</v>
      </c>
      <c r="H22" s="27">
        <f ca="1">G22 / F22</f>
        <v>2656.5374999999999</v>
      </c>
      <c r="I22" t="s">
        <v>135</v>
      </c>
      <c r="J22" t="s">
        <v>154</v>
      </c>
      <c r="K22">
        <v>100000</v>
      </c>
      <c r="L22" t="str">
        <f>IF(G22 &lt;= K22, "Y", "Not covered")</f>
        <v>Y</v>
      </c>
      <c r="M22" t="str">
        <f>_xlfn.CONCAT(B22, E22, D22, UPPER(LEFT(I22, 3)), RIGHT(A22, 3))</f>
        <v>HO08ODYWHI039</v>
      </c>
    </row>
    <row r="23" spans="1:16" x14ac:dyDescent="0.2">
      <c r="A23" t="s">
        <v>195</v>
      </c>
      <c r="B23" t="str">
        <f>LEFT(A23, 2)</f>
        <v>CR</v>
      </c>
      <c r="C23" t="str">
        <f>VLOOKUP(B23, B$56:C$61, 2)</f>
        <v>Chrysler</v>
      </c>
      <c r="D23" t="str">
        <f>MID(A23, 5, 3)</f>
        <v>CAR</v>
      </c>
      <c r="E23" t="str">
        <f>MID(A23, 3, 2)</f>
        <v>04</v>
      </c>
      <c r="F23">
        <f ca="1">IF(YEAR(TODAY()) - 2000 - E23 &lt; 0, YEAR(TODAY()) - 2000 + 100 - E23,  YEAR(TODAY()) - 2000 - E23)</f>
        <v>20</v>
      </c>
      <c r="G23" s="27">
        <v>52699.4</v>
      </c>
      <c r="H23" s="27">
        <f ca="1">G23 / F23</f>
        <v>2634.9700000000003</v>
      </c>
      <c r="I23" t="s">
        <v>173</v>
      </c>
      <c r="J23" t="s">
        <v>157</v>
      </c>
      <c r="K23">
        <v>75000</v>
      </c>
      <c r="L23" t="str">
        <f>IF(G23 &lt;= K23, "Y", "Not covered")</f>
        <v>Y</v>
      </c>
      <c r="M23" t="str">
        <f>_xlfn.CONCAT(B23, E23, D23, UPPER(LEFT(I23, 3)), RIGHT(A23, 3))</f>
        <v>CR04CARRED048</v>
      </c>
    </row>
    <row r="24" spans="1:16" x14ac:dyDescent="0.2">
      <c r="A24" t="s">
        <v>213</v>
      </c>
      <c r="B24" t="str">
        <f>LEFT(A24, 2)</f>
        <v>FD</v>
      </c>
      <c r="C24" t="str">
        <f>VLOOKUP(B24, B$56:C$61, 2)</f>
        <v>Ford</v>
      </c>
      <c r="D24" t="str">
        <f>MID(A24, 5, 3)</f>
        <v>FCS</v>
      </c>
      <c r="E24" t="str">
        <f>MID(A24, 3, 2)</f>
        <v>06</v>
      </c>
      <c r="F24">
        <f ca="1">IF(YEAR(TODAY()) - 2000 - E24 &lt; 0, YEAR(TODAY()) - 2000 + 100 - E24,  YEAR(TODAY()) - 2000 - E24)</f>
        <v>18</v>
      </c>
      <c r="G24" s="27">
        <v>46311.4</v>
      </c>
      <c r="H24" s="27">
        <f ca="1">G24 / F24</f>
        <v>2572.8555555555558</v>
      </c>
      <c r="I24" t="s">
        <v>138</v>
      </c>
      <c r="J24" t="s">
        <v>143</v>
      </c>
      <c r="K24">
        <v>75000</v>
      </c>
      <c r="L24" t="str">
        <f>IF(G24 &lt;= K24, "Y", "Not covered")</f>
        <v>Y</v>
      </c>
      <c r="M24" t="str">
        <f>_xlfn.CONCAT(B24, E24, D24, UPPER(LEFT(I24, 3)), RIGHT(A24, 3))</f>
        <v>FD06FCSGRE006</v>
      </c>
    </row>
    <row r="25" spans="1:16" x14ac:dyDescent="0.2">
      <c r="A25" t="s">
        <v>146</v>
      </c>
      <c r="B25" t="str">
        <f>LEFT(A25, 2)</f>
        <v>FD</v>
      </c>
      <c r="C25" t="str">
        <f>VLOOKUP(B25, B$56:C$61, 2)</f>
        <v>Ford</v>
      </c>
      <c r="D25" t="str">
        <f>MID(A25, 5, 3)</f>
        <v>FCS</v>
      </c>
      <c r="E25" t="str">
        <f>MID(A25, 3, 2)</f>
        <v>13</v>
      </c>
      <c r="F25">
        <f ca="1">IF(YEAR(TODAY()) - 2000 - E25 &lt; 0, YEAR(TODAY()) - 2000 + 100 - E25,  YEAR(TODAY()) - 2000 - E25)</f>
        <v>11</v>
      </c>
      <c r="G25" s="27">
        <v>27637.1</v>
      </c>
      <c r="H25" s="27">
        <f ca="1">G25 / F25</f>
        <v>2512.4636363636364</v>
      </c>
      <c r="I25" t="s">
        <v>133</v>
      </c>
      <c r="J25" t="s">
        <v>9</v>
      </c>
      <c r="K25">
        <v>75000</v>
      </c>
      <c r="L25" t="str">
        <f>IF(G25 &lt;= K25, "Y", "Not covered")</f>
        <v>Y</v>
      </c>
      <c r="M25" t="str">
        <f>_xlfn.CONCAT(B25, E25, D25, UPPER(LEFT(I25, 3)), RIGHT(A25, 3))</f>
        <v>FD13FCSBLA009</v>
      </c>
    </row>
    <row r="26" spans="1:16" x14ac:dyDescent="0.2">
      <c r="A26" t="s">
        <v>147</v>
      </c>
      <c r="B26" t="str">
        <f>LEFT(A26, 2)</f>
        <v>FD</v>
      </c>
      <c r="C26" t="str">
        <f>VLOOKUP(B26, B$56:C$61, 2)</f>
        <v>Ford</v>
      </c>
      <c r="D26" t="str">
        <f>MID(A26, 5, 3)</f>
        <v>FCS</v>
      </c>
      <c r="E26" t="str">
        <f>MID(A26, 3, 2)</f>
        <v>13</v>
      </c>
      <c r="F26">
        <f ca="1">IF(YEAR(TODAY()) - 2000 - E26 &lt; 0, YEAR(TODAY()) - 2000 + 100 - E26,  YEAR(TODAY()) - 2000 - E26)</f>
        <v>11</v>
      </c>
      <c r="G26" s="27">
        <v>27534.799999999999</v>
      </c>
      <c r="H26" s="27">
        <f ca="1">G26 / F26</f>
        <v>2503.1636363636362</v>
      </c>
      <c r="I26" t="s">
        <v>135</v>
      </c>
      <c r="J26" t="s">
        <v>148</v>
      </c>
      <c r="K26">
        <v>75000</v>
      </c>
      <c r="L26" t="str">
        <f>IF(G26 &lt;= K26, "Y", "Not covered")</f>
        <v>Y</v>
      </c>
      <c r="M26" t="str">
        <f>_xlfn.CONCAT(B26, E26, D26, UPPER(LEFT(I26, 3)), RIGHT(A26, 3))</f>
        <v>FD13FCSWHI010</v>
      </c>
    </row>
    <row r="27" spans="1:16" x14ac:dyDescent="0.2">
      <c r="A27" t="s">
        <v>134</v>
      </c>
      <c r="B27" t="str">
        <f>LEFT(A27, 2)</f>
        <v>FD</v>
      </c>
      <c r="C27" t="str">
        <f>VLOOKUP(B27, B$56:C$61, 2)</f>
        <v>Ford</v>
      </c>
      <c r="D27" t="str">
        <f>MID(A27, 5, 3)</f>
        <v>MTG</v>
      </c>
      <c r="E27" t="str">
        <f>MID(A27, 3, 2)</f>
        <v>06</v>
      </c>
      <c r="F27">
        <f ca="1">IF(YEAR(TODAY()) - 2000 - E27 &lt; 0, YEAR(TODAY()) - 2000 + 100 - E27,  YEAR(TODAY()) - 2000 - E27)</f>
        <v>18</v>
      </c>
      <c r="G27" s="27">
        <v>44974.8</v>
      </c>
      <c r="H27" s="27">
        <f ca="1">G27 / F27</f>
        <v>2498.6000000000004</v>
      </c>
      <c r="I27" t="s">
        <v>135</v>
      </c>
      <c r="J27" t="s">
        <v>136</v>
      </c>
      <c r="K27">
        <v>50000</v>
      </c>
      <c r="L27" t="str">
        <f>IF(G27 &lt;= K27, "Y", "Not covered")</f>
        <v>Y</v>
      </c>
      <c r="M27" t="str">
        <f>_xlfn.CONCAT(B27, E27, D27, UPPER(LEFT(I27, 3)), RIGHT(A27, 3))</f>
        <v>FD06MTGWHI002</v>
      </c>
    </row>
    <row r="28" spans="1:16" x14ac:dyDescent="0.2">
      <c r="A28" t="s">
        <v>190</v>
      </c>
      <c r="B28" t="str">
        <f>LEFT(A28, 2)</f>
        <v>CR</v>
      </c>
      <c r="C28" t="str">
        <f>VLOOKUP(B28, B$56:C$61, 2)</f>
        <v>Chrysler</v>
      </c>
      <c r="D28" t="str">
        <f>MID(A28, 5, 3)</f>
        <v>PTC</v>
      </c>
      <c r="E28" t="str">
        <f>MID(A28, 3, 2)</f>
        <v>07</v>
      </c>
      <c r="F28">
        <f ca="1">IF(YEAR(TODAY()) - 2000 - E28 &lt; 0, YEAR(TODAY()) - 2000 + 100 - E28,  YEAR(TODAY()) - 2000 - E28)</f>
        <v>17</v>
      </c>
      <c r="G28" s="27">
        <v>42074.2</v>
      </c>
      <c r="H28" s="27">
        <f ca="1">G28 / F28</f>
        <v>2474.9529411764706</v>
      </c>
      <c r="I28" t="s">
        <v>138</v>
      </c>
      <c r="J28" t="s">
        <v>174</v>
      </c>
      <c r="K28">
        <v>75000</v>
      </c>
      <c r="L28" t="str">
        <f>IF(G28 &lt;= K28, "Y", "Not covered")</f>
        <v>Y</v>
      </c>
      <c r="M28" t="str">
        <f>_xlfn.CONCAT(B28, E28, D28, UPPER(LEFT(I28, 3)), RIGHT(A28, 3))</f>
        <v>CR07PTCGRE043</v>
      </c>
    </row>
    <row r="29" spans="1:16" x14ac:dyDescent="0.2">
      <c r="A29" t="s">
        <v>177</v>
      </c>
      <c r="B29" t="str">
        <f>LEFT(A29, 2)</f>
        <v>TY</v>
      </c>
      <c r="C29" t="str">
        <f>VLOOKUP(B29, B$56:C$61, 2)</f>
        <v>Toyota</v>
      </c>
      <c r="D29" t="str">
        <f>MID(A29, 5, 3)</f>
        <v>COR</v>
      </c>
      <c r="E29" t="str">
        <f>MID(A29, 3, 2)</f>
        <v>12</v>
      </c>
      <c r="F29">
        <f ca="1">IF(YEAR(TODAY()) - 2000 - E29 &lt; 0, YEAR(TODAY()) - 2000 + 100 - E29,  YEAR(TODAY()) - 2000 - E29)</f>
        <v>12</v>
      </c>
      <c r="G29" s="27">
        <v>29601.9</v>
      </c>
      <c r="H29" s="27">
        <f ca="1">G29 / F29</f>
        <v>2466.8250000000003</v>
      </c>
      <c r="I29" t="s">
        <v>133</v>
      </c>
      <c r="J29" t="s">
        <v>155</v>
      </c>
      <c r="K29">
        <v>100000</v>
      </c>
      <c r="L29" t="str">
        <f>IF(G29 &lt;= K29, "Y", "Not covered")</f>
        <v>Y</v>
      </c>
      <c r="M29" t="str">
        <f>_xlfn.CONCAT(B29, E29, D29, UPPER(LEFT(I29, 3)), RIGHT(A29, 3))</f>
        <v>TY12CORBLA028</v>
      </c>
    </row>
    <row r="30" spans="1:16" x14ac:dyDescent="0.2">
      <c r="A30" t="s">
        <v>182</v>
      </c>
      <c r="B30" t="str">
        <f>LEFT(A30, 2)</f>
        <v>HO</v>
      </c>
      <c r="C30" t="str">
        <f>VLOOKUP(B30, B$56:C$61, 2)</f>
        <v>Honda</v>
      </c>
      <c r="D30" t="str">
        <f>MID(A30, 5, 3)</f>
        <v>CIV</v>
      </c>
      <c r="E30" t="str">
        <f>MID(A30, 3, 2)</f>
        <v>10</v>
      </c>
      <c r="F30">
        <f ca="1">IF(YEAR(TODAY()) - 2000 - E30 &lt; 0, YEAR(TODAY()) - 2000 + 100 - E30,  YEAR(TODAY()) - 2000 - E30)</f>
        <v>14</v>
      </c>
      <c r="G30" s="27">
        <v>33477.199999999997</v>
      </c>
      <c r="H30" s="27">
        <f ca="1">G30 / F30</f>
        <v>2391.2285714285713</v>
      </c>
      <c r="I30" t="s">
        <v>133</v>
      </c>
      <c r="J30" t="s">
        <v>168</v>
      </c>
      <c r="K30">
        <v>75000</v>
      </c>
      <c r="L30" t="str">
        <f>IF(G30 &lt;= K30, "Y", "Not covered")</f>
        <v>Y</v>
      </c>
      <c r="M30" t="str">
        <f>_xlfn.CONCAT(B30, E30, D30, UPPER(LEFT(I30, 3)), RIGHT(A30, 3))</f>
        <v>HO10CIVBLA033</v>
      </c>
    </row>
    <row r="31" spans="1:16" x14ac:dyDescent="0.2">
      <c r="A31" t="s">
        <v>183</v>
      </c>
      <c r="B31" t="str">
        <f>LEFT(A31, 2)</f>
        <v>HO</v>
      </c>
      <c r="C31" t="str">
        <f>VLOOKUP(B31, B$56:C$61, 2)</f>
        <v>Honda</v>
      </c>
      <c r="D31" t="str">
        <f>MID(A31, 5, 3)</f>
        <v>CIV</v>
      </c>
      <c r="E31" t="str">
        <f>MID(A31, 3, 2)</f>
        <v>11</v>
      </c>
      <c r="F31">
        <f ca="1">IF(YEAR(TODAY()) - 2000 - E31 &lt; 0, YEAR(TODAY()) - 2000 + 100 - E31,  YEAR(TODAY()) - 2000 - E31)</f>
        <v>13</v>
      </c>
      <c r="G31" s="27">
        <v>30555.3</v>
      </c>
      <c r="H31" s="27">
        <f ca="1">G31 / F31</f>
        <v>2350.4076923076923</v>
      </c>
      <c r="I31" t="s">
        <v>133</v>
      </c>
      <c r="J31" t="s">
        <v>139</v>
      </c>
      <c r="K31">
        <v>75000</v>
      </c>
      <c r="L31" t="str">
        <f>IF(G31 &lt;= K31, "Y", "Not covered")</f>
        <v>Y</v>
      </c>
      <c r="M31" t="str">
        <f>_xlfn.CONCAT(B31, E31, D31, UPPER(LEFT(I31, 3)), RIGHT(A31, 3))</f>
        <v>HO11CIVBLA034</v>
      </c>
    </row>
    <row r="32" spans="1:16" x14ac:dyDescent="0.2">
      <c r="A32" t="s">
        <v>140</v>
      </c>
      <c r="B32" t="str">
        <f>LEFT(A32, 2)</f>
        <v>FD</v>
      </c>
      <c r="C32" t="str">
        <f>VLOOKUP(B32, B$56:C$61, 2)</f>
        <v>Ford</v>
      </c>
      <c r="D32" t="str">
        <f>MID(A32, 5, 3)</f>
        <v>MTG</v>
      </c>
      <c r="E32" t="str">
        <f>MID(A32, 3, 2)</f>
        <v>08</v>
      </c>
      <c r="F32">
        <f ca="1">IF(YEAR(TODAY()) - 2000 - E32 &lt; 0, YEAR(TODAY()) - 2000 + 100 - E32,  YEAR(TODAY()) - 2000 - E32)</f>
        <v>16</v>
      </c>
      <c r="G32" s="27">
        <v>37558.800000000003</v>
      </c>
      <c r="H32" s="27">
        <f ca="1">G32 / F32</f>
        <v>2347.4250000000002</v>
      </c>
      <c r="I32" t="s">
        <v>133</v>
      </c>
      <c r="J32" t="s">
        <v>141</v>
      </c>
      <c r="K32">
        <v>50000</v>
      </c>
      <c r="L32" t="str">
        <f>IF(G32 &lt;= K32, "Y", "Not covered")</f>
        <v>Y</v>
      </c>
      <c r="M32" t="str">
        <f>_xlfn.CONCAT(B32, E32, D32, UPPER(LEFT(I32, 3)), RIGHT(A32, 3))</f>
        <v>FD08MTGBLA004</v>
      </c>
    </row>
    <row r="33" spans="1:13" x14ac:dyDescent="0.2">
      <c r="A33" t="s">
        <v>145</v>
      </c>
      <c r="B33" t="str">
        <f>LEFT(A33, 2)</f>
        <v>FD</v>
      </c>
      <c r="C33" t="str">
        <f>VLOOKUP(B33, B$56:C$61, 2)</f>
        <v>Ford</v>
      </c>
      <c r="D33" t="str">
        <f>MID(A33, 5, 3)</f>
        <v>FCS</v>
      </c>
      <c r="E33" t="str">
        <f>MID(A33, 3, 2)</f>
        <v>09</v>
      </c>
      <c r="F33">
        <f ca="1">IF(YEAR(TODAY()) - 2000 - E33 &lt; 0, YEAR(TODAY()) - 2000 + 100 - E33,  YEAR(TODAY()) - 2000 - E33)</f>
        <v>15</v>
      </c>
      <c r="G33" s="27">
        <v>35137</v>
      </c>
      <c r="H33" s="27">
        <f ca="1">G33 / F33</f>
        <v>2342.4666666666667</v>
      </c>
      <c r="I33" t="s">
        <v>133</v>
      </c>
      <c r="J33" t="s">
        <v>6</v>
      </c>
      <c r="K33">
        <v>75000</v>
      </c>
      <c r="L33" t="str">
        <f>IF(G33 &lt;= K33, "Y", "Not covered")</f>
        <v>Y</v>
      </c>
      <c r="M33" t="str">
        <f>_xlfn.CONCAT(B33, E33, D33, UPPER(LEFT(I33, 3)), RIGHT(A33, 3))</f>
        <v>FD09FCSBLA008</v>
      </c>
    </row>
    <row r="34" spans="1:13" x14ac:dyDescent="0.2">
      <c r="A34" t="s">
        <v>142</v>
      </c>
      <c r="B34" t="str">
        <f>LEFT(A34, 2)</f>
        <v>FD</v>
      </c>
      <c r="C34" t="str">
        <f>VLOOKUP(B34, B$56:C$61, 2)</f>
        <v>Ford</v>
      </c>
      <c r="D34" t="str">
        <f>MID(A34, 5, 3)</f>
        <v>MTG</v>
      </c>
      <c r="E34" t="str">
        <f>MID(A34, 3, 2)</f>
        <v>08</v>
      </c>
      <c r="F34">
        <f ca="1">IF(YEAR(TODAY()) - 2000 - E34 &lt; 0, YEAR(TODAY()) - 2000 + 100 - E34,  YEAR(TODAY()) - 2000 - E34)</f>
        <v>16</v>
      </c>
      <c r="G34" s="27">
        <v>36438.5</v>
      </c>
      <c r="H34" s="27">
        <f ca="1">G34 / F34</f>
        <v>2277.40625</v>
      </c>
      <c r="I34" t="s">
        <v>135</v>
      </c>
      <c r="J34" t="s">
        <v>9</v>
      </c>
      <c r="K34">
        <v>50000</v>
      </c>
      <c r="L34" t="str">
        <f>IF(G34 &lt;= K34, "Y", "Not covered")</f>
        <v>Y</v>
      </c>
      <c r="M34" t="str">
        <f>_xlfn.CONCAT(B34, E34, D34, UPPER(LEFT(I34, 3)), RIGHT(A34, 3))</f>
        <v>FD08MTGWHI005</v>
      </c>
    </row>
    <row r="35" spans="1:13" x14ac:dyDescent="0.2">
      <c r="A35" t="s">
        <v>132</v>
      </c>
      <c r="B35" t="str">
        <f>LEFT(A35, 2)</f>
        <v>FD</v>
      </c>
      <c r="C35" t="str">
        <f>VLOOKUP(B35, B$56:C$61, 2)</f>
        <v>Ford</v>
      </c>
      <c r="D35" t="str">
        <f>MID(A35, 5, 3)</f>
        <v>MTG</v>
      </c>
      <c r="E35" t="str">
        <f>MID(A35, 3, 2)</f>
        <v>06</v>
      </c>
      <c r="F35">
        <f ca="1">IF(YEAR(TODAY()) - 2000 - E35 &lt; 0, YEAR(TODAY()) - 2000 + 100 - E35,  YEAR(TODAY()) - 2000 - E35)</f>
        <v>18</v>
      </c>
      <c r="G35" s="27">
        <v>40326.800000000003</v>
      </c>
      <c r="H35" s="27">
        <f ca="1">G35 / F35</f>
        <v>2240.3777777777777</v>
      </c>
      <c r="I35" t="s">
        <v>133</v>
      </c>
      <c r="J35" t="s">
        <v>9</v>
      </c>
      <c r="K35">
        <v>50000</v>
      </c>
      <c r="L35" t="str">
        <f>IF(G35 &lt;= K35, "Y", "Not covered")</f>
        <v>Y</v>
      </c>
      <c r="M35" t="str">
        <f>_xlfn.CONCAT(B35, E35, D35, UPPER(LEFT(I35, 3)), RIGHT(A35, 3))</f>
        <v>FD06MTGBLA001</v>
      </c>
    </row>
    <row r="36" spans="1:13" x14ac:dyDescent="0.2">
      <c r="A36" t="s">
        <v>196</v>
      </c>
      <c r="B36" t="str">
        <f>LEFT(A36, 2)</f>
        <v>HY</v>
      </c>
      <c r="C36" t="str">
        <f>VLOOKUP(B36, B$56:C$61, 2)</f>
        <v>Hundai</v>
      </c>
      <c r="D36" t="str">
        <f>MID(A36, 5, 3)</f>
        <v>ELA</v>
      </c>
      <c r="E36" t="str">
        <f>MID(A36, 3, 2)</f>
        <v>11</v>
      </c>
      <c r="F36">
        <f ca="1">IF(YEAR(TODAY()) - 2000 - E36 &lt; 0, YEAR(TODAY()) - 2000 + 100 - E36,  YEAR(TODAY()) - 2000 - E36)</f>
        <v>13</v>
      </c>
      <c r="G36" s="27">
        <v>29102.3</v>
      </c>
      <c r="H36" s="27">
        <f ca="1">G36 / F36</f>
        <v>2238.6384615384613</v>
      </c>
      <c r="I36" t="s">
        <v>133</v>
      </c>
      <c r="J36" t="s">
        <v>159</v>
      </c>
      <c r="K36">
        <v>100000</v>
      </c>
      <c r="L36" t="str">
        <f>IF(G36 &lt;= K36, "Y", "Not covered")</f>
        <v>Y</v>
      </c>
      <c r="M36" t="str">
        <f>_xlfn.CONCAT(B36, E36, D36, UPPER(LEFT(I36, 3)), RIGHT(A36, 3))</f>
        <v>HY11ELABLA049</v>
      </c>
    </row>
    <row r="37" spans="1:13" x14ac:dyDescent="0.2">
      <c r="A37" t="s">
        <v>160</v>
      </c>
      <c r="B37" t="str">
        <f>LEFT(A37, 2)</f>
        <v>GM</v>
      </c>
      <c r="C37" t="str">
        <f>VLOOKUP(B37, B$56:C$61, 2)</f>
        <v>General Motors</v>
      </c>
      <c r="D37" t="str">
        <f>MID(A37, 5, 3)</f>
        <v>SLV</v>
      </c>
      <c r="E37" t="str">
        <f>MID(A37, 3, 2)</f>
        <v>10</v>
      </c>
      <c r="F37">
        <f ca="1">IF(YEAR(TODAY()) - 2000 - E37 &lt; 0, YEAR(TODAY()) - 2000 + 100 - E37,  YEAR(TODAY()) - 2000 - E37)</f>
        <v>14</v>
      </c>
      <c r="G37" s="27">
        <v>31144.400000000001</v>
      </c>
      <c r="H37" s="27">
        <f ca="1">G37 / F37</f>
        <v>2224.6</v>
      </c>
      <c r="I37" t="s">
        <v>133</v>
      </c>
      <c r="J37" t="s">
        <v>161</v>
      </c>
      <c r="K37">
        <v>100000</v>
      </c>
      <c r="L37" t="str">
        <f>IF(G37 &lt;= K37, "Y", "Not covered")</f>
        <v>Y</v>
      </c>
      <c r="M37" t="str">
        <f>_xlfn.CONCAT(B37, E37, D37, UPPER(LEFT(I37, 3)), RIGHT(A37, 3))</f>
        <v>GM10SLVBLA017</v>
      </c>
    </row>
    <row r="38" spans="1:13" x14ac:dyDescent="0.2">
      <c r="A38" t="s">
        <v>191</v>
      </c>
      <c r="B38" t="str">
        <f>LEFT(A38, 2)</f>
        <v>CR</v>
      </c>
      <c r="C38" t="str">
        <f>VLOOKUP(B38, B$56:C$61, 2)</f>
        <v>Chrysler</v>
      </c>
      <c r="D38" t="str">
        <f>MID(A38, 5, 3)</f>
        <v>PTC</v>
      </c>
      <c r="E38" t="str">
        <f>MID(A38, 3, 2)</f>
        <v>11</v>
      </c>
      <c r="F38">
        <f ca="1">IF(YEAR(TODAY()) - 2000 - E38 &lt; 0, YEAR(TODAY()) - 2000 + 100 - E38,  YEAR(TODAY()) - 2000 - E38)</f>
        <v>13</v>
      </c>
      <c r="G38" s="27">
        <v>27394.2</v>
      </c>
      <c r="H38" s="27">
        <f ca="1">G38 / F38</f>
        <v>2107.2461538461539</v>
      </c>
      <c r="I38" t="s">
        <v>133</v>
      </c>
      <c r="J38" t="s">
        <v>152</v>
      </c>
      <c r="K38">
        <v>75000</v>
      </c>
      <c r="L38" t="str">
        <f>IF(G38 &lt;= K38, "Y", "Not covered")</f>
        <v>Y</v>
      </c>
      <c r="M38" t="str">
        <f>_xlfn.CONCAT(B38, E38, D38, UPPER(LEFT(I38, 3)), RIGHT(A38, 3))</f>
        <v>CR11PTCBLA044</v>
      </c>
    </row>
    <row r="39" spans="1:13" x14ac:dyDescent="0.2">
      <c r="A39" t="s">
        <v>151</v>
      </c>
      <c r="B39" t="str">
        <f>LEFT(A39, 2)</f>
        <v>FD</v>
      </c>
      <c r="C39" t="str">
        <f>VLOOKUP(B39, B$56:C$61, 2)</f>
        <v>Ford</v>
      </c>
      <c r="D39" t="str">
        <f>MID(A39, 5, 3)</f>
        <v>FCS</v>
      </c>
      <c r="E39" t="str">
        <f>MID(A39, 3, 2)</f>
        <v>13</v>
      </c>
      <c r="F39">
        <f ca="1">IF(YEAR(TODAY()) - 2000 - E39 &lt; 0, YEAR(TODAY()) - 2000 + 100 - E39,  YEAR(TODAY()) - 2000 - E39)</f>
        <v>11</v>
      </c>
      <c r="G39" s="27">
        <v>22521.599999999999</v>
      </c>
      <c r="H39" s="27">
        <f ca="1">G39 / F39</f>
        <v>2047.4181818181817</v>
      </c>
      <c r="I39" t="s">
        <v>133</v>
      </c>
      <c r="J39" t="s">
        <v>152</v>
      </c>
      <c r="K39">
        <v>75000</v>
      </c>
      <c r="L39" t="str">
        <f>IF(G39 &lt;= K39, "Y", "Not covered")</f>
        <v>Y</v>
      </c>
      <c r="M39" t="str">
        <f>_xlfn.CONCAT(B39, E39, D39, UPPER(LEFT(I39, 3)), RIGHT(A39, 3))</f>
        <v>FD13FCSBLA012</v>
      </c>
    </row>
    <row r="40" spans="1:13" x14ac:dyDescent="0.2">
      <c r="A40" t="s">
        <v>184</v>
      </c>
      <c r="B40" t="str">
        <f>LEFT(A40, 2)</f>
        <v>HO</v>
      </c>
      <c r="C40" t="str">
        <f>VLOOKUP(B40, B$56:C$61, 2)</f>
        <v>Honda</v>
      </c>
      <c r="D40" t="str">
        <f>MID(A40, 5, 3)</f>
        <v>CIV</v>
      </c>
      <c r="E40" t="str">
        <f>MID(A40, 3, 2)</f>
        <v>12</v>
      </c>
      <c r="F40">
        <f ca="1">IF(YEAR(TODAY()) - 2000 - E40 &lt; 0, YEAR(TODAY()) - 2000 + 100 - E40,  YEAR(TODAY()) - 2000 - E40)</f>
        <v>12</v>
      </c>
      <c r="G40" s="27">
        <v>24513.200000000001</v>
      </c>
      <c r="H40" s="27">
        <f ca="1">G40 / F40</f>
        <v>2042.7666666666667</v>
      </c>
      <c r="I40" t="s">
        <v>133</v>
      </c>
      <c r="J40" t="s">
        <v>161</v>
      </c>
      <c r="K40">
        <v>75000</v>
      </c>
      <c r="L40" t="str">
        <f>IF(G40 &lt;= K40, "Y", "Not covered")</f>
        <v>Y</v>
      </c>
      <c r="M40" t="str">
        <f>_xlfn.CONCAT(B40, E40, D40, UPPER(LEFT(I40, 3)), RIGHT(A40, 3))</f>
        <v>HO12CIVBLA035</v>
      </c>
    </row>
    <row r="41" spans="1:13" x14ac:dyDescent="0.2">
      <c r="A41" t="s">
        <v>199</v>
      </c>
      <c r="B41" t="str">
        <f>LEFT(A41, 2)</f>
        <v>HY</v>
      </c>
      <c r="C41" t="str">
        <f>VLOOKUP(B41, B$56:C$61, 2)</f>
        <v>Hundai</v>
      </c>
      <c r="D41" t="str">
        <f>MID(A41, 5, 3)</f>
        <v>ELA</v>
      </c>
      <c r="E41" t="str">
        <f>MID(A41, 3, 2)</f>
        <v>13</v>
      </c>
      <c r="F41">
        <f ca="1">IF(YEAR(TODAY()) - 2000 - E41 &lt; 0, YEAR(TODAY()) - 2000 + 100 - E41,  YEAR(TODAY()) - 2000 - E41)</f>
        <v>11</v>
      </c>
      <c r="G41" s="27">
        <v>22188.5</v>
      </c>
      <c r="H41" s="27">
        <f ca="1">G41 / F41</f>
        <v>2017.1363636363637</v>
      </c>
      <c r="I41" t="s">
        <v>164</v>
      </c>
      <c r="J41" t="s">
        <v>143</v>
      </c>
      <c r="K41">
        <v>100000</v>
      </c>
      <c r="L41" t="str">
        <f>IF(G41 &lt;= K41, "Y", "Not covered")</f>
        <v>Y</v>
      </c>
      <c r="M41" t="str">
        <f>_xlfn.CONCAT(B41, E41, D41, UPPER(LEFT(I41, 3)), RIGHT(A41, 3))</f>
        <v>HY13ELABLU052</v>
      </c>
    </row>
    <row r="42" spans="1:13" x14ac:dyDescent="0.2">
      <c r="A42" t="s">
        <v>214</v>
      </c>
      <c r="B42" t="str">
        <f>LEFT(A42, 2)</f>
        <v>GM</v>
      </c>
      <c r="C42" t="str">
        <f>VLOOKUP(B42, B$56:C$61, 2)</f>
        <v>General Motors</v>
      </c>
      <c r="D42" t="str">
        <f>MID(A42, 5, 3)</f>
        <v>CMR</v>
      </c>
      <c r="E42" t="str">
        <f>MID(A42, 3, 2)</f>
        <v>09</v>
      </c>
      <c r="F42">
        <f ca="1">IF(YEAR(TODAY()) - 2000 - E42 &lt; 0, YEAR(TODAY()) - 2000 + 100 - E42,  YEAR(TODAY()) - 2000 - E42)</f>
        <v>15</v>
      </c>
      <c r="G42" s="27">
        <v>28464.799999999999</v>
      </c>
      <c r="H42" s="27">
        <f ca="1">G42 / F42</f>
        <v>1897.6533333333332</v>
      </c>
      <c r="I42" t="s">
        <v>135</v>
      </c>
      <c r="J42" t="s">
        <v>155</v>
      </c>
      <c r="K42">
        <v>100000</v>
      </c>
      <c r="L42" t="str">
        <f>IF(G42 &lt;= K42, "Y", "Not covered")</f>
        <v>Y</v>
      </c>
      <c r="M42" t="str">
        <f>_xlfn.CONCAT(B42, E42, D42, UPPER(LEFT(I42, 3)), RIGHT(A42, 3))</f>
        <v>GM09CMRWHI014</v>
      </c>
    </row>
    <row r="43" spans="1:13" x14ac:dyDescent="0.2">
      <c r="A43" t="s">
        <v>197</v>
      </c>
      <c r="B43" t="str">
        <f>LEFT(A43, 2)</f>
        <v>HY</v>
      </c>
      <c r="C43" t="str">
        <f>VLOOKUP(B43, B$56:C$61, 2)</f>
        <v>Hundai</v>
      </c>
      <c r="D43" t="str">
        <f>MID(A43, 5, 3)</f>
        <v>ELA</v>
      </c>
      <c r="E43" t="str">
        <f>MID(A43, 3, 2)</f>
        <v>12</v>
      </c>
      <c r="F43">
        <f ca="1">IF(YEAR(TODAY()) - 2000 - E43 &lt; 0, YEAR(TODAY()) - 2000 + 100 - E43,  YEAR(TODAY()) - 2000 - E43)</f>
        <v>12</v>
      </c>
      <c r="G43" s="27">
        <v>22282</v>
      </c>
      <c r="H43" s="27">
        <f ca="1">G43 / F43</f>
        <v>1856.8333333333333</v>
      </c>
      <c r="I43" t="s">
        <v>164</v>
      </c>
      <c r="J43" t="s">
        <v>136</v>
      </c>
      <c r="K43">
        <v>100000</v>
      </c>
      <c r="L43" t="str">
        <f>IF(G43 &lt;= K43, "Y", "Not covered")</f>
        <v>Y</v>
      </c>
      <c r="M43" t="str">
        <f>_xlfn.CONCAT(B43, E43, D43, UPPER(LEFT(I43, 3)), RIGHT(A43, 3))</f>
        <v>HY12ELABLU050</v>
      </c>
    </row>
    <row r="44" spans="1:13" x14ac:dyDescent="0.2">
      <c r="A44" t="s">
        <v>178</v>
      </c>
      <c r="B44" t="str">
        <f>LEFT(A44, 2)</f>
        <v>TY</v>
      </c>
      <c r="C44" t="str">
        <f>VLOOKUP(B44, B$56:C$61, 2)</f>
        <v>Toyota</v>
      </c>
      <c r="D44" t="str">
        <f>MID(A44, 5, 3)</f>
        <v>CAM</v>
      </c>
      <c r="E44" t="str">
        <f>MID(A44, 3, 2)</f>
        <v>12</v>
      </c>
      <c r="F44">
        <f ca="1">IF(YEAR(TODAY()) - 2000 - E44 &lt; 0, YEAR(TODAY()) - 2000 + 100 - E44,  YEAR(TODAY()) - 2000 - E44)</f>
        <v>12</v>
      </c>
      <c r="G44" s="27">
        <v>22128.2</v>
      </c>
      <c r="H44" s="27">
        <f ca="1">G44 / F44</f>
        <v>1844.0166666666667</v>
      </c>
      <c r="I44" t="s">
        <v>164</v>
      </c>
      <c r="J44" t="s">
        <v>166</v>
      </c>
      <c r="K44">
        <v>100000</v>
      </c>
      <c r="L44" t="str">
        <f>IF(G44 &lt;= K44, "Y", "Not covered")</f>
        <v>Y</v>
      </c>
      <c r="M44" t="str">
        <f>_xlfn.CONCAT(B44, E44, D44, UPPER(LEFT(I44, 3)), RIGHT(A44, 3))</f>
        <v>TY12CAMBLU029</v>
      </c>
    </row>
    <row r="45" spans="1:13" x14ac:dyDescent="0.2">
      <c r="A45" t="s">
        <v>198</v>
      </c>
      <c r="B45" t="str">
        <f>LEFT(A45, 2)</f>
        <v>HY</v>
      </c>
      <c r="C45" t="str">
        <f>VLOOKUP(B45, B$56:C$61, 2)</f>
        <v>Hundai</v>
      </c>
      <c r="D45" t="str">
        <f>MID(A45, 5, 3)</f>
        <v>ELA</v>
      </c>
      <c r="E45" t="str">
        <f>MID(A45, 3, 2)</f>
        <v>13</v>
      </c>
      <c r="F45">
        <f ca="1">IF(YEAR(TODAY()) - 2000 - E45 &lt; 0, YEAR(TODAY()) - 2000 + 100 - E45,  YEAR(TODAY()) - 2000 - E45)</f>
        <v>11</v>
      </c>
      <c r="G45" s="27">
        <v>20223.900000000001</v>
      </c>
      <c r="H45" s="27">
        <f ca="1">G45 / F45</f>
        <v>1838.5363636363638</v>
      </c>
      <c r="I45" t="s">
        <v>133</v>
      </c>
      <c r="J45" t="s">
        <v>148</v>
      </c>
      <c r="K45">
        <v>100000</v>
      </c>
      <c r="L45" t="str">
        <f>IF(G45 &lt;= K45, "Y", "Not covered")</f>
        <v>Y</v>
      </c>
      <c r="M45" t="str">
        <f>_xlfn.CONCAT(B45, E45, D45, UPPER(LEFT(I45, 3)), RIGHT(A45, 3))</f>
        <v>HY13ELABLA051</v>
      </c>
    </row>
    <row r="46" spans="1:13" x14ac:dyDescent="0.2">
      <c r="A46" t="s">
        <v>176</v>
      </c>
      <c r="B46" t="str">
        <f>LEFT(A46, 2)</f>
        <v>TY</v>
      </c>
      <c r="C46" t="str">
        <f>VLOOKUP(B46, B$56:C$61, 2)</f>
        <v>Toyota</v>
      </c>
      <c r="D46" t="str">
        <f>MID(A46, 5, 3)</f>
        <v>COR</v>
      </c>
      <c r="E46" t="str">
        <f>MID(A46, 3, 2)</f>
        <v>14</v>
      </c>
      <c r="F46">
        <f ca="1">IF(YEAR(TODAY()) - 2000 - E46 &lt; 0, YEAR(TODAY()) - 2000 + 100 - E46,  YEAR(TODAY()) - 2000 - E46)</f>
        <v>10</v>
      </c>
      <c r="G46" s="27">
        <v>17556.3</v>
      </c>
      <c r="H46" s="27">
        <f ca="1">G46 / F46</f>
        <v>1755.6299999999999</v>
      </c>
      <c r="I46" t="s">
        <v>164</v>
      </c>
      <c r="J46" t="s">
        <v>148</v>
      </c>
      <c r="K46">
        <v>100000</v>
      </c>
      <c r="L46" t="str">
        <f>IF(G46 &lt;= K46, "Y", "Not covered")</f>
        <v>Y</v>
      </c>
      <c r="M46" t="str">
        <f>_xlfn.CONCAT(B46, E46, D46, UPPER(LEFT(I46, 3)), RIGHT(A46, 3))</f>
        <v>TY14CORBLU027</v>
      </c>
    </row>
    <row r="47" spans="1:13" x14ac:dyDescent="0.2">
      <c r="A47" t="s">
        <v>156</v>
      </c>
      <c r="B47" t="str">
        <f>LEFT(A47, 2)</f>
        <v>GM</v>
      </c>
      <c r="C47" t="str">
        <f>VLOOKUP(B47, B$56:C$61, 2)</f>
        <v>General Motors</v>
      </c>
      <c r="D47" t="str">
        <f>MID(A47, 5, 3)</f>
        <v>CMR</v>
      </c>
      <c r="E47" t="str">
        <f>MID(A47, 3, 2)</f>
        <v>12</v>
      </c>
      <c r="F47">
        <f ca="1">IF(YEAR(TODAY()) - 2000 - E47 &lt; 0, YEAR(TODAY()) - 2000 + 100 - E47,  YEAR(TODAY()) - 2000 - E47)</f>
        <v>12</v>
      </c>
      <c r="G47" s="27">
        <v>19421.099999999999</v>
      </c>
      <c r="H47" s="27">
        <f ca="1">G47 / F47</f>
        <v>1618.425</v>
      </c>
      <c r="I47" t="s">
        <v>133</v>
      </c>
      <c r="J47" t="s">
        <v>157</v>
      </c>
      <c r="K47">
        <v>100000</v>
      </c>
      <c r="L47" t="str">
        <f>IF(G47 &lt;= K47, "Y", "Not covered")</f>
        <v>Y</v>
      </c>
      <c r="M47" t="str">
        <f>_xlfn.CONCAT(B47, E47, D47, UPPER(LEFT(I47, 3)), RIGHT(A47, 3))</f>
        <v>GM12CMRBLA015</v>
      </c>
    </row>
    <row r="48" spans="1:13" x14ac:dyDescent="0.2">
      <c r="A48" t="s">
        <v>181</v>
      </c>
      <c r="B48" t="str">
        <f>LEFT(A48, 2)</f>
        <v>HO</v>
      </c>
      <c r="C48" t="str">
        <f>VLOOKUP(B48, B$56:C$61, 2)</f>
        <v>Honda</v>
      </c>
      <c r="D48" t="str">
        <f>MID(A48, 5, 3)</f>
        <v>CIV</v>
      </c>
      <c r="E48" t="str">
        <f>MID(A48, 3, 2)</f>
        <v>10</v>
      </c>
      <c r="F48">
        <f ca="1">IF(YEAR(TODAY()) - 2000 - E48 &lt; 0, YEAR(TODAY()) - 2000 + 100 - E48,  YEAR(TODAY()) - 2000 - E48)</f>
        <v>14</v>
      </c>
      <c r="G48" s="27">
        <v>22573</v>
      </c>
      <c r="H48" s="27">
        <f ca="1">G48 / F48</f>
        <v>1612.3571428571429</v>
      </c>
      <c r="I48" t="s">
        <v>164</v>
      </c>
      <c r="J48" t="s">
        <v>159</v>
      </c>
      <c r="K48">
        <v>75000</v>
      </c>
      <c r="L48" t="str">
        <f>IF(G48 &lt;= K48, "Y", "Not covered")</f>
        <v>Y</v>
      </c>
      <c r="M48" t="str">
        <f>_xlfn.CONCAT(B48, E48, D48, UPPER(LEFT(I48, 3)), RIGHT(A48, 3))</f>
        <v>HO10CIVBLU032</v>
      </c>
    </row>
    <row r="49" spans="1:13" x14ac:dyDescent="0.2">
      <c r="A49" t="s">
        <v>149</v>
      </c>
      <c r="B49" t="str">
        <f>LEFT(A49, 2)</f>
        <v>FD</v>
      </c>
      <c r="C49" t="str">
        <f>VLOOKUP(B49, B$56:C$61, 2)</f>
        <v>Ford</v>
      </c>
      <c r="D49" t="str">
        <f>MID(A49, 5, 3)</f>
        <v>FCS</v>
      </c>
      <c r="E49" t="str">
        <f>MID(A49, 3, 2)</f>
        <v>12</v>
      </c>
      <c r="F49">
        <f ca="1">IF(YEAR(TODAY()) - 2000 - E49 &lt; 0, YEAR(TODAY()) - 2000 + 100 - E49,  YEAR(TODAY()) - 2000 - E49)</f>
        <v>12</v>
      </c>
      <c r="G49" s="27">
        <v>19341.7</v>
      </c>
      <c r="H49" s="27">
        <f ca="1">G49 / F49</f>
        <v>1611.8083333333334</v>
      </c>
      <c r="I49" t="s">
        <v>135</v>
      </c>
      <c r="J49" t="s">
        <v>150</v>
      </c>
      <c r="K49">
        <v>75000</v>
      </c>
      <c r="L49" t="str">
        <f>IF(G49 &lt;= K49, "Y", "Not covered")</f>
        <v>Y</v>
      </c>
      <c r="M49" t="str">
        <f>_xlfn.CONCAT(B49, E49, D49, UPPER(LEFT(I49, 3)), RIGHT(A49, 3))</f>
        <v>FD12FCSWHI011</v>
      </c>
    </row>
    <row r="50" spans="1:13" x14ac:dyDescent="0.2">
      <c r="A50" t="s">
        <v>158</v>
      </c>
      <c r="B50" t="str">
        <f>LEFT(A50, 2)</f>
        <v>GM</v>
      </c>
      <c r="C50" t="str">
        <f>VLOOKUP(B50, B$56:C$61, 2)</f>
        <v>General Motors</v>
      </c>
      <c r="D50" t="str">
        <f>MID(A50, 5, 3)</f>
        <v>CMR</v>
      </c>
      <c r="E50" t="str">
        <f>MID(A50, 3, 2)</f>
        <v>14</v>
      </c>
      <c r="F50">
        <f ca="1">IF(YEAR(TODAY()) - 2000 - E50 &lt; 0, YEAR(TODAY()) - 2000 + 100 - E50,  YEAR(TODAY()) - 2000 - E50)</f>
        <v>10</v>
      </c>
      <c r="G50" s="27">
        <v>14289.6</v>
      </c>
      <c r="H50" s="27">
        <f ca="1">G50 / F50</f>
        <v>1428.96</v>
      </c>
      <c r="I50" t="s">
        <v>135</v>
      </c>
      <c r="J50" t="s">
        <v>159</v>
      </c>
      <c r="K50">
        <v>100000</v>
      </c>
      <c r="L50" t="str">
        <f>IF(G50 &lt;= K50, "Y", "Not covered")</f>
        <v>Y</v>
      </c>
      <c r="M50" t="str">
        <f>_xlfn.CONCAT(B50, E50, D50, UPPER(LEFT(I50, 3)), RIGHT(A50, 3))</f>
        <v>GM14CMRWHI016</v>
      </c>
    </row>
    <row r="51" spans="1:13" x14ac:dyDescent="0.2">
      <c r="A51" t="s">
        <v>185</v>
      </c>
      <c r="B51" t="str">
        <f>LEFT(A51, 2)</f>
        <v>HO</v>
      </c>
      <c r="C51" t="str">
        <f>VLOOKUP(B51, B$56:C$61, 2)</f>
        <v>Honda</v>
      </c>
      <c r="D51" t="str">
        <f>MID(A51, 5, 3)</f>
        <v>CIV</v>
      </c>
      <c r="E51" t="str">
        <f>MID(A51, 3, 2)</f>
        <v>13</v>
      </c>
      <c r="F51">
        <f ca="1">IF(YEAR(TODAY()) - 2000 - E51 &lt; 0, YEAR(TODAY()) - 2000 + 100 - E51,  YEAR(TODAY()) - 2000 - E51)</f>
        <v>11</v>
      </c>
      <c r="G51" s="27">
        <v>13867.6</v>
      </c>
      <c r="H51" s="27">
        <f ca="1">G51 / F51</f>
        <v>1260.6909090909091</v>
      </c>
      <c r="I51" t="s">
        <v>133</v>
      </c>
      <c r="J51" t="s">
        <v>166</v>
      </c>
      <c r="K51">
        <v>75000</v>
      </c>
      <c r="L51" t="str">
        <f>IF(G51 &lt;= K51, "Y", "Not covered")</f>
        <v>Y</v>
      </c>
      <c r="M51" t="str">
        <f>_xlfn.CONCAT(B51, E51, D51, UPPER(LEFT(I51, 3)), RIGHT(A51, 3))</f>
        <v>HO13CIVBLA036</v>
      </c>
    </row>
    <row r="52" spans="1:13" x14ac:dyDescent="0.2">
      <c r="A52" t="s">
        <v>153</v>
      </c>
      <c r="B52" t="str">
        <f>LEFT(A52, 2)</f>
        <v>FD</v>
      </c>
      <c r="C52" t="str">
        <f>VLOOKUP(B52, B$56:C$61, 2)</f>
        <v>Ford</v>
      </c>
      <c r="D52" t="str">
        <f>MID(A52, 5, 3)</f>
        <v>FCS</v>
      </c>
      <c r="E52" t="str">
        <f>MID(A52, 3, 2)</f>
        <v>13</v>
      </c>
      <c r="F52">
        <f ca="1">IF(YEAR(TODAY()) - 2000 - E52 &lt; 0, YEAR(TODAY()) - 2000 + 100 - E52,  YEAR(TODAY()) - 2000 - E52)</f>
        <v>11</v>
      </c>
      <c r="G52" s="27">
        <v>13682.9</v>
      </c>
      <c r="H52" s="27">
        <f ca="1">G52 / F52</f>
        <v>1243.8999999999999</v>
      </c>
      <c r="I52" t="s">
        <v>133</v>
      </c>
      <c r="J52" t="s">
        <v>154</v>
      </c>
      <c r="K52">
        <v>75000</v>
      </c>
      <c r="L52" t="str">
        <f>IF(G52 &lt;= K52, "Y", "Not covered")</f>
        <v>Y</v>
      </c>
      <c r="M52" t="str">
        <f>_xlfn.CONCAT(B52, E52, D52, UPPER(LEFT(I52, 3)), RIGHT(A52, 3))</f>
        <v>FD13FCSBLA013</v>
      </c>
    </row>
    <row r="53" spans="1:13" x14ac:dyDescent="0.2">
      <c r="A53" t="s">
        <v>188</v>
      </c>
      <c r="B53" t="str">
        <f>LEFT(A53, 2)</f>
        <v>HO</v>
      </c>
      <c r="C53" t="str">
        <f>VLOOKUP(B53, B$56:C$61, 2)</f>
        <v>Honda</v>
      </c>
      <c r="D53" t="str">
        <f>MID(A53, 5, 3)</f>
        <v>ODY</v>
      </c>
      <c r="E53" t="str">
        <f>MID(A53, 3, 2)</f>
        <v>14</v>
      </c>
      <c r="F53">
        <f ca="1">IF(YEAR(TODAY()) - 2000 - E53 &lt; 0, YEAR(TODAY()) - 2000 + 100 - E53,  YEAR(TODAY()) - 2000 - E53)</f>
        <v>10</v>
      </c>
      <c r="G53" s="27">
        <v>3708.1</v>
      </c>
      <c r="H53" s="27">
        <f ca="1">G53 / F53</f>
        <v>370.81</v>
      </c>
      <c r="I53" t="s">
        <v>133</v>
      </c>
      <c r="J53" t="s">
        <v>136</v>
      </c>
      <c r="K53">
        <v>100000</v>
      </c>
      <c r="L53" t="str">
        <f>IF(G53 &lt;= K53, "Y", "Not covered")</f>
        <v>Y</v>
      </c>
      <c r="M53" t="str">
        <f>_xlfn.CONCAT(B53, E53, D53, UPPER(LEFT(I53, 3)), RIGHT(A53, 3))</f>
        <v>HO14ODYBLA041</v>
      </c>
    </row>
    <row r="56" spans="1:13" x14ac:dyDescent="0.2">
      <c r="B56" t="s">
        <v>200</v>
      </c>
      <c r="C56" t="s">
        <v>206</v>
      </c>
    </row>
    <row r="57" spans="1:13" x14ac:dyDescent="0.2">
      <c r="B57" t="s">
        <v>205</v>
      </c>
      <c r="C57" t="s">
        <v>211</v>
      </c>
    </row>
    <row r="58" spans="1:13" x14ac:dyDescent="0.2">
      <c r="B58" t="s">
        <v>204</v>
      </c>
      <c r="C58" t="s">
        <v>210</v>
      </c>
    </row>
    <row r="59" spans="1:13" x14ac:dyDescent="0.2">
      <c r="B59" t="s">
        <v>203</v>
      </c>
      <c r="C59" t="s">
        <v>209</v>
      </c>
    </row>
    <row r="60" spans="1:13" x14ac:dyDescent="0.2">
      <c r="B60" t="s">
        <v>201</v>
      </c>
      <c r="C60" t="s">
        <v>207</v>
      </c>
    </row>
    <row r="61" spans="1:13" x14ac:dyDescent="0.2">
      <c r="B61" t="s">
        <v>202</v>
      </c>
      <c r="C61" t="s">
        <v>208</v>
      </c>
    </row>
  </sheetData>
  <sortState xmlns:xlrd2="http://schemas.microsoft.com/office/spreadsheetml/2017/richdata2" ref="A1:M53">
    <sortCondition descending="1" ref="H1:H53"/>
  </sortState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F876-405F-F949-95DC-242783FE9BE9}">
  <dimension ref="A1:H5"/>
  <sheetViews>
    <sheetView tabSelected="1" workbookViewId="0">
      <selection activeCell="L8" sqref="L8"/>
    </sheetView>
  </sheetViews>
  <sheetFormatPr baseColWidth="10" defaultRowHeight="16" x14ac:dyDescent="0.2"/>
  <cols>
    <col min="1" max="1" width="5.1640625" bestFit="1" customWidth="1"/>
    <col min="2" max="2" width="11.5" bestFit="1" customWidth="1"/>
    <col min="3" max="3" width="11.83203125" bestFit="1" customWidth="1"/>
    <col min="4" max="4" width="11.83203125" customWidth="1"/>
    <col min="5" max="5" width="7.33203125" bestFit="1" customWidth="1"/>
    <col min="6" max="6" width="15.33203125" bestFit="1" customWidth="1"/>
    <col min="7" max="7" width="12.1640625" bestFit="1" customWidth="1"/>
    <col min="8" max="8" width="11.5" bestFit="1" customWidth="1"/>
    <col min="9" max="9" width="9.83203125" customWidth="1"/>
  </cols>
  <sheetData>
    <row r="1" spans="1:8" x14ac:dyDescent="0.2">
      <c r="A1" s="28" t="s">
        <v>221</v>
      </c>
      <c r="B1" s="28" t="s">
        <v>221</v>
      </c>
      <c r="C1" s="28" t="s">
        <v>217</v>
      </c>
      <c r="D1" s="28" t="s">
        <v>227</v>
      </c>
      <c r="E1" s="28" t="s">
        <v>218</v>
      </c>
      <c r="F1" s="28" t="s">
        <v>220</v>
      </c>
      <c r="G1" s="28" t="s">
        <v>219</v>
      </c>
      <c r="H1" s="28" t="s">
        <v>226</v>
      </c>
    </row>
    <row r="2" spans="1:8" x14ac:dyDescent="0.2">
      <c r="A2" t="s">
        <v>222</v>
      </c>
      <c r="B2" s="1">
        <v>10000</v>
      </c>
      <c r="C2" s="30">
        <v>0.09</v>
      </c>
      <c r="D2" s="31">
        <f xml:space="preserve"> ((1 + C2) ^ (1 / 12)) - 1</f>
        <v>7.2073233161367156E-3</v>
      </c>
      <c r="E2">
        <v>12</v>
      </c>
      <c r="F2" s="29">
        <f>PMT(D2, 12, B2)</f>
        <v>-872.88693495433267</v>
      </c>
      <c r="G2" s="2">
        <f>-(F2 * E2) - B2</f>
        <v>474.64321945199117</v>
      </c>
      <c r="H2" s="2">
        <f>B2 + G2</f>
        <v>10474.643219451991</v>
      </c>
    </row>
    <row r="3" spans="1:8" x14ac:dyDescent="0.2">
      <c r="A3" t="s">
        <v>223</v>
      </c>
      <c r="B3" s="1">
        <v>10000</v>
      </c>
      <c r="C3" s="30">
        <v>0.08</v>
      </c>
      <c r="D3" s="31">
        <f t="shared" ref="D3:D5" si="0" xml:space="preserve"> ((1 + C3) ^ (1 / 12)) - 1</f>
        <v>6.4340301100034303E-3</v>
      </c>
      <c r="E3">
        <v>12</v>
      </c>
      <c r="F3" s="29">
        <f t="shared" ref="F3:F5" si="1">PMT(D3, 12, B3)</f>
        <v>-868.59406485046622</v>
      </c>
      <c r="G3" s="2">
        <f t="shared" ref="G3:G5" si="2">-(F3 * E3) - B3</f>
        <v>423.12877820559515</v>
      </c>
      <c r="H3" s="2">
        <f t="shared" ref="H3:H5" si="3">B3 + G3</f>
        <v>10423.128778205595</v>
      </c>
    </row>
    <row r="4" spans="1:8" x14ac:dyDescent="0.2">
      <c r="A4" t="s">
        <v>224</v>
      </c>
      <c r="B4" s="1">
        <v>10000</v>
      </c>
      <c r="C4" s="30">
        <v>7.4999999999999997E-2</v>
      </c>
      <c r="D4" s="31">
        <f t="shared" si="0"/>
        <v>6.0449190242917172E-3</v>
      </c>
      <c r="E4">
        <v>12</v>
      </c>
      <c r="F4" s="29">
        <f t="shared" si="1"/>
        <v>-866.43839348181143</v>
      </c>
      <c r="G4" s="2">
        <f t="shared" si="2"/>
        <v>397.26072178173672</v>
      </c>
      <c r="H4" s="2">
        <f t="shared" si="3"/>
        <v>10397.260721781737</v>
      </c>
    </row>
    <row r="5" spans="1:8" x14ac:dyDescent="0.2">
      <c r="A5" t="s">
        <v>225</v>
      </c>
      <c r="B5" s="1">
        <v>10000</v>
      </c>
      <c r="C5" s="30">
        <v>0.1</v>
      </c>
      <c r="D5" s="31">
        <f t="shared" si="0"/>
        <v>7.9741404289037643E-3</v>
      </c>
      <c r="E5">
        <v>12</v>
      </c>
      <c r="F5" s="29">
        <f t="shared" si="1"/>
        <v>-877.15544717941179</v>
      </c>
      <c r="G5" s="2">
        <f t="shared" si="2"/>
        <v>525.86536615294244</v>
      </c>
      <c r="H5" s="2">
        <f t="shared" si="3"/>
        <v>10525.865366152942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Intro</vt:lpstr>
      <vt:lpstr>payroll</vt:lpstr>
      <vt:lpstr>gradebook</vt:lpstr>
      <vt:lpstr>decisionMaker</vt:lpstr>
      <vt:lpstr>sales</vt:lpstr>
      <vt:lpstr>carInventory</vt:lpstr>
      <vt:lpstr>interestRates</vt:lpstr>
      <vt:lpstr>payroll!Print_Area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Pedersen</dc:creator>
  <cp:lastModifiedBy>Ethan Pedersen</cp:lastModifiedBy>
  <cp:lastPrinted>2024-03-20T00:37:27Z</cp:lastPrinted>
  <dcterms:created xsi:type="dcterms:W3CDTF">2024-03-16T18:17:48Z</dcterms:created>
  <dcterms:modified xsi:type="dcterms:W3CDTF">2024-03-26T15:33:25Z</dcterms:modified>
</cp:coreProperties>
</file>